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Beta\"/>
    </mc:Choice>
  </mc:AlternateContent>
  <xr:revisionPtr revIDLastSave="0" documentId="13_ncr:1_{8F34247F-D4FE-4E1F-BE52-3E6388556BAB}" xr6:coauthVersionLast="47" xr6:coauthVersionMax="47" xr10:uidLastSave="{00000000-0000-0000-0000-000000000000}"/>
  <bookViews>
    <workbookView xWindow="-120" yWindow="-120" windowWidth="29040" windowHeight="1599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externalReferences>
    <externalReference r:id="rId9"/>
  </externalReference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Propu!$A$317:$A$346</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Stabilito!$B$97:$B$101</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5" i="6" l="1" a="1"/>
  <c r="C35" i="6" s="1"/>
  <c r="C34" i="6" a="1"/>
  <c r="C34" i="6" s="1"/>
  <c r="C14" i="6" a="1"/>
  <c r="C14" i="6" s="1"/>
  <c r="C33" i="6" a="1"/>
  <c r="C33" i="6" s="1"/>
  <c r="C32" i="6" a="1"/>
  <c r="C32" i="6" s="1"/>
  <c r="C28" i="6" a="1"/>
  <c r="C28" i="6" s="1"/>
  <c r="B45" i="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G25" i="7"/>
  <c r="G24" i="7"/>
  <c r="G23" i="7"/>
  <c r="D27" i="7"/>
  <c r="B32" i="6"/>
  <c r="B31" i="6"/>
  <c r="B30" i="6"/>
  <c r="B29" i="6"/>
  <c r="B28" i="6"/>
  <c r="B36" i="6"/>
  <c r="B35" i="6"/>
  <c r="B34" i="6"/>
  <c r="B33" i="6"/>
  <c r="U35" i="7"/>
  <c r="U34" i="7"/>
  <c r="U33" i="7"/>
  <c r="U32" i="7"/>
  <c r="U31" i="7"/>
  <c r="U30" i="7"/>
  <c r="U20" i="7"/>
  <c r="Q17" i="7"/>
  <c r="U16" i="7"/>
  <c r="U13" i="7"/>
  <c r="Q12" i="7"/>
  <c r="U11" i="7"/>
  <c r="Q3" i="7"/>
  <c r="E17" i="7"/>
  <c r="E13" i="7"/>
  <c r="B53" i="1"/>
  <c r="B51" i="1"/>
  <c r="B56" i="1"/>
  <c r="D29" i="1"/>
  <c r="I69" i="7" s="1"/>
  <c r="D25" i="1"/>
  <c r="E30" i="1" s="1"/>
  <c r="C19" i="1"/>
  <c r="H8" i="7" s="1"/>
  <c r="C161" i="6"/>
  <c r="C162" i="6"/>
  <c r="C160" i="6"/>
  <c r="C159" i="6"/>
  <c r="C158" i="6"/>
  <c r="C26" i="6"/>
  <c r="M21"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F85" i="7"/>
  <c r="H118" i="7"/>
  <c r="H111" i="7"/>
  <c r="E102" i="7"/>
  <c r="E103" i="7"/>
  <c r="E104"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S17" i="6"/>
  <c r="S19" i="6"/>
  <c r="S18" i="6"/>
  <c r="S13" i="6"/>
  <c r="S14" i="6"/>
  <c r="S12" i="6"/>
  <c r="T16" i="6"/>
  <c r="T11" i="6"/>
  <c r="L39" i="6"/>
  <c r="B94" i="1"/>
  <c r="B79" i="2"/>
  <c r="H52" i="7"/>
  <c r="D45" i="7"/>
  <c r="D44" i="7"/>
  <c r="D46" i="7"/>
  <c r="D43" i="7"/>
  <c r="E41" i="7"/>
  <c r="E50" i="7"/>
  <c r="H50"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F28" i="6"/>
  <c r="F29" i="6"/>
  <c r="F30"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E131" i="6"/>
  <c r="B140"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E100" i="7" l="1"/>
  <c r="E59" i="7"/>
  <c r="E48" i="7"/>
  <c r="P32" i="7"/>
  <c r="E32" i="6"/>
  <c r="E16" i="7"/>
  <c r="P31" i="7"/>
  <c r="J105" i="7"/>
  <c r="E47" i="7"/>
  <c r="E15" i="7"/>
  <c r="E31" i="6"/>
  <c r="E46" i="7"/>
  <c r="Q34" i="7"/>
  <c r="H105" i="7"/>
  <c r="B137" i="6"/>
  <c r="F26" i="7"/>
  <c r="B143" i="6"/>
  <c r="J97" i="7"/>
  <c r="F25" i="7"/>
  <c r="E45" i="7"/>
  <c r="B155" i="6"/>
  <c r="J101" i="7"/>
  <c r="F24" i="7"/>
  <c r="B146" i="6"/>
  <c r="E44" i="7"/>
  <c r="P29" i="7"/>
  <c r="F23" i="7"/>
  <c r="H64" i="7"/>
  <c r="H63" i="7" s="1"/>
  <c r="C36" i="6"/>
  <c r="E27" i="6"/>
  <c r="F97" i="7"/>
  <c r="E43" i="7"/>
  <c r="E116" i="7"/>
  <c r="T18" i="6"/>
  <c r="E51" i="7"/>
  <c r="C130" i="6"/>
  <c r="E55" i="7"/>
  <c r="C131" i="6"/>
  <c r="D24" i="7"/>
  <c r="C140" i="6"/>
  <c r="I38" i="7"/>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D35" i="6"/>
  <c r="O21" i="6" s="1"/>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T3" i="4"/>
  <c r="Q3" i="4"/>
  <c r="Y4" i="4"/>
  <c r="C133" i="6" l="1"/>
  <c r="C163" i="6"/>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M4" i="4"/>
  <c r="C3" i="4"/>
  <c r="J4" i="4"/>
  <c r="Y3" i="4"/>
  <c r="E3" i="4"/>
  <c r="T2" i="4"/>
  <c r="N2" i="4"/>
  <c r="W3" i="4"/>
  <c r="R3" i="4"/>
  <c r="N3" i="4"/>
  <c r="J2" i="4"/>
  <c r="B4" i="4"/>
  <c r="S3" i="4"/>
  <c r="I4" i="4"/>
  <c r="H4" i="4"/>
  <c r="K4" i="4"/>
  <c r="G3" i="4"/>
  <c r="S4" i="4"/>
  <c r="M3" i="4"/>
  <c r="X2" i="4"/>
  <c r="O4" i="4"/>
  <c r="P4" i="4"/>
  <c r="W4" i="4"/>
  <c r="L3" i="4"/>
  <c r="O3" i="4"/>
  <c r="B3" i="4"/>
  <c r="R4" i="4"/>
  <c r="G4" i="4"/>
  <c r="K3" i="4"/>
  <c r="C4" i="4"/>
  <c r="L2" i="4"/>
  <c r="X3" i="4"/>
  <c r="V2" i="4"/>
  <c r="X4" i="4"/>
  <c r="D3" i="4"/>
  <c r="V4" i="4"/>
  <c r="R2" i="4"/>
  <c r="P2" i="4"/>
  <c r="U3" i="4"/>
  <c r="F4" i="4"/>
  <c r="P3" i="4"/>
  <c r="H2" i="4"/>
  <c r="J3" i="4"/>
  <c r="Q4" i="4"/>
  <c r="L4" i="4"/>
  <c r="H3" i="4"/>
  <c r="T4" i="4"/>
  <c r="F3" i="4"/>
  <c r="U4" i="4"/>
  <c r="Z2" i="4"/>
  <c r="V3" i="4"/>
  <c r="N4" i="4"/>
  <c r="D4" i="4"/>
  <c r="E4" i="4"/>
  <c r="I3" i="4"/>
  <c r="D166" i="6" l="1"/>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C11" i="1" l="1"/>
  <c r="S4" i="3" s="1"/>
  <c r="T4" i="3" s="1"/>
  <c r="U4" i="3" s="1"/>
  <c r="P15" i="6"/>
  <c r="M15" i="6" s="1"/>
  <c r="J42" i="7" s="1"/>
  <c r="E35" i="6"/>
  <c r="O22" i="6" s="1"/>
  <c r="O19" i="6" s="1"/>
  <c r="H28" i="6" s="1"/>
  <c r="C190" i="6" s="1"/>
  <c r="M22" i="6"/>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C153" i="6"/>
  <c r="N15" i="6" l="1"/>
  <c r="I42" i="7" s="1"/>
  <c r="H42" i="7"/>
  <c r="E108" i="7"/>
  <c r="D23" i="7"/>
  <c r="M19" i="6"/>
  <c r="H31" i="6" s="1"/>
  <c r="H29" i="6" s="1"/>
  <c r="H47" i="7" s="1"/>
  <c r="AA6" i="3"/>
  <c r="H48" i="8"/>
  <c r="P29" i="1"/>
  <c r="A7" i="3"/>
  <c r="B7" i="3" s="1"/>
  <c r="P7" i="3" s="1"/>
  <c r="Q7" i="3" s="1"/>
  <c r="AD6" i="3"/>
  <c r="P6" i="3"/>
  <c r="Q6" i="3" s="1"/>
  <c r="H71" i="7"/>
  <c r="Z6" i="3"/>
  <c r="H68" i="7"/>
  <c r="H16" i="7"/>
  <c r="P28" i="1"/>
  <c r="H50" i="8"/>
  <c r="C149" i="6"/>
  <c r="H46" i="8"/>
  <c r="H46" i="7"/>
  <c r="D152" i="6"/>
  <c r="H13" i="7"/>
  <c r="H58" i="8"/>
  <c r="R194" i="4"/>
  <c r="P196" i="4"/>
  <c r="F108" i="7"/>
  <c r="D213" i="4"/>
  <c r="F213" i="4" s="1"/>
  <c r="B191" i="6"/>
  <c r="C194" i="6"/>
  <c r="H61" i="8"/>
  <c r="D223" i="4"/>
  <c r="F223" i="4" s="1"/>
  <c r="X111" i="4"/>
  <c r="W111" i="4"/>
  <c r="D108" i="4" s="1"/>
  <c r="D188" i="4"/>
  <c r="F188" i="4" s="1"/>
  <c r="D130" i="6"/>
  <c r="E130" i="6" s="1"/>
  <c r="E129" i="6"/>
  <c r="S28" i="6"/>
  <c r="C193" i="6"/>
  <c r="X236" i="4"/>
  <c r="W236" i="4"/>
  <c r="W201" i="4"/>
  <c r="X201" i="4"/>
  <c r="D198" i="4" s="1"/>
  <c r="D2" i="4"/>
  <c r="C155" i="6" l="1"/>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H14" i="7"/>
  <c r="B194" i="6"/>
  <c r="H30" i="6"/>
  <c r="H48" i="7" s="1"/>
  <c r="B190" i="6"/>
  <c r="S194" i="4"/>
  <c r="Q196" i="4"/>
  <c r="F108" i="4"/>
  <c r="D233" i="4"/>
  <c r="F233" i="4" s="1"/>
  <c r="F2" i="4"/>
  <c r="S29" i="6" l="1"/>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H15" i="7"/>
  <c r="R196" i="4"/>
  <c r="T194" i="4"/>
  <c r="S30" i="6" l="1"/>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S14" i="3"/>
  <c r="T13" i="3"/>
  <c r="AA18" i="3"/>
  <c r="P18" i="3"/>
  <c r="Q18" i="3" s="1"/>
  <c r="R18" i="3" s="1"/>
  <c r="AC18" i="3"/>
  <c r="A19" i="3"/>
  <c r="B19" i="3" s="1"/>
  <c r="AD18" i="3"/>
  <c r="Z18" i="3"/>
  <c r="M7" i="3" l="1"/>
  <c r="N7" i="3" s="1"/>
  <c r="J7" i="3"/>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AD84" i="3" s="1"/>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Z184" i="3" l="1"/>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AD184" i="3" s="1"/>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AD212" i="3" s="1"/>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U221" i="3"/>
  <c r="Y220" i="3"/>
  <c r="T222" i="3" l="1"/>
  <c r="AH222" i="3" s="1"/>
  <c r="E222" i="3" l="1"/>
  <c r="H222" i="3" s="1"/>
  <c r="AG222" i="3"/>
  <c r="D222" i="3"/>
  <c r="F222" i="3" l="1"/>
  <c r="G222" i="3"/>
  <c r="K222" i="3"/>
  <c r="AE222" i="3" s="1"/>
  <c r="I222" i="3" l="1"/>
  <c r="J222" i="3"/>
  <c r="AD222" i="3" s="1"/>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Z225" i="3"/>
  <c r="U224" i="3" l="1"/>
  <c r="Y223" i="3"/>
  <c r="T225" i="3"/>
  <c r="AG225" i="3" s="1"/>
  <c r="AH225" i="3" l="1"/>
  <c r="E225" i="3"/>
  <c r="H225" i="3" s="1"/>
  <c r="D225" i="3"/>
  <c r="K225" i="3" l="1"/>
  <c r="AE225" i="3" s="1"/>
  <c r="F225" i="3"/>
  <c r="G225" i="3"/>
  <c r="I225" i="3" l="1"/>
  <c r="J225" i="3"/>
  <c r="AD225" i="3" s="1"/>
  <c r="M225" i="3"/>
  <c r="N225" i="3" s="1"/>
  <c r="V225" i="3"/>
  <c r="A226" i="3"/>
  <c r="B226" i="3" s="1"/>
  <c r="W225" i="3" l="1"/>
  <c r="L225" i="3"/>
  <c r="Z226" i="3"/>
  <c r="AA226" i="3"/>
  <c r="P226" i="3"/>
  <c r="Q226" i="3" s="1"/>
  <c r="R226" i="3" s="1"/>
  <c r="S226" i="3" s="1"/>
  <c r="AC226" i="3"/>
  <c r="U225" i="3" l="1"/>
  <c r="Y224" i="3"/>
  <c r="T226" i="3"/>
  <c r="D226" i="3" l="1"/>
  <c r="G226" i="3" s="1"/>
  <c r="AH226" i="3"/>
  <c r="AG226" i="3"/>
  <c r="E226" i="3"/>
  <c r="H226" i="3" s="1"/>
  <c r="F226" i="3" l="1"/>
  <c r="I226" i="3"/>
  <c r="J226" i="3"/>
  <c r="AD226" i="3" s="1"/>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AD229" i="3" s="1"/>
  <c r="M229" i="3"/>
  <c r="N229" i="3" s="1"/>
  <c r="L229" i="3" l="1"/>
  <c r="W229" i="3"/>
  <c r="P230" i="3"/>
  <c r="Q230" i="3" s="1"/>
  <c r="R230" i="3" s="1"/>
  <c r="S230" i="3" s="1"/>
  <c r="AA230" i="3"/>
  <c r="AC230" i="3"/>
  <c r="Z230" i="3"/>
  <c r="U229" i="3" l="1"/>
  <c r="Y228" i="3"/>
  <c r="T230" i="3"/>
  <c r="AH230" i="3" s="1"/>
  <c r="AG230" i="3" l="1"/>
  <c r="D230" i="3"/>
  <c r="E230" i="3"/>
  <c r="H230" i="3" s="1"/>
  <c r="K230" i="3" l="1"/>
  <c r="AE230" i="3" s="1"/>
  <c r="F230" i="3"/>
  <c r="G230" i="3"/>
  <c r="I230" i="3" l="1"/>
  <c r="J230" i="3"/>
  <c r="AD230" i="3" s="1"/>
  <c r="M230" i="3"/>
  <c r="N230" i="3" s="1"/>
  <c r="V230" i="3"/>
  <c r="A231" i="3"/>
  <c r="B231" i="3" s="1"/>
  <c r="W230" i="3" l="1"/>
  <c r="L230"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AD231" i="3" s="1"/>
  <c r="M231" i="3"/>
  <c r="N231" i="3" s="1"/>
  <c r="L231" i="3" l="1"/>
  <c r="W231" i="3"/>
  <c r="P232" i="3"/>
  <c r="Q232" i="3" s="1"/>
  <c r="R232" i="3" s="1"/>
  <c r="S232" i="3" s="1"/>
  <c r="Z232" i="3"/>
  <c r="AA232" i="3"/>
  <c r="AC232" i="3"/>
  <c r="U231" i="3" l="1"/>
  <c r="Y230" i="3"/>
  <c r="T232" i="3"/>
  <c r="D232" i="3" l="1"/>
  <c r="G232" i="3" s="1"/>
  <c r="AG232" i="3"/>
  <c r="E232" i="3"/>
  <c r="H232" i="3" s="1"/>
  <c r="AH232" i="3"/>
  <c r="F232" i="3" l="1"/>
  <c r="I232" i="3"/>
  <c r="J232" i="3"/>
  <c r="AD232" i="3" s="1"/>
  <c r="M232" i="3"/>
  <c r="N232" i="3" s="1"/>
  <c r="K232" i="3"/>
  <c r="AE232" i="3" s="1"/>
  <c r="V232" i="3" l="1"/>
  <c r="W232" i="3" s="1"/>
  <c r="A233" i="3"/>
  <c r="B233" i="3" s="1"/>
  <c r="L232" i="3"/>
  <c r="U232" i="3" l="1"/>
  <c r="Y231" i="3"/>
  <c r="AA233" i="3"/>
  <c r="AC233" i="3"/>
  <c r="P233" i="3"/>
  <c r="Q233" i="3" s="1"/>
  <c r="R233" i="3" s="1"/>
  <c r="S233" i="3" s="1"/>
  <c r="Z233" i="3"/>
  <c r="T233" i="3" l="1"/>
  <c r="D233" i="3" s="1"/>
  <c r="AG233" i="3" l="1"/>
  <c r="AH233" i="3"/>
  <c r="E233" i="3"/>
  <c r="H233" i="3" s="1"/>
  <c r="K233" i="3" s="1"/>
  <c r="AE233" i="3" s="1"/>
  <c r="G233" i="3"/>
  <c r="F233" i="3" l="1"/>
  <c r="I233" i="3"/>
  <c r="J233" i="3"/>
  <c r="AD233" i="3" s="1"/>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C242" i="3"/>
  <c r="T242" i="3" l="1"/>
  <c r="D242" i="3" s="1"/>
  <c r="E242" i="3" l="1"/>
  <c r="H242" i="3" s="1"/>
  <c r="K242" i="3" s="1"/>
  <c r="AE242" i="3" s="1"/>
  <c r="G242" i="3"/>
  <c r="AH242" i="3"/>
  <c r="AG242" i="3"/>
  <c r="F242" i="3" l="1"/>
  <c r="I242" i="3"/>
  <c r="J242" i="3"/>
  <c r="AD242" i="3" s="1"/>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AD252" i="3" s="1"/>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AD262" i="3" s="1"/>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Z272" i="3"/>
  <c r="AA272" i="3"/>
  <c r="P272" i="3"/>
  <c r="Q272" i="3" s="1"/>
  <c r="R272" i="3" s="1"/>
  <c r="S272" i="3" s="1"/>
  <c r="AC272" i="3"/>
  <c r="T272" i="3" l="1"/>
  <c r="U271" i="3"/>
  <c r="Y270" i="3"/>
  <c r="D272" i="3" l="1"/>
  <c r="G272" i="3" s="1"/>
  <c r="E272" i="3"/>
  <c r="H272" i="3" s="1"/>
  <c r="K272" i="3" s="1"/>
  <c r="AE272" i="3" s="1"/>
  <c r="AG272" i="3"/>
  <c r="AH272" i="3"/>
  <c r="F272" i="3" l="1"/>
  <c r="I272" i="3"/>
  <c r="J272" i="3"/>
  <c r="AD272" i="3" s="1"/>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P282" i="3"/>
  <c r="Q282" i="3" s="1"/>
  <c r="R282" i="3" s="1"/>
  <c r="S282" i="3" s="1"/>
  <c r="AA282" i="3"/>
  <c r="U281" i="3" l="1"/>
  <c r="Y280" i="3"/>
  <c r="T282" i="3"/>
  <c r="D282" i="3" l="1"/>
  <c r="G282" i="3" s="1"/>
  <c r="E282" i="3"/>
  <c r="H282" i="3" s="1"/>
  <c r="AH282" i="3"/>
  <c r="AG282" i="3"/>
  <c r="F282" i="3" l="1"/>
  <c r="I282" i="3"/>
  <c r="J282" i="3"/>
  <c r="AD282" i="3" s="1"/>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AD292" i="3" s="1"/>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AD303" i="3"/>
  <c r="Z303" i="3"/>
  <c r="P303" i="3"/>
  <c r="Q303" i="3" s="1"/>
  <c r="R303" i="3" s="1"/>
  <c r="S303" i="3" s="1"/>
  <c r="AA303" i="3"/>
  <c r="AC303" i="3"/>
  <c r="L302" i="3" l="1"/>
  <c r="Y301" i="3" s="1"/>
  <c r="AD302" i="3"/>
  <c r="T303" i="3"/>
  <c r="U302" i="3" l="1"/>
  <c r="E303" i="3" s="1"/>
  <c r="H303" i="3" s="1"/>
  <c r="K303" i="3" s="1"/>
  <c r="AE303" i="3" s="1"/>
  <c r="AH303" i="3"/>
  <c r="AG303" i="3"/>
  <c r="D303" i="3" l="1"/>
  <c r="G303" i="3" s="1"/>
  <c r="I303" i="3" s="1"/>
  <c r="V303" i="3"/>
  <c r="A304" i="3"/>
  <c r="B304" i="3" s="1"/>
  <c r="M303" i="3" l="1"/>
  <c r="N303" i="3" s="1"/>
  <c r="J303" i="3"/>
  <c r="L303" i="3" s="1"/>
  <c r="F303" i="3"/>
  <c r="W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AD312" i="3" s="1"/>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A322" i="3"/>
  <c r="T322" i="3" l="1"/>
  <c r="AH322" i="3" s="1"/>
  <c r="E322" i="3" l="1"/>
  <c r="H322" i="3" s="1"/>
  <c r="K322" i="3" s="1"/>
  <c r="AE322" i="3" s="1"/>
  <c r="AG322" i="3"/>
  <c r="D322" i="3"/>
  <c r="V322" i="3" l="1"/>
  <c r="A323" i="3"/>
  <c r="B323" i="3" s="1"/>
  <c r="F322" i="3"/>
  <c r="G322" i="3"/>
  <c r="I322" i="3" l="1"/>
  <c r="W322" i="3" s="1"/>
  <c r="J322" i="3"/>
  <c r="AD322" i="3" s="1"/>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L371" i="3" l="1"/>
  <c r="T372" i="3"/>
  <c r="U371" i="3" l="1"/>
  <c r="E372" i="3" s="1"/>
  <c r="H372" i="3" s="1"/>
  <c r="AG372" i="3"/>
  <c r="AH372" i="3"/>
  <c r="Y370" i="3"/>
  <c r="D372" i="3" l="1"/>
  <c r="F372" i="3" s="1"/>
  <c r="K372" i="3"/>
  <c r="AE372" i="3" s="1"/>
  <c r="G372" i="3" l="1"/>
  <c r="M372" i="3" s="1"/>
  <c r="N372" i="3" s="1"/>
  <c r="V372" i="3"/>
  <c r="A373" i="3"/>
  <c r="B373" i="3" s="1"/>
  <c r="J372" i="3" l="1"/>
  <c r="I372" i="3"/>
  <c r="W372" i="3" s="1"/>
  <c r="Z373" i="3"/>
  <c r="AC373" i="3"/>
  <c r="P373" i="3"/>
  <c r="Q373" i="3" s="1"/>
  <c r="R373" i="3" s="1"/>
  <c r="S373" i="3" s="1"/>
  <c r="AA373" i="3"/>
  <c r="L372" i="3" l="1"/>
  <c r="U372" i="3" s="1"/>
  <c r="AD372" i="3"/>
  <c r="T373" i="3"/>
  <c r="Y371" i="3" l="1"/>
  <c r="AH373" i="3"/>
  <c r="D373" i="3"/>
  <c r="G373" i="3" s="1"/>
  <c r="E373" i="3"/>
  <c r="H373" i="3" s="1"/>
  <c r="AG373" i="3"/>
  <c r="F373" i="3" l="1"/>
  <c r="I373" i="3"/>
  <c r="J373" i="3"/>
  <c r="AD373" i="3" s="1"/>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W375" i="3"/>
  <c r="AA376" i="3"/>
  <c r="P376" i="3"/>
  <c r="Q376" i="3" s="1"/>
  <c r="R376" i="3" s="1"/>
  <c r="S376" i="3" s="1"/>
  <c r="AC376" i="3"/>
  <c r="Z376" i="3"/>
  <c r="L375" i="3" l="1"/>
  <c r="U375" i="3" s="1"/>
  <c r="AD375" i="3"/>
  <c r="T376" i="3"/>
  <c r="Y374" i="3" l="1"/>
  <c r="D376" i="3"/>
  <c r="G376" i="3" s="1"/>
  <c r="AG376" i="3"/>
  <c r="AH376" i="3"/>
  <c r="E376" i="3"/>
  <c r="H376" i="3" s="1"/>
  <c r="F376" i="3" l="1"/>
  <c r="I376" i="3"/>
  <c r="J376" i="3"/>
  <c r="AD376" i="3" s="1"/>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P379" i="3"/>
  <c r="Q379" i="3" s="1"/>
  <c r="R379" i="3" s="1"/>
  <c r="S379" i="3" s="1"/>
  <c r="AC379" i="3"/>
  <c r="U378" i="3" l="1"/>
  <c r="Y377" i="3"/>
  <c r="T379" i="3"/>
  <c r="AH379" i="3" s="1"/>
  <c r="E379" i="3" l="1"/>
  <c r="H379" i="3" s="1"/>
  <c r="K379" i="3" s="1"/>
  <c r="AE379" i="3" s="1"/>
  <c r="D379" i="3"/>
  <c r="G379" i="3" s="1"/>
  <c r="AG379" i="3"/>
  <c r="F379" i="3" l="1"/>
  <c r="I379" i="3"/>
  <c r="J379" i="3"/>
  <c r="AD379" i="3" s="1"/>
  <c r="M379" i="3"/>
  <c r="N379" i="3" s="1"/>
  <c r="V379" i="3"/>
  <c r="A380" i="3"/>
  <c r="B380" i="3" s="1"/>
  <c r="W379" i="3" l="1"/>
  <c r="L379" i="3"/>
  <c r="Z380" i="3"/>
  <c r="P380" i="3"/>
  <c r="Q380" i="3" s="1"/>
  <c r="R380" i="3" s="1"/>
  <c r="S380" i="3" s="1"/>
  <c r="AC380" i="3"/>
  <c r="AA380" i="3"/>
  <c r="T380" i="3" l="1"/>
  <c r="AH380" i="3" s="1"/>
  <c r="U379" i="3"/>
  <c r="Y378" i="3"/>
  <c r="AG380" i="3" l="1"/>
  <c r="E380" i="3"/>
  <c r="H380" i="3" s="1"/>
  <c r="K380" i="3" s="1"/>
  <c r="AE380" i="3" s="1"/>
  <c r="D380" i="3"/>
  <c r="V380" i="3" l="1"/>
  <c r="A381" i="3"/>
  <c r="B381" i="3" s="1"/>
  <c r="F380" i="3"/>
  <c r="G380" i="3"/>
  <c r="I380" i="3" l="1"/>
  <c r="W380" i="3" s="1"/>
  <c r="J380" i="3"/>
  <c r="AD380" i="3" s="1"/>
  <c r="M380" i="3"/>
  <c r="N380" i="3" s="1"/>
  <c r="Z381" i="3"/>
  <c r="AA381" i="3"/>
  <c r="AC381" i="3"/>
  <c r="P381" i="3"/>
  <c r="Q381" i="3" s="1"/>
  <c r="R381" i="3" s="1"/>
  <c r="S381" i="3" s="1"/>
  <c r="T381" i="3" l="1"/>
  <c r="L380" i="3"/>
  <c r="U380" i="3" l="1"/>
  <c r="E381" i="3" s="1"/>
  <c r="H381" i="3" s="1"/>
  <c r="AH381" i="3"/>
  <c r="AG381" i="3"/>
  <c r="Y379" i="3"/>
  <c r="K381" i="3" l="1"/>
  <c r="AE381" i="3" s="1"/>
  <c r="D381" i="3"/>
  <c r="V381" i="3" l="1"/>
  <c r="A382" i="3"/>
  <c r="B382" i="3" s="1"/>
  <c r="F381" i="3"/>
  <c r="G381" i="3"/>
  <c r="I381" i="3" l="1"/>
  <c r="W381" i="3" s="1"/>
  <c r="J381" i="3"/>
  <c r="AD381" i="3" s="1"/>
  <c r="M381" i="3"/>
  <c r="N381" i="3" s="1"/>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AD382" i="3" s="1"/>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Z392" i="3"/>
  <c r="P392" i="3"/>
  <c r="Q392" i="3" s="1"/>
  <c r="R392" i="3" s="1"/>
  <c r="S392" i="3" s="1"/>
  <c r="AA392" i="3"/>
  <c r="AC392" i="3"/>
  <c r="T392" i="3" l="1"/>
  <c r="L391" i="3"/>
  <c r="U391" i="3" l="1"/>
  <c r="D392" i="3" s="1"/>
  <c r="AH392" i="3"/>
  <c r="AG392" i="3"/>
  <c r="Y390" i="3"/>
  <c r="G392" i="3" l="1"/>
  <c r="E392" i="3"/>
  <c r="H392" i="3" s="1"/>
  <c r="F392" i="3" l="1"/>
  <c r="I392" i="3"/>
  <c r="J392" i="3"/>
  <c r="AD392" i="3" s="1"/>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P402" i="3"/>
  <c r="Q402" i="3" s="1"/>
  <c r="R402" i="3" s="1"/>
  <c r="S402" i="3" s="1"/>
  <c r="U401" i="3" l="1"/>
  <c r="Y400" i="3"/>
  <c r="T402" i="3"/>
  <c r="AG402" i="3" s="1"/>
  <c r="AH402" i="3" l="1"/>
  <c r="E402" i="3"/>
  <c r="H402" i="3" s="1"/>
  <c r="K402" i="3" s="1"/>
  <c r="AE402" i="3" s="1"/>
  <c r="D402" i="3"/>
  <c r="G402" i="3" s="1"/>
  <c r="F402" i="3" l="1"/>
  <c r="I402" i="3"/>
  <c r="J402" i="3"/>
  <c r="AD402" i="3" s="1"/>
  <c r="M402" i="3"/>
  <c r="N402" i="3" s="1"/>
  <c r="V402" i="3"/>
  <c r="A403" i="3"/>
  <c r="B403" i="3" s="1"/>
  <c r="W402" i="3" l="1"/>
  <c r="L402" i="3"/>
  <c r="AC403" i="3"/>
  <c r="AA403" i="3"/>
  <c r="P403" i="3"/>
  <c r="Q403" i="3" s="1"/>
  <c r="R403" i="3" s="1"/>
  <c r="S403" i="3" s="1"/>
  <c r="Z403" i="3"/>
  <c r="T403" i="3" l="1"/>
  <c r="AH403" i="3" s="1"/>
  <c r="U402" i="3"/>
  <c r="Y401" i="3"/>
  <c r="AG403" i="3" l="1"/>
  <c r="D403" i="3"/>
  <c r="E403" i="3"/>
  <c r="H403" i="3" s="1"/>
  <c r="F403" i="3" l="1"/>
  <c r="G403" i="3"/>
  <c r="K403" i="3"/>
  <c r="AE403" i="3" s="1"/>
  <c r="V403" i="3" l="1"/>
  <c r="A404" i="3"/>
  <c r="B404" i="3" s="1"/>
  <c r="I403" i="3"/>
  <c r="J403" i="3"/>
  <c r="AD403" i="3" s="1"/>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A405" i="3"/>
  <c r="U404" i="3" l="1"/>
  <c r="Y403" i="3"/>
  <c r="T405" i="3"/>
  <c r="E405" i="3" l="1"/>
  <c r="H405" i="3" s="1"/>
  <c r="K405" i="3" s="1"/>
  <c r="AE405" i="3" s="1"/>
  <c r="AH405" i="3"/>
  <c r="D405" i="3"/>
  <c r="AG405" i="3"/>
  <c r="F405" i="3" l="1"/>
  <c r="G405" i="3"/>
  <c r="V405" i="3"/>
  <c r="A406" i="3"/>
  <c r="B406" i="3" s="1"/>
  <c r="AA406" i="3" l="1"/>
  <c r="AC406" i="3"/>
  <c r="Z406" i="3"/>
  <c r="P406" i="3"/>
  <c r="Q406" i="3" s="1"/>
  <c r="R406" i="3" s="1"/>
  <c r="S406" i="3" s="1"/>
  <c r="I405" i="3"/>
  <c r="W405" i="3" s="1"/>
  <c r="J405" i="3"/>
  <c r="AD405" i="3" s="1"/>
  <c r="M405" i="3"/>
  <c r="N405" i="3" s="1"/>
  <c r="T406" i="3" l="1"/>
  <c r="L405" i="3"/>
  <c r="U405" i="3" l="1"/>
  <c r="E406" i="3" s="1"/>
  <c r="H406" i="3" s="1"/>
  <c r="AH406" i="3"/>
  <c r="AG406" i="3"/>
  <c r="Y404" i="3"/>
  <c r="K406" i="3" l="1"/>
  <c r="AE406" i="3" s="1"/>
  <c r="D406" i="3"/>
  <c r="V406" i="3" l="1"/>
  <c r="A407" i="3"/>
  <c r="B407" i="3" s="1"/>
  <c r="F406" i="3"/>
  <c r="G406" i="3"/>
  <c r="I406" i="3" l="1"/>
  <c r="W406" i="3" s="1"/>
  <c r="J406" i="3"/>
  <c r="AD406" i="3" s="1"/>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Z410" i="3"/>
  <c r="I409" i="3"/>
  <c r="W409" i="3" s="1"/>
  <c r="J409" i="3"/>
  <c r="AD409" i="3" s="1"/>
  <c r="M409" i="3"/>
  <c r="N409" i="3" s="1"/>
  <c r="T410" i="3" l="1"/>
  <c r="L409" i="3"/>
  <c r="AG410" i="3" l="1"/>
  <c r="U409" i="3"/>
  <c r="D410" i="3" s="1"/>
  <c r="AH410" i="3"/>
  <c r="Y408" i="3"/>
  <c r="E410" i="3" l="1"/>
  <c r="H410" i="3" s="1"/>
  <c r="K410" i="3" s="1"/>
  <c r="AE410" i="3" s="1"/>
  <c r="G410" i="3"/>
  <c r="F410" i="3" l="1"/>
  <c r="I410" i="3"/>
  <c r="J410" i="3"/>
  <c r="AD410" i="3" s="1"/>
  <c r="M410" i="3"/>
  <c r="N410" i="3" s="1"/>
  <c r="V410" i="3"/>
  <c r="A411" i="3"/>
  <c r="B411" i="3" s="1"/>
  <c r="W410" i="3" l="1"/>
  <c r="L410" i="3"/>
  <c r="AC411" i="3"/>
  <c r="P411" i="3"/>
  <c r="Q411" i="3" s="1"/>
  <c r="R411" i="3" s="1"/>
  <c r="S411" i="3" s="1"/>
  <c r="AA411" i="3"/>
  <c r="Z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I411" i="3"/>
  <c r="W411" i="3" s="1"/>
  <c r="J411" i="3"/>
  <c r="AD411" i="3" s="1"/>
  <c r="M411" i="3"/>
  <c r="N411" i="3" s="1"/>
  <c r="T412" i="3" l="1"/>
  <c r="L411" i="3"/>
  <c r="U411" i="3" l="1"/>
  <c r="D412" i="3" s="1"/>
  <c r="AG412" i="3"/>
  <c r="AH412" i="3"/>
  <c r="Y410" i="3"/>
  <c r="G412" i="3" l="1"/>
  <c r="E412" i="3"/>
  <c r="H412" i="3" s="1"/>
  <c r="F412" i="3" l="1"/>
  <c r="I412" i="3"/>
  <c r="J412" i="3"/>
  <c r="AD412" i="3" s="1"/>
  <c r="M412" i="3"/>
  <c r="N412" i="3" s="1"/>
  <c r="K412" i="3"/>
  <c r="AE412" i="3" s="1"/>
  <c r="V412" i="3" l="1"/>
  <c r="W412" i="3" s="1"/>
  <c r="A413" i="3"/>
  <c r="B413" i="3" s="1"/>
  <c r="L412" i="3"/>
  <c r="U412" i="3" l="1"/>
  <c r="Y411" i="3"/>
  <c r="Z413" i="3"/>
  <c r="P413" i="3"/>
  <c r="Q413" i="3" s="1"/>
  <c r="R413" i="3" s="1"/>
  <c r="S413" i="3" s="1"/>
  <c r="AA413" i="3"/>
  <c r="AC413" i="3"/>
  <c r="T413" i="3" l="1"/>
  <c r="D413" i="3" s="1"/>
  <c r="E413" i="3" l="1"/>
  <c r="H413" i="3" s="1"/>
  <c r="K413" i="3" s="1"/>
  <c r="AE413" i="3" s="1"/>
  <c r="AH413" i="3"/>
  <c r="G413" i="3"/>
  <c r="AG413" i="3"/>
  <c r="F413" i="3" l="1"/>
  <c r="I413" i="3"/>
  <c r="J413" i="3"/>
  <c r="AD413" i="3" s="1"/>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AD429" i="3"/>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M429" i="3"/>
  <c r="N429" i="3" s="1"/>
  <c r="V429" i="3"/>
  <c r="A430" i="3"/>
  <c r="B430" i="3" s="1"/>
  <c r="L429" i="3" l="1"/>
  <c r="W429" i="3"/>
  <c r="AA430" i="3"/>
  <c r="Z430" i="3"/>
  <c r="P430" i="3"/>
  <c r="Q430" i="3" s="1"/>
  <c r="R430" i="3" s="1"/>
  <c r="S430" i="3" s="1"/>
  <c r="AC430" i="3"/>
  <c r="AD430" i="3"/>
  <c r="U429" i="3" l="1"/>
  <c r="Y428" i="3"/>
  <c r="T430" i="3"/>
  <c r="D430" i="3" l="1"/>
  <c r="G430" i="3" s="1"/>
  <c r="AH430" i="3"/>
  <c r="E430" i="3"/>
  <c r="H430" i="3" s="1"/>
  <c r="AG430" i="3"/>
  <c r="F430" i="3" l="1"/>
  <c r="I430" i="3"/>
  <c r="J430" i="3"/>
  <c r="M430" i="3"/>
  <c r="N430" i="3" s="1"/>
  <c r="K430" i="3"/>
  <c r="AE430" i="3" s="1"/>
  <c r="V430" i="3" l="1"/>
  <c r="W430" i="3" s="1"/>
  <c r="A431" i="3"/>
  <c r="B431" i="3" s="1"/>
  <c r="L430" i="3"/>
  <c r="U430" i="3" l="1"/>
  <c r="Y429" i="3"/>
  <c r="AC431" i="3"/>
  <c r="Z431" i="3"/>
  <c r="P431" i="3"/>
  <c r="Q431" i="3" s="1"/>
  <c r="R431" i="3" s="1"/>
  <c r="S431" i="3" s="1"/>
  <c r="AA431" i="3"/>
  <c r="AD431" i="3"/>
  <c r="T431" i="3" l="1"/>
  <c r="AH431" i="3" s="1"/>
  <c r="E431" i="3" l="1"/>
  <c r="H431" i="3" s="1"/>
  <c r="AG431" i="3"/>
  <c r="D431" i="3"/>
  <c r="K431" i="3" l="1"/>
  <c r="AE431" i="3" s="1"/>
  <c r="F431" i="3"/>
  <c r="G431" i="3"/>
  <c r="V431" i="3" l="1"/>
  <c r="A432" i="3"/>
  <c r="B432" i="3" s="1"/>
  <c r="I431" i="3"/>
  <c r="J431" i="3"/>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T434" i="3"/>
  <c r="AH434" i="3" l="1"/>
  <c r="Y432" i="3"/>
  <c r="E434" i="3"/>
  <c r="H434" i="3" s="1"/>
  <c r="K434" i="3" s="1"/>
  <c r="AE434" i="3" s="1"/>
  <c r="AG434" i="3"/>
  <c r="D434" i="3"/>
  <c r="F434" i="3" l="1"/>
  <c r="G434" i="3"/>
  <c r="M434" i="3" s="1"/>
  <c r="N434" i="3" s="1"/>
  <c r="V434" i="3"/>
  <c r="A435" i="3"/>
  <c r="B435" i="3" s="1"/>
  <c r="I434" i="3" l="1"/>
  <c r="W434" i="3" s="1"/>
  <c r="J434" i="3"/>
  <c r="P435" i="3"/>
  <c r="Q435" i="3" s="1"/>
  <c r="R435" i="3" s="1"/>
  <c r="S435" i="3" s="1"/>
  <c r="AA435" i="3"/>
  <c r="AC435" i="3"/>
  <c r="Z435" i="3"/>
  <c r="L434" i="3" l="1"/>
  <c r="Y433" i="3" s="1"/>
  <c r="AD434" i="3"/>
  <c r="T435" i="3"/>
  <c r="U434" i="3" l="1"/>
  <c r="E435" i="3" s="1"/>
  <c r="H435" i="3" s="1"/>
  <c r="AG435" i="3"/>
  <c r="AH435" i="3"/>
  <c r="D435" i="3" l="1"/>
  <c r="G435" i="3" s="1"/>
  <c r="I435" i="3" s="1"/>
  <c r="K435" i="3"/>
  <c r="AE435" i="3" s="1"/>
  <c r="J435" i="3" l="1"/>
  <c r="M435" i="3"/>
  <c r="N435" i="3" s="1"/>
  <c r="F435" i="3"/>
  <c r="V435" i="3"/>
  <c r="W435" i="3" s="1"/>
  <c r="A436" i="3"/>
  <c r="B436" i="3" s="1"/>
  <c r="L435" i="3" l="1"/>
  <c r="Y434" i="3" s="1"/>
  <c r="AD435" i="3"/>
  <c r="AC436" i="3"/>
  <c r="Z436" i="3"/>
  <c r="P436" i="3"/>
  <c r="Q436" i="3" s="1"/>
  <c r="R436" i="3" s="1"/>
  <c r="S436" i="3" s="1"/>
  <c r="AA436" i="3"/>
  <c r="U435" i="3" l="1"/>
  <c r="T436" i="3"/>
  <c r="E436" i="3" l="1"/>
  <c r="H436" i="3" s="1"/>
  <c r="D436" i="3"/>
  <c r="AH436" i="3"/>
  <c r="AG436" i="3"/>
  <c r="F436" i="3" l="1"/>
  <c r="G436" i="3"/>
  <c r="K436" i="3"/>
  <c r="AE436" i="3" s="1"/>
  <c r="I436" i="3" l="1"/>
  <c r="J436" i="3"/>
  <c r="AD436" i="3" s="1"/>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C439" i="3"/>
  <c r="AA439" i="3"/>
  <c r="T439" i="3" l="1"/>
  <c r="L438" i="3"/>
  <c r="AG439" i="3" l="1"/>
  <c r="AH439" i="3"/>
  <c r="U438" i="3"/>
  <c r="E439" i="3" s="1"/>
  <c r="H439" i="3" s="1"/>
  <c r="Y437" i="3"/>
  <c r="D439" i="3" l="1"/>
  <c r="G439" i="3" s="1"/>
  <c r="K439" i="3"/>
  <c r="AE439" i="3" s="1"/>
  <c r="F439" i="3" l="1"/>
  <c r="V439" i="3"/>
  <c r="A440" i="3"/>
  <c r="B440" i="3" s="1"/>
  <c r="I439" i="3"/>
  <c r="J439" i="3"/>
  <c r="AD439" i="3" s="1"/>
  <c r="M439" i="3"/>
  <c r="N439" i="3" s="1"/>
  <c r="W439" i="3" l="1"/>
  <c r="L439" i="3"/>
  <c r="Z440" i="3"/>
  <c r="AC440" i="3"/>
  <c r="P440" i="3"/>
  <c r="Q440" i="3" s="1"/>
  <c r="R440" i="3" s="1"/>
  <c r="S440" i="3" s="1"/>
  <c r="AA440" i="3"/>
  <c r="T440" i="3" l="1"/>
  <c r="AH440" i="3" s="1"/>
  <c r="U439" i="3"/>
  <c r="Y438" i="3"/>
  <c r="AG440" i="3" l="1"/>
  <c r="D440" i="3"/>
  <c r="E440" i="3"/>
  <c r="H440" i="3" s="1"/>
  <c r="K440" i="3" l="1"/>
  <c r="AE440" i="3" s="1"/>
  <c r="F440" i="3"/>
  <c r="G440" i="3"/>
  <c r="I440" i="3" l="1"/>
  <c r="J440" i="3"/>
  <c r="AD440" i="3" s="1"/>
  <c r="M440" i="3"/>
  <c r="N440" i="3" s="1"/>
  <c r="V440" i="3"/>
  <c r="A441" i="3"/>
  <c r="B441" i="3" s="1"/>
  <c r="W440" i="3" l="1"/>
  <c r="L440" i="3"/>
  <c r="P441" i="3"/>
  <c r="Q441" i="3" s="1"/>
  <c r="R441" i="3" s="1"/>
  <c r="S441" i="3" s="1"/>
  <c r="AC441" i="3"/>
  <c r="Z441" i="3"/>
  <c r="AA441" i="3"/>
  <c r="T441" i="3" l="1"/>
  <c r="AH441" i="3" s="1"/>
  <c r="U440" i="3"/>
  <c r="Y439" i="3"/>
  <c r="E441" i="3" l="1"/>
  <c r="H441" i="3" s="1"/>
  <c r="K441" i="3" s="1"/>
  <c r="AE441" i="3" s="1"/>
  <c r="AG441" i="3"/>
  <c r="D441" i="3"/>
  <c r="V441" i="3" l="1"/>
  <c r="A442" i="3"/>
  <c r="B442" i="3" s="1"/>
  <c r="F441" i="3"/>
  <c r="G441" i="3"/>
  <c r="I441" i="3" l="1"/>
  <c r="W441" i="3" s="1"/>
  <c r="J441" i="3"/>
  <c r="AD441" i="3" s="1"/>
  <c r="M441" i="3"/>
  <c r="N441" i="3" s="1"/>
  <c r="AC442" i="3"/>
  <c r="AA442" i="3"/>
  <c r="P442" i="3"/>
  <c r="Q442" i="3" s="1"/>
  <c r="R442" i="3" s="1"/>
  <c r="S442" i="3" s="1"/>
  <c r="Z442" i="3"/>
  <c r="T442" i="3" l="1"/>
  <c r="L441" i="3"/>
  <c r="U441" i="3" l="1"/>
  <c r="D442" i="3" s="1"/>
  <c r="AH442" i="3"/>
  <c r="AG442" i="3"/>
  <c r="Y440" i="3"/>
  <c r="G442" i="3" l="1"/>
  <c r="E442" i="3"/>
  <c r="H442" i="3" s="1"/>
  <c r="I442" i="3" l="1"/>
  <c r="J442" i="3"/>
  <c r="AD442" i="3" s="1"/>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A449" i="3"/>
  <c r="Z449" i="3"/>
  <c r="AC449" i="3"/>
  <c r="T449" i="3" l="1"/>
  <c r="D449" i="3" s="1"/>
  <c r="G449" i="3" l="1"/>
  <c r="AG449" i="3"/>
  <c r="AH449" i="3"/>
  <c r="E449" i="3"/>
  <c r="H449" i="3" s="1"/>
  <c r="K449" i="3" l="1"/>
  <c r="AE449" i="3" s="1"/>
  <c r="F449" i="3"/>
  <c r="I449" i="3"/>
  <c r="J449" i="3"/>
  <c r="AD449" i="3" s="1"/>
  <c r="M449" i="3"/>
  <c r="N449" i="3" s="1"/>
  <c r="L449" i="3" l="1"/>
  <c r="V449" i="3"/>
  <c r="W449" i="3" s="1"/>
  <c r="A450" i="3"/>
  <c r="B450" i="3" s="1"/>
  <c r="P450" i="3" l="1"/>
  <c r="Q450" i="3" s="1"/>
  <c r="R450" i="3" s="1"/>
  <c r="S450" i="3" s="1"/>
  <c r="Z450" i="3"/>
  <c r="AC450" i="3"/>
  <c r="AA450" i="3"/>
  <c r="U449" i="3"/>
  <c r="Y448" i="3"/>
  <c r="T450" i="3" l="1"/>
  <c r="D450" i="3" s="1"/>
  <c r="AH450" i="3" l="1"/>
  <c r="G450" i="3"/>
  <c r="E450" i="3"/>
  <c r="H450" i="3" s="1"/>
  <c r="AG450" i="3"/>
  <c r="F450" i="3" l="1"/>
  <c r="I450" i="3"/>
  <c r="J450" i="3"/>
  <c r="AD450" i="3" s="1"/>
  <c r="M450" i="3"/>
  <c r="N450" i="3" s="1"/>
  <c r="K450" i="3"/>
  <c r="AE450" i="3" s="1"/>
  <c r="V450" i="3" l="1"/>
  <c r="W450" i="3" s="1"/>
  <c r="A451" i="3"/>
  <c r="B451" i="3" s="1"/>
  <c r="L450" i="3"/>
  <c r="U450" i="3" l="1"/>
  <c r="Y449" i="3"/>
  <c r="P451" i="3"/>
  <c r="Q451" i="3" s="1"/>
  <c r="R451" i="3" s="1"/>
  <c r="S451" i="3" s="1"/>
  <c r="Z451" i="3"/>
  <c r="AA451" i="3"/>
  <c r="AC451" i="3"/>
  <c r="T451" i="3" l="1"/>
  <c r="AG451" i="3" s="1"/>
  <c r="E451" i="3" l="1"/>
  <c r="H451" i="3" s="1"/>
  <c r="K451" i="3" s="1"/>
  <c r="AE451" i="3" s="1"/>
  <c r="AH451" i="3"/>
  <c r="D451" i="3"/>
  <c r="V451" i="3" l="1"/>
  <c r="A452" i="3"/>
  <c r="B452" i="3" s="1"/>
  <c r="F451" i="3"/>
  <c r="G451" i="3"/>
  <c r="I451" i="3" l="1"/>
  <c r="W451" i="3" s="1"/>
  <c r="J451" i="3"/>
  <c r="AD451" i="3" s="1"/>
  <c r="M451" i="3"/>
  <c r="N451" i="3" s="1"/>
  <c r="AA452" i="3"/>
  <c r="P452" i="3"/>
  <c r="Q452" i="3" s="1"/>
  <c r="R452" i="3" s="1"/>
  <c r="S452" i="3" s="1"/>
  <c r="AC452" i="3"/>
  <c r="Z452" i="3"/>
  <c r="T452" i="3" l="1"/>
  <c r="L451" i="3"/>
  <c r="U451" i="3" l="1"/>
  <c r="D452" i="3" s="1"/>
  <c r="AH452" i="3"/>
  <c r="AG452" i="3"/>
  <c r="Y450" i="3"/>
  <c r="E452" i="3" l="1"/>
  <c r="H452" i="3" s="1"/>
  <c r="K452" i="3" s="1"/>
  <c r="AE452" i="3" s="1"/>
  <c r="G452" i="3"/>
  <c r="F452" i="3" l="1"/>
  <c r="I452" i="3"/>
  <c r="J452" i="3"/>
  <c r="AD452" i="3" s="1"/>
  <c r="M452" i="3"/>
  <c r="N452" i="3" s="1"/>
  <c r="V452" i="3"/>
  <c r="A453" i="3"/>
  <c r="B453" i="3" s="1"/>
  <c r="W452" i="3" l="1"/>
  <c r="L452" i="3"/>
  <c r="AA453" i="3"/>
  <c r="P453" i="3"/>
  <c r="Q453" i="3" s="1"/>
  <c r="R453" i="3" s="1"/>
  <c r="S453" i="3" s="1"/>
  <c r="AC453" i="3"/>
  <c r="Z453" i="3"/>
  <c r="U452" i="3" l="1"/>
  <c r="Y451" i="3"/>
  <c r="T453" i="3"/>
  <c r="AH453" i="3" s="1"/>
  <c r="AG453" i="3" l="1"/>
  <c r="E453" i="3"/>
  <c r="H453" i="3" s="1"/>
  <c r="D453" i="3"/>
  <c r="K453" i="3" l="1"/>
  <c r="AE453" i="3" s="1"/>
  <c r="F453" i="3"/>
  <c r="G453" i="3"/>
  <c r="I453" i="3" l="1"/>
  <c r="J453" i="3"/>
  <c r="AD453" i="3" s="1"/>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AD455" i="3" s="1"/>
  <c r="M455" i="3"/>
  <c r="N455" i="3" s="1"/>
  <c r="V455" i="3"/>
  <c r="A456" i="3"/>
  <c r="B456" i="3" s="1"/>
  <c r="W455" i="3" l="1"/>
  <c r="L455" i="3"/>
  <c r="AC456" i="3"/>
  <c r="P456" i="3"/>
  <c r="Q456" i="3" s="1"/>
  <c r="R456" i="3" s="1"/>
  <c r="S456" i="3" s="1"/>
  <c r="Z456" i="3"/>
  <c r="AA456" i="3"/>
  <c r="U455" i="3" l="1"/>
  <c r="Y454" i="3"/>
  <c r="T456" i="3"/>
  <c r="AG456" i="3" s="1"/>
  <c r="D456" i="3" l="1"/>
  <c r="G456" i="3" s="1"/>
  <c r="AH456" i="3"/>
  <c r="E456" i="3"/>
  <c r="H456" i="3" s="1"/>
  <c r="I456" i="3" l="1"/>
  <c r="J456" i="3"/>
  <c r="AD456" i="3" s="1"/>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C459" i="3"/>
  <c r="T459" i="3" l="1"/>
  <c r="AH459" i="3" s="1"/>
  <c r="U458" i="3"/>
  <c r="Y457" i="3"/>
  <c r="AG459" i="3" l="1"/>
  <c r="D459" i="3"/>
  <c r="E459" i="3"/>
  <c r="H459" i="3" s="1"/>
  <c r="K459" i="3" l="1"/>
  <c r="AE459" i="3" s="1"/>
  <c r="F459" i="3"/>
  <c r="G459" i="3"/>
  <c r="I459" i="3" l="1"/>
  <c r="J459" i="3"/>
  <c r="AD459" i="3" s="1"/>
  <c r="M459" i="3"/>
  <c r="N459" i="3" s="1"/>
  <c r="V459" i="3"/>
  <c r="A460" i="3"/>
  <c r="B460" i="3" s="1"/>
  <c r="W459" i="3" l="1"/>
  <c r="L459" i="3"/>
  <c r="P460" i="3"/>
  <c r="Q460" i="3" s="1"/>
  <c r="R460" i="3" s="1"/>
  <c r="S460" i="3" s="1"/>
  <c r="Z460" i="3"/>
  <c r="AA460" i="3"/>
  <c r="AC460" i="3"/>
  <c r="U459" i="3" l="1"/>
  <c r="Y458" i="3"/>
  <c r="T460" i="3"/>
  <c r="D460" i="3" l="1"/>
  <c r="G460" i="3" s="1"/>
  <c r="AH460" i="3"/>
  <c r="E460" i="3"/>
  <c r="H460" i="3" s="1"/>
  <c r="AG460" i="3"/>
  <c r="F460" i="3" l="1"/>
  <c r="I460" i="3"/>
  <c r="J460" i="3"/>
  <c r="AD460" i="3" s="1"/>
  <c r="M460" i="3"/>
  <c r="N460" i="3" s="1"/>
  <c r="K460" i="3"/>
  <c r="AE460" i="3" s="1"/>
  <c r="V460" i="3" l="1"/>
  <c r="W460" i="3" s="1"/>
  <c r="A461" i="3"/>
  <c r="B461" i="3" s="1"/>
  <c r="L460" i="3"/>
  <c r="U460" i="3" l="1"/>
  <c r="Y459" i="3"/>
  <c r="AC461" i="3"/>
  <c r="Z461" i="3"/>
  <c r="P461" i="3"/>
  <c r="Q461" i="3" s="1"/>
  <c r="R461" i="3" s="1"/>
  <c r="S461" i="3" s="1"/>
  <c r="AA461" i="3"/>
  <c r="T461" i="3" l="1"/>
  <c r="D461" i="3" s="1"/>
  <c r="AG461" i="3" l="1"/>
  <c r="G461" i="3"/>
  <c r="AH461" i="3"/>
  <c r="E461" i="3"/>
  <c r="H461" i="3" s="1"/>
  <c r="F461" i="3" l="1"/>
  <c r="I461" i="3"/>
  <c r="J461" i="3"/>
  <c r="AD461" i="3" s="1"/>
  <c r="M461" i="3"/>
  <c r="N461" i="3" s="1"/>
  <c r="K461" i="3"/>
  <c r="AE461" i="3" s="1"/>
  <c r="V461" i="3" l="1"/>
  <c r="W461" i="3" s="1"/>
  <c r="A462" i="3"/>
  <c r="B462" i="3" s="1"/>
  <c r="L461" i="3"/>
  <c r="U461" i="3" l="1"/>
  <c r="Y460" i="3"/>
  <c r="Z462" i="3"/>
  <c r="P462" i="3"/>
  <c r="Q462" i="3" s="1"/>
  <c r="R462" i="3" s="1"/>
  <c r="S462" i="3" s="1"/>
  <c r="AA462" i="3"/>
  <c r="AC462" i="3"/>
  <c r="T462" i="3" l="1"/>
  <c r="E462" i="3" s="1"/>
  <c r="H462" i="3" s="1"/>
  <c r="AG462" i="3" l="1"/>
  <c r="AH462" i="3"/>
  <c r="D462" i="3"/>
  <c r="G462" i="3" s="1"/>
  <c r="K462" i="3"/>
  <c r="AE462" i="3" s="1"/>
  <c r="F462" i="3" l="1"/>
  <c r="V462" i="3"/>
  <c r="A463" i="3"/>
  <c r="B463" i="3" s="1"/>
  <c r="I462" i="3"/>
  <c r="J462" i="3"/>
  <c r="AD462" i="3" s="1"/>
  <c r="M462" i="3"/>
  <c r="N462" i="3" s="1"/>
  <c r="W462" i="3" l="1"/>
  <c r="L462" i="3"/>
  <c r="P463" i="3"/>
  <c r="Q463" i="3" s="1"/>
  <c r="R463" i="3" s="1"/>
  <c r="S463" i="3" s="1"/>
  <c r="AC463" i="3"/>
  <c r="Z463" i="3"/>
  <c r="AA463" i="3"/>
  <c r="U462" i="3" l="1"/>
  <c r="Y461" i="3"/>
  <c r="T463" i="3"/>
  <c r="AH463" i="3" s="1"/>
  <c r="AG463" i="3" l="1"/>
  <c r="D463" i="3"/>
  <c r="E463" i="3"/>
  <c r="H463" i="3" s="1"/>
  <c r="F463" i="3" l="1"/>
  <c r="G463" i="3"/>
  <c r="K463" i="3"/>
  <c r="AE463" i="3" s="1"/>
  <c r="V463" i="3" l="1"/>
  <c r="A464" i="3"/>
  <c r="B464" i="3" s="1"/>
  <c r="I463" i="3"/>
  <c r="J463" i="3"/>
  <c r="AD463" i="3" s="1"/>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D475" i="3"/>
  <c r="AA475" i="3"/>
  <c r="T475" i="3" l="1"/>
  <c r="AG475" i="3" s="1"/>
  <c r="AH475" i="3" l="1"/>
  <c r="E475" i="3"/>
  <c r="H475" i="3" s="1"/>
  <c r="K475" i="3" s="1"/>
  <c r="AE475" i="3" s="1"/>
  <c r="D475" i="3"/>
  <c r="F475" i="3" l="1"/>
  <c r="G475" i="3"/>
  <c r="M475" i="3" s="1"/>
  <c r="N475" i="3" s="1"/>
  <c r="V475" i="3"/>
  <c r="A476" i="3"/>
  <c r="B476" i="3" s="1"/>
  <c r="I475" i="3" l="1"/>
  <c r="W475" i="3" s="1"/>
  <c r="J475" i="3"/>
  <c r="L475" i="3" s="1"/>
  <c r="P476" i="3"/>
  <c r="Q476" i="3" s="1"/>
  <c r="R476" i="3" s="1"/>
  <c r="S476" i="3" s="1"/>
  <c r="AA476" i="3"/>
  <c r="AD476" i="3"/>
  <c r="Z476" i="3"/>
  <c r="AC476" i="3"/>
  <c r="U475" i="3" l="1"/>
  <c r="Y474" i="3"/>
  <c r="T476" i="3"/>
  <c r="AG476" i="3" s="1"/>
  <c r="D476" i="3" l="1"/>
  <c r="G476" i="3" s="1"/>
  <c r="E476" i="3"/>
  <c r="H476" i="3" s="1"/>
  <c r="K476" i="3" s="1"/>
  <c r="AE476" i="3" s="1"/>
  <c r="AH476" i="3"/>
  <c r="F476" i="3" l="1"/>
  <c r="V476" i="3"/>
  <c r="A477" i="3"/>
  <c r="B477" i="3" s="1"/>
  <c r="I476" i="3"/>
  <c r="J476" i="3"/>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D479" i="3"/>
  <c r="AC479" i="3"/>
  <c r="AA479" i="3"/>
  <c r="Z479" i="3"/>
  <c r="T479" i="3" l="1"/>
  <c r="L478" i="3"/>
  <c r="U478" i="3" l="1"/>
  <c r="E479" i="3" s="1"/>
  <c r="H479" i="3" s="1"/>
  <c r="AH479" i="3"/>
  <c r="AG479" i="3"/>
  <c r="Y477" i="3"/>
  <c r="D479" i="3" l="1"/>
  <c r="G479" i="3" s="1"/>
  <c r="K479" i="3"/>
  <c r="AE479" i="3" s="1"/>
  <c r="F479" i="3" l="1"/>
  <c r="I479" i="3"/>
  <c r="J479" i="3"/>
  <c r="M479" i="3"/>
  <c r="N479" i="3" s="1"/>
  <c r="V479" i="3"/>
  <c r="A480" i="3"/>
  <c r="B480" i="3" s="1"/>
  <c r="W479" i="3" l="1"/>
  <c r="AA480" i="3"/>
  <c r="P480" i="3"/>
  <c r="Q480" i="3" s="1"/>
  <c r="R480" i="3" s="1"/>
  <c r="S480" i="3" s="1"/>
  <c r="AD480" i="3"/>
  <c r="AC480" i="3"/>
  <c r="Z480" i="3"/>
  <c r="L479" i="3"/>
  <c r="U479" i="3" l="1"/>
  <c r="Y478" i="3"/>
  <c r="T480" i="3"/>
  <c r="E480" i="3" l="1"/>
  <c r="H480" i="3" s="1"/>
  <c r="K480" i="3" s="1"/>
  <c r="AE480" i="3" s="1"/>
  <c r="AH480" i="3"/>
  <c r="AG480" i="3"/>
  <c r="D480" i="3"/>
  <c r="V480" i="3" l="1"/>
  <c r="A481" i="3"/>
  <c r="B481" i="3" s="1"/>
  <c r="F480" i="3"/>
  <c r="G480" i="3"/>
  <c r="I480" i="3" l="1"/>
  <c r="W480" i="3" s="1"/>
  <c r="J480" i="3"/>
  <c r="M480" i="3"/>
  <c r="N480" i="3" s="1"/>
  <c r="P481" i="3"/>
  <c r="Q481" i="3" s="1"/>
  <c r="R481" i="3" s="1"/>
  <c r="S481" i="3" s="1"/>
  <c r="AC481" i="3"/>
  <c r="AA481" i="3"/>
  <c r="AD481" i="3"/>
  <c r="Z481" i="3"/>
  <c r="T481" i="3" l="1"/>
  <c r="L480" i="3"/>
  <c r="U480" i="3" l="1"/>
  <c r="D481" i="3" s="1"/>
  <c r="AG481" i="3"/>
  <c r="AH481" i="3"/>
  <c r="Y479" i="3"/>
  <c r="G481" i="3" l="1"/>
  <c r="E481" i="3"/>
  <c r="H481" i="3" s="1"/>
  <c r="K481" i="3" l="1"/>
  <c r="AE481" i="3" s="1"/>
  <c r="I481" i="3"/>
  <c r="J481" i="3"/>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D483" i="3"/>
  <c r="AA483" i="3"/>
  <c r="T483" i="3" l="1"/>
  <c r="E483" i="3" s="1"/>
  <c r="H483" i="3" s="1"/>
  <c r="AG483" i="3" l="1"/>
  <c r="AH483" i="3"/>
  <c r="D483" i="3"/>
  <c r="G483" i="3" s="1"/>
  <c r="K483" i="3"/>
  <c r="AE483" i="3" s="1"/>
  <c r="F483" i="3" l="1"/>
  <c r="I483" i="3"/>
  <c r="J483" i="3"/>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D485" i="3"/>
  <c r="AA485" i="3"/>
  <c r="AC485" i="3"/>
  <c r="Z485" i="3"/>
  <c r="U484" i="3" l="1"/>
  <c r="Y483" i="3"/>
  <c r="T485" i="3"/>
  <c r="D485" i="3" l="1"/>
  <c r="G485" i="3" s="1"/>
  <c r="AG485" i="3"/>
  <c r="AH485" i="3"/>
  <c r="E485" i="3"/>
  <c r="H485" i="3" s="1"/>
  <c r="K485" i="3" s="1"/>
  <c r="AE485" i="3" s="1"/>
  <c r="F485" i="3" l="1"/>
  <c r="I485" i="3"/>
  <c r="J485" i="3"/>
  <c r="M485" i="3"/>
  <c r="N485" i="3" s="1"/>
  <c r="V485" i="3"/>
  <c r="A486" i="3"/>
  <c r="B486" i="3" s="1"/>
  <c r="W485" i="3" l="1"/>
  <c r="L485" i="3"/>
  <c r="AA486" i="3"/>
  <c r="P486" i="3"/>
  <c r="Q486" i="3" s="1"/>
  <c r="R486" i="3" s="1"/>
  <c r="S486" i="3" s="1"/>
  <c r="AC486" i="3"/>
  <c r="AD486" i="3"/>
  <c r="Z486" i="3"/>
  <c r="T486" i="3" l="1"/>
  <c r="AH486" i="3" s="1"/>
  <c r="U485" i="3"/>
  <c r="Y484" i="3"/>
  <c r="D486" i="3" l="1"/>
  <c r="G486" i="3" s="1"/>
  <c r="AG486" i="3"/>
  <c r="E486" i="3"/>
  <c r="H486" i="3" s="1"/>
  <c r="K486" i="3" s="1"/>
  <c r="AE486" i="3" s="1"/>
  <c r="F486" i="3" l="1"/>
  <c r="V486" i="3"/>
  <c r="A487" i="3"/>
  <c r="B487" i="3" s="1"/>
  <c r="I486" i="3"/>
  <c r="J486" i="3"/>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AD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L489" i="3" s="1"/>
  <c r="Z490" i="3"/>
  <c r="AC490" i="3"/>
  <c r="P490" i="3"/>
  <c r="Q490" i="3" s="1"/>
  <c r="R490" i="3" s="1"/>
  <c r="S490" i="3" s="1"/>
  <c r="AD490" i="3"/>
  <c r="AA490" i="3"/>
  <c r="T490" i="3" l="1"/>
  <c r="AH490" i="3" s="1"/>
  <c r="U489" i="3"/>
  <c r="Y488" i="3"/>
  <c r="E490" i="3" l="1"/>
  <c r="H490" i="3" s="1"/>
  <c r="K490" i="3" s="1"/>
  <c r="AE490" i="3" s="1"/>
  <c r="D490" i="3"/>
  <c r="AG490" i="3"/>
  <c r="V490" i="3" l="1"/>
  <c r="A491" i="3"/>
  <c r="B491" i="3" s="1"/>
  <c r="F490" i="3"/>
  <c r="G490" i="3"/>
  <c r="I490" i="3" l="1"/>
  <c r="W490" i="3" s="1"/>
  <c r="J490" i="3"/>
  <c r="M490" i="3"/>
  <c r="N490" i="3" s="1"/>
  <c r="P491" i="3"/>
  <c r="Q491" i="3" s="1"/>
  <c r="R491" i="3" s="1"/>
  <c r="S491" i="3" s="1"/>
  <c r="Z491" i="3"/>
  <c r="AD491" i="3"/>
  <c r="AC491" i="3"/>
  <c r="AA491" i="3"/>
  <c r="T491" i="3" l="1"/>
  <c r="L490" i="3"/>
  <c r="AH491" i="3" l="1"/>
  <c r="U490" i="3"/>
  <c r="D491" i="3" s="1"/>
  <c r="AG491" i="3"/>
  <c r="Y489" i="3"/>
  <c r="E491" i="3" l="1"/>
  <c r="H491" i="3" s="1"/>
  <c r="K491" i="3" s="1"/>
  <c r="AE491" i="3" s="1"/>
  <c r="G491" i="3"/>
  <c r="F491" i="3" l="1"/>
  <c r="I491" i="3"/>
  <c r="J491" i="3"/>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D533" i="3"/>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AD542" i="3" s="1"/>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P592" i="3"/>
  <c r="Q592" i="3" s="1"/>
  <c r="R592" i="3" s="1"/>
  <c r="S592" i="3" s="1"/>
  <c r="U591" i="3" l="1"/>
  <c r="Y590" i="3"/>
  <c r="T592" i="3"/>
  <c r="D592" i="3" l="1"/>
  <c r="G592" i="3" s="1"/>
  <c r="AH592" i="3"/>
  <c r="AG592" i="3"/>
  <c r="E592" i="3"/>
  <c r="H592" i="3" s="1"/>
  <c r="K592" i="3" s="1"/>
  <c r="AE592" i="3" s="1"/>
  <c r="F592" i="3" l="1"/>
  <c r="I592" i="3"/>
  <c r="J592" i="3"/>
  <c r="AD592" i="3" s="1"/>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C612" i="3"/>
  <c r="AA612" i="3"/>
  <c r="T612" i="3" l="1"/>
  <c r="L611" i="3"/>
  <c r="U611" i="3" l="1"/>
  <c r="E612" i="3" s="1"/>
  <c r="H612" i="3" s="1"/>
  <c r="AH612" i="3"/>
  <c r="AG612" i="3"/>
  <c r="Y610" i="3"/>
  <c r="D612" i="3" l="1"/>
  <c r="G612" i="3" s="1"/>
  <c r="K612" i="3"/>
  <c r="AE612" i="3" s="1"/>
  <c r="F612" i="3" l="1"/>
  <c r="V612" i="3"/>
  <c r="A613" i="3"/>
  <c r="B613" i="3" s="1"/>
  <c r="I612" i="3"/>
  <c r="J612" i="3"/>
  <c r="AD612" i="3" s="1"/>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T622" i="3" l="1"/>
  <c r="AG622" i="3" s="1"/>
  <c r="D622" i="3" l="1"/>
  <c r="E622" i="3"/>
  <c r="H622" i="3" s="1"/>
  <c r="K622" i="3" s="1"/>
  <c r="AE622" i="3" s="1"/>
  <c r="AH622" i="3"/>
  <c r="F622" i="3" l="1"/>
  <c r="G622" i="3"/>
  <c r="I622" i="3" s="1"/>
  <c r="V622" i="3"/>
  <c r="A623" i="3"/>
  <c r="B623" i="3" s="1"/>
  <c r="M622" i="3" l="1"/>
  <c r="N622" i="3" s="1"/>
  <c r="J622" i="3"/>
  <c r="W622" i="3"/>
  <c r="P623" i="3"/>
  <c r="Q623" i="3" s="1"/>
  <c r="R623" i="3" s="1"/>
  <c r="S623" i="3" s="1"/>
  <c r="Z623" i="3"/>
  <c r="AD623" i="3"/>
  <c r="AA623" i="3"/>
  <c r="AC623" i="3"/>
  <c r="L622" i="3" l="1"/>
  <c r="U622" i="3" s="1"/>
  <c r="AD622" i="3"/>
  <c r="T623" i="3"/>
  <c r="Y621" i="3" l="1"/>
  <c r="D623" i="3"/>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T632" i="3" l="1"/>
  <c r="U631" i="3"/>
  <c r="Y630" i="3"/>
  <c r="D632" i="3" l="1"/>
  <c r="G632" i="3" s="1"/>
  <c r="E632" i="3"/>
  <c r="H632" i="3" s="1"/>
  <c r="K632" i="3" s="1"/>
  <c r="AE632" i="3" s="1"/>
  <c r="AG632" i="3"/>
  <c r="AH632" i="3"/>
  <c r="F632" i="3" l="1"/>
  <c r="I632" i="3"/>
  <c r="J632" i="3"/>
  <c r="AD632" i="3" s="1"/>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P642" i="3"/>
  <c r="Q642" i="3" s="1"/>
  <c r="R642" i="3" s="1"/>
  <c r="S642" i="3" s="1"/>
  <c r="AC642" i="3"/>
  <c r="AA642" i="3"/>
  <c r="T642" i="3" l="1"/>
  <c r="L641" i="3"/>
  <c r="U641" i="3" l="1"/>
  <c r="D642" i="3" s="1"/>
  <c r="AG642" i="3"/>
  <c r="AH642" i="3"/>
  <c r="Y640" i="3"/>
  <c r="E642" i="3" l="1"/>
  <c r="H642" i="3" s="1"/>
  <c r="K642" i="3" s="1"/>
  <c r="AE642" i="3" s="1"/>
  <c r="G642" i="3"/>
  <c r="F642" i="3" l="1"/>
  <c r="I642" i="3"/>
  <c r="J642" i="3"/>
  <c r="AD642" i="3" s="1"/>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U651" i="3" l="1"/>
  <c r="Y650" i="3"/>
  <c r="T652" i="3"/>
  <c r="E652" i="3" l="1"/>
  <c r="H652" i="3" s="1"/>
  <c r="K652" i="3" s="1"/>
  <c r="AE652" i="3" s="1"/>
  <c r="AH652" i="3"/>
  <c r="AG652" i="3"/>
  <c r="D652" i="3"/>
  <c r="G652" i="3" s="1"/>
  <c r="F652" i="3" l="1"/>
  <c r="V652" i="3"/>
  <c r="A653" i="3"/>
  <c r="B653" i="3" s="1"/>
  <c r="I652" i="3"/>
  <c r="J652" i="3"/>
  <c r="AD652" i="3" s="1"/>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A662" i="3"/>
  <c r="AC662" i="3"/>
  <c r="T662" i="3" l="1"/>
  <c r="L661" i="3"/>
  <c r="AH662" i="3" l="1"/>
  <c r="AG662" i="3"/>
  <c r="U661" i="3"/>
  <c r="E662" i="3" s="1"/>
  <c r="H662" i="3" s="1"/>
  <c r="Y660" i="3"/>
  <c r="D662" i="3" l="1"/>
  <c r="F662" i="3" s="1"/>
  <c r="K662" i="3"/>
  <c r="AE662" i="3" s="1"/>
  <c r="G662" i="3" l="1"/>
  <c r="I662" i="3" s="1"/>
  <c r="V662" i="3"/>
  <c r="A663" i="3"/>
  <c r="B663" i="3" s="1"/>
  <c r="J662" i="3" l="1"/>
  <c r="M662" i="3"/>
  <c r="N662" i="3" s="1"/>
  <c r="W662" i="3"/>
  <c r="AA663" i="3"/>
  <c r="Z663" i="3"/>
  <c r="P663" i="3"/>
  <c r="Q663" i="3" s="1"/>
  <c r="R663" i="3" s="1"/>
  <c r="S663" i="3" s="1"/>
  <c r="AC663" i="3"/>
  <c r="AD663" i="3"/>
  <c r="L662" i="3" l="1"/>
  <c r="U662" i="3" s="1"/>
  <c r="AD662" i="3"/>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AD715" i="3"/>
  <c r="U714" i="3" l="1"/>
  <c r="Y713" i="3"/>
  <c r="T715" i="3"/>
  <c r="AG715" i="3" s="1"/>
  <c r="AH715" i="3" l="1"/>
  <c r="D715" i="3"/>
  <c r="G715" i="3" s="1"/>
  <c r="E715" i="3"/>
  <c r="H715" i="3" s="1"/>
  <c r="F715" i="3" l="1"/>
  <c r="I715" i="3"/>
  <c r="J715" i="3"/>
  <c r="M715" i="3"/>
  <c r="N715" i="3" s="1"/>
  <c r="K715" i="3"/>
  <c r="AE715" i="3" s="1"/>
  <c r="V715" i="3" l="1"/>
  <c r="W715" i="3" s="1"/>
  <c r="A716" i="3"/>
  <c r="B716" i="3" s="1"/>
  <c r="L715" i="3"/>
  <c r="U715" i="3" l="1"/>
  <c r="Y714" i="3"/>
  <c r="AC716" i="3"/>
  <c r="Z716" i="3"/>
  <c r="P716" i="3"/>
  <c r="Q716" i="3" s="1"/>
  <c r="R716" i="3" s="1"/>
  <c r="S716" i="3" s="1"/>
  <c r="AA716" i="3"/>
  <c r="AD716" i="3"/>
  <c r="T716" i="3" l="1"/>
  <c r="D716" i="3" s="1"/>
  <c r="E716" i="3" l="1"/>
  <c r="H716" i="3" s="1"/>
  <c r="K716" i="3" s="1"/>
  <c r="AE716" i="3" s="1"/>
  <c r="AH716" i="3"/>
  <c r="AG716" i="3"/>
  <c r="G716" i="3"/>
  <c r="F716" i="3" l="1"/>
  <c r="I716" i="3"/>
  <c r="J716" i="3"/>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AD739" i="3"/>
  <c r="Z739" i="3"/>
  <c r="T739" i="3" l="1"/>
  <c r="L738" i="3"/>
  <c r="AH739" i="3" l="1"/>
  <c r="U738" i="3"/>
  <c r="E739" i="3" s="1"/>
  <c r="H739" i="3" s="1"/>
  <c r="AG739" i="3"/>
  <c r="Y737" i="3"/>
  <c r="D739" i="3" l="1"/>
  <c r="G739" i="3" s="1"/>
  <c r="K739" i="3"/>
  <c r="AE739" i="3" s="1"/>
  <c r="F739" i="3" l="1"/>
  <c r="I739" i="3"/>
  <c r="J739" i="3"/>
  <c r="M739" i="3"/>
  <c r="N739" i="3" s="1"/>
  <c r="V739" i="3"/>
  <c r="A740" i="3"/>
  <c r="B740" i="3" s="1"/>
  <c r="W739" i="3" l="1"/>
  <c r="L739" i="3"/>
  <c r="P740" i="3"/>
  <c r="Q740" i="3" s="1"/>
  <c r="R740" i="3" s="1"/>
  <c r="S740" i="3" s="1"/>
  <c r="Z740" i="3"/>
  <c r="AC740" i="3"/>
  <c r="AD740" i="3"/>
  <c r="AA740" i="3"/>
  <c r="U739" i="3" l="1"/>
  <c r="Y738" i="3"/>
  <c r="T740" i="3"/>
  <c r="E740" i="3" l="1"/>
  <c r="H740" i="3" s="1"/>
  <c r="K740" i="3" s="1"/>
  <c r="AE740" i="3" s="1"/>
  <c r="D740" i="3"/>
  <c r="G740" i="3" s="1"/>
  <c r="AH740" i="3"/>
  <c r="AG740" i="3"/>
  <c r="F740" i="3" l="1"/>
  <c r="I740" i="3"/>
  <c r="J740" i="3"/>
  <c r="M740" i="3"/>
  <c r="N740" i="3" s="1"/>
  <c r="V740" i="3"/>
  <c r="A741" i="3"/>
  <c r="B741" i="3" s="1"/>
  <c r="W740" i="3" l="1"/>
  <c r="L740" i="3"/>
  <c r="AA741" i="3"/>
  <c r="P741" i="3"/>
  <c r="Q741" i="3" s="1"/>
  <c r="R741" i="3" s="1"/>
  <c r="S741" i="3" s="1"/>
  <c r="AD741" i="3"/>
  <c r="Z741" i="3"/>
  <c r="AC741" i="3"/>
  <c r="T741" i="3" l="1"/>
  <c r="AG741" i="3" s="1"/>
  <c r="U740" i="3"/>
  <c r="Y739" i="3"/>
  <c r="E741" i="3" l="1"/>
  <c r="H741" i="3" s="1"/>
  <c r="D741" i="3"/>
  <c r="AH741" i="3"/>
  <c r="K741" i="3" l="1"/>
  <c r="AE741" i="3" s="1"/>
  <c r="F741" i="3"/>
  <c r="G741" i="3"/>
  <c r="V741" i="3" l="1"/>
  <c r="A742" i="3"/>
  <c r="B742" i="3" s="1"/>
  <c r="I741" i="3"/>
  <c r="J741" i="3"/>
  <c r="M741" i="3"/>
  <c r="N741" i="3" s="1"/>
  <c r="L741" i="3" l="1"/>
  <c r="W741" i="3"/>
  <c r="AC742" i="3"/>
  <c r="P742" i="3"/>
  <c r="Q742" i="3" s="1"/>
  <c r="R742" i="3" s="1"/>
  <c r="S742" i="3" s="1"/>
  <c r="AD742" i="3"/>
  <c r="Z742" i="3"/>
  <c r="AA742" i="3"/>
  <c r="U741" i="3" l="1"/>
  <c r="Y740" i="3"/>
  <c r="T742" i="3"/>
  <c r="AG742" i="3" s="1"/>
  <c r="E742" i="3" l="1"/>
  <c r="H742" i="3" s="1"/>
  <c r="K742" i="3" s="1"/>
  <c r="AE742" i="3" s="1"/>
  <c r="AH742" i="3"/>
  <c r="D742" i="3"/>
  <c r="F742" i="3" l="1"/>
  <c r="G742" i="3"/>
  <c r="V742" i="3"/>
  <c r="A743" i="3"/>
  <c r="B743" i="3" s="1"/>
  <c r="I742" i="3" l="1"/>
  <c r="W742" i="3" s="1"/>
  <c r="J742" i="3"/>
  <c r="M742" i="3"/>
  <c r="N742" i="3" s="1"/>
  <c r="Z743" i="3"/>
  <c r="AA743" i="3"/>
  <c r="P743" i="3"/>
  <c r="Q743" i="3" s="1"/>
  <c r="R743" i="3" s="1"/>
  <c r="S743" i="3" s="1"/>
  <c r="AC743" i="3"/>
  <c r="AD743" i="3"/>
  <c r="T743" i="3" l="1"/>
  <c r="L742" i="3"/>
  <c r="U742" i="3" l="1"/>
  <c r="E743" i="3" s="1"/>
  <c r="H743" i="3" s="1"/>
  <c r="AH743" i="3"/>
  <c r="AG743" i="3"/>
  <c r="Y741" i="3"/>
  <c r="D743" i="3" l="1"/>
  <c r="G743" i="3" s="1"/>
  <c r="K743" i="3"/>
  <c r="AE743" i="3" s="1"/>
  <c r="F743" i="3" l="1"/>
  <c r="I743" i="3"/>
  <c r="J743" i="3"/>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H27" i="1"/>
  <c r="J31" i="7" s="1"/>
  <c r="L45" i="1"/>
  <c r="M45" i="1"/>
  <c r="K45" i="1"/>
  <c r="H45" i="1"/>
  <c r="I46" i="1"/>
  <c r="H46" i="1"/>
  <c r="J27" i="1"/>
  <c r="D164" i="1" s="1"/>
  <c r="M46" i="1"/>
  <c r="K27" i="1"/>
  <c r="K31" i="7" s="1"/>
  <c r="L46" i="1"/>
  <c r="I27" i="1"/>
  <c r="B164" i="1" s="1"/>
  <c r="I45" i="1"/>
  <c r="J46" i="1"/>
  <c r="H29" i="1"/>
  <c r="F155" i="1" s="1"/>
  <c r="M31" i="7"/>
  <c r="E121" i="7"/>
  <c r="F121" i="7" s="1"/>
  <c r="H116" i="7"/>
  <c r="H58" i="7"/>
  <c r="E64" i="7"/>
  <c r="F64" i="7" s="1"/>
  <c r="L43" i="1" l="1"/>
  <c r="K24" i="1"/>
  <c r="S26" i="6" s="1"/>
  <c r="K43" i="1"/>
  <c r="I43" i="1"/>
  <c r="J43" i="1"/>
  <c r="H55" i="7"/>
  <c r="H112" i="7"/>
  <c r="H53" i="7"/>
  <c r="P32" i="1"/>
  <c r="P33" i="1"/>
  <c r="I67" i="7"/>
  <c r="H43" i="1"/>
  <c r="K46" i="1"/>
  <c r="H47" i="1"/>
  <c r="M47" i="1"/>
  <c r="L47" i="1"/>
  <c r="K47" i="1"/>
  <c r="K29" i="1" s="1"/>
  <c r="M29" i="1" s="1"/>
  <c r="J47" i="1"/>
  <c r="J29"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D180" i="1"/>
  <c r="F201" i="1"/>
  <c r="D163" i="1"/>
  <c r="F200" i="1"/>
  <c r="D165" i="1"/>
  <c r="D173" i="1"/>
  <c r="D184" i="1"/>
  <c r="F168" i="1"/>
  <c r="F169" i="1"/>
  <c r="D193" i="1"/>
  <c r="F186" i="1"/>
  <c r="F170" i="1"/>
  <c r="D174" i="1"/>
  <c r="D172" i="1"/>
  <c r="F176" i="1"/>
  <c r="D182" i="1"/>
  <c r="D192" i="1"/>
  <c r="D186" i="1"/>
  <c r="F164" i="1"/>
  <c r="F199" i="1"/>
  <c r="D196" i="1"/>
  <c r="F183" i="1"/>
  <c r="D191" i="1"/>
  <c r="F189" i="1"/>
  <c r="F163" i="1"/>
  <c r="F177" i="1"/>
  <c r="D166" i="1"/>
  <c r="D187" i="1"/>
  <c r="D198" i="1"/>
  <c r="F195" i="1"/>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H44" i="7" l="1"/>
  <c r="H11" i="7"/>
  <c r="P31" i="1"/>
  <c r="F22" i="1"/>
  <c r="B152" i="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<sst xmlns="http://schemas.openxmlformats.org/spreadsheetml/2006/main" count="1735" uniqueCount="576">
  <si>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</si>
  <si>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</si>
  <si>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</si>
  <si>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</si>
  <si>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</si>
  <si>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</si>
  <si>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</si>
  <si>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</si>
  <si>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</si>
  <si>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</si>
  <si>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</si>
  <si>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</si>
  <si>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</si>
  <si>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</si>
  <si>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</si>
  <si>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</si>
  <si>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</si>
  <si>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</si>
  <si>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</si>
  <si>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</si>
  <si>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</si>
  <si>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</si>
  <si>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</si>
  <si>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</si>
  <si>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</si>
  <si>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</si>
  <si>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</si>
  <si>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</si>
  <si>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</si>
  <si>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</si>
  <si>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</si>
  <si>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</si>
  <si>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</si>
  <si>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</si>
  <si>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</si>
  <si>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</si>
  <si>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</si>
  <si>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</si>
  <si>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</si>
  <si>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</si>
  <si>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</si>
  <si>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</si>
  <si>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</si>
  <si>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</si>
  <si>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</si>
  <si>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</si>
  <si>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</si>
  <si>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</si>
  <si>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</si>
  <si>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</si>
  <si>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</si>
  <si>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</si>
  <si>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</si>
  <si>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</si>
  <si>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</si>
  <si>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</si>
  <si>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</si>
  <si>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</si>
  <si>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</si>
  <si>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</si>
  <si>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</si>
  <si>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</si>
  <si>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</si>
  <si>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</si>
  <si>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</si>
  <si>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</si>
  <si>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</si>
  <si>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</si>
  <si>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</si>
  <si>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</si>
  <si>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</si>
  <si>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</si>
  <si>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</si>
  <si>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</si>
  <si>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</si>
  <si>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</si>
  <si>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</si>
  <si>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</si>
  <si>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</si>
  <si>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</si>
  <si>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</si>
  <si>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</si>
  <si>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</si>
  <si>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</si>
  <si>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</si>
  <si>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</si>
  <si>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</si>
  <si>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</si>
  <si>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</si>
  <si>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</si>
  <si>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</si>
  <si>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</si>
  <si>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</si>
  <si>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</si>
  <si>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</si>
  <si>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</si>
  <si>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</si>
  <si>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</si>
  <si>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</si>
  <si>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</si>
  <si>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</si>
  <si>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</si>
  <si>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</si>
  <si>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</si>
  <si>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</si>
  <si>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</si>
  <si>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</si>
  <si>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</si>
  <si>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</si>
  <si>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</si>
  <si>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</si>
  <si>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</si>
  <si>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</si>
  <si>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</si>
  <si>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</si>
  <si>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</si>
  <si>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</si>
  <si>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</si>
  <si>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</si>
  <si>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</si>
  <si>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</si>
  <si>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</si>
  <si>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</si>
  <si>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</si>
  <si>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</si>
  <si>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</si>
  <si>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</si>
  <si>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</si>
  <si>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</si>
  <si>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</si>
  <si>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</si>
  <si>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</si>
  <si>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</si>
  <si>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</si>
  <si>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</si>
  <si>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</si>
  <si>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</si>
  <si>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</si>
  <si>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</si>
  <si>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</si>
  <si>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</si>
  <si>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</si>
  <si>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</si>
  <si>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</si>
  <si>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</si>
  <si>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</si>
  <si>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</si>
  <si>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</si>
  <si>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</si>
  <si>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</si>
  <si>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</si>
  <si>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</si>
  <si>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</si>
  <si>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</si>
  <si>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</si>
  <si>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</si>
  <si>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</si>
  <si>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</si>
  <si>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</si>
  <si>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</si>
  <si>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</si>
  <si>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</si>
  <si>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</si>
  <si>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</si>
  <si>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</si>
  <si>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</si>
  <si>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</si>
  <si>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</si>
  <si>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</si>
  <si>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</si>
  <si>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</si>
  <si>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</si>
  <si>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</si>
  <si>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</si>
  <si>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</si>
  <si>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</si>
  <si>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</si>
  <si>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</si>
  <si>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</si>
  <si>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</si>
  <si>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</si>
  <si>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</si>
  <si>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</si>
  <si>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</si>
  <si>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</si>
  <si>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</si>
  <si>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</si>
  <si>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</si>
  <si>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</si>
  <si>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</si>
  <si>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</si>
  <si>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</si>
  <si>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</si>
  <si>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</si>
  <si>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</si>
  <si>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</si>
  <si>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</si>
  <si>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</si>
  <si>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</si>
  <si>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</si>
  <si>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</si>
  <si>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</si>
  <si>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</si>
  <si>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</si>
  <si>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</si>
  <si>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</si>
  <si>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</si>
  <si>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</si>
  <si>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</si>
  <si>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</si>
  <si>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</si>
  <si>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</si>
  <si>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</si>
  <si>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</si>
  <si>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</si>
  <si>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</si>
  <si>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</si>
  <si>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</si>
  <si>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</si>
  <si>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</si>
  <si>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</si>
  <si>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</si>
  <si>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</si>
  <si>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</si>
  <si>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</si>
  <si>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</si>
  <si>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</si>
  <si>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</si>
  <si>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</si>
  <si>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</si>
  <si>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</si>
  <si>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</si>
  <si>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</si>
  <si>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</si>
  <si>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</si>
  <si>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</si>
  <si>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</si>
  <si>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</si>
  <si>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</si>
  <si>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</si>
  <si>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</si>
  <si>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</si>
  <si>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</si>
  <si>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</si>
  <si>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</si>
  <si>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</si>
  <si>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</si>
  <si>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</si>
  <si>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</si>
  <si>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</si>
  <si>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</si>
  <si>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</si>
  <si>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</si>
  <si>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</si>
  <si>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</si>
  <si>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</si>
  <si>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</si>
  <si>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</si>
  <si>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</si>
  <si>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</si>
  <si>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</si>
  <si>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</si>
  <si>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</si>
  <si>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</si>
  <si>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</si>
  <si>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</si>
  <si>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</si>
  <si>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</si>
  <si>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</si>
  <si>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</si>
  <si>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</si>
  <si>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</si>
  <si>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</si>
  <si>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</si>
  <si>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</si>
  <si>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</si>
  <si>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</si>
  <si>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</si>
  <si>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</si>
  <si>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</si>
  <si>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</si>
  <si>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</si>
  <si>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</si>
  <si>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</si>
  <si>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</si>
  <si>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</si>
  <si>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</si>
  <si>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</si>
  <si>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</si>
  <si>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</si>
  <si>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</si>
  <si>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</si>
  <si>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</si>
  <si>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</si>
  <si>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</si>
  <si>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</si>
  <si>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</si>
  <si>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</si>
  <si>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</si>
  <si>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</si>
  <si>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</si>
  <si>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</si>
  <si>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</si>
  <si>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</si>
  <si>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</si>
  <si>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</si>
  <si>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</si>
  <si>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</si>
  <si>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</si>
  <si>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</si>
  <si>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</si>
  <si>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</si>
  <si>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</si>
  <si>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</si>
  <si>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</si>
  <si>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</si>
  <si>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</si>
  <si>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</si>
  <si>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</si>
  <si>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</si>
  <si>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</si>
  <si>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</si>
  <si>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</si>
  <si>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</si>
  <si>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</si>
  <si>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</si>
  <si>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</si>
  <si>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</si>
  <si>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</si>
  <si>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</si>
  <si>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</si>
  <si>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</si>
  <si>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</si>
  <si>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</si>
  <si>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</si>
  <si>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</si>
  <si>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</si>
  <si>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</si>
  <si>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</si>
  <si>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</si>
  <si>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</si>
  <si>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</si>
  <si>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</si>
  <si>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</si>
  <si>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</si>
  <si>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</si>
  <si>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</si>
  <si>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</si>
  <si>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</si>
  <si>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</si>
  <si>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</si>
  <si>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</si>
  <si>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</si>
  <si>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</si>
  <si>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</si>
  <si>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</si>
  <si>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</si>
  <si>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</si>
  <si>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</si>
  <si>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</si>
  <si>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</si>
  <si>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</si>
  <si>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</si>
  <si>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</si>
  <si>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</si>
  <si>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</si>
  <si>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</si>
  <si>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</si>
  <si>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</si>
  <si>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</si>
  <si>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</si>
  <si>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</si>
  <si>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</si>
  <si>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</si>
  <si>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</si>
  <si>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</si>
  <si>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</si>
  <si>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</si>
  <si>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</si>
  <si>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</si>
  <si>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</si>
  <si>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</si>
  <si>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</si>
  <si>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</si>
  <si>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</si>
  <si>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</si>
  <si>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</si>
  <si>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</si>
  <si>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</si>
  <si>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</si>
  <si>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</si>
  <si>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</si>
  <si>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</si>
  <si>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</si>
  <si>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</si>
  <si>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</si>
  <si>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</si>
  <si>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</si>
  <si>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</si>
  <si>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</si>
  <si>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</si>
  <si>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</si>
  <si>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</si>
  <si>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</si>
  <si>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</si>
  <si>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</si>
  <si>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</si>
  <si>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</si>
  <si>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</si>
  <si>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</si>
  <si>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</si>
  <si>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</si>
  <si>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</si>
  <si>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</si>
  <si>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</si>
  <si>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</si>
  <si>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</si>
  <si>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</si>
  <si>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</si>
  <si>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</si>
  <si>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</si>
  <si>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</si>
  <si>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</si>
  <si>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</si>
  <si>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</si>
  <si>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</si>
  <si>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</si>
  <si>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</si>
  <si>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</si>
  <si>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</si>
  <si>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</si>
  <si>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</si>
  <si>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</si>
  <si>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</si>
  <si>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</si>
  <si>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</si>
  <si>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</si>
  <si>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</si>
  <si>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</si>
  <si>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</si>
  <si>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</si>
  <si>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</si>
  <si>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</si>
  <si>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</si>
  <si>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</si>
  <si>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</si>
  <si>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</si>
  <si>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</si>
  <si>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</si>
  <si>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</si>
  <si>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</si>
  <si>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</si>
  <si>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</si>
  <si>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</si>
  <si>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</si>
  <si>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</si>
  <si>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</si>
  <si>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</si>
  <si>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</si>
  <si>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</si>
  <si>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</si>
  <si>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</si>
  <si>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</si>
  <si>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</si>
  <si>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</si>
  <si>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</si>
  <si>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</si>
  <si>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</si>
  <si>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</si>
  <si>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</si>
  <si>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</si>
  <si>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</si>
  <si>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</si>
  <si>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</si>
  <si>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</si>
  <si>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</si>
  <si>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</si>
  <si>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</si>
  <si>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</si>
  <si>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</si>
  <si>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</si>
  <si>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</si>
  <si>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</si>
  <si>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</si>
  <si>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</si>
  <si>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</si>
  <si>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</si>
  <si>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</si>
  <si>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</si>
  <si>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</si>
  <si>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</si>
  <si>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</si>
  <si>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</si>
  <si>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</si>
  <si>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</si>
  <si>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</si>
  <si>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</si>
  <si>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</si>
  <si>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</si>
  <si>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</si>
  <si>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</si>
  <si>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</si>
  <si>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</si>
  <si>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</si>
  <si>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</si>
  <si>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</si>
  <si>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</si>
  <si>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</si>
  <si>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</si>
  <si>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</si>
  <si>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</si>
  <si>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</si>
  <si>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</si>
  <si>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</si>
  <si>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</si>
  <si>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</si>
  <si>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</si>
  <si>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</si>
  <si>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</si>
  <si>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</si>
  <si>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</si>
  <si>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</si>
  <si>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</si>
  <si>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</si>
  <si>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</si>
  <si>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</si>
  <si>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</si>
  <si>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</si>
  <si>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</si>
  <si>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</si>
  <si>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</si>
  <si>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</si>
  <si>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</si>
  <si>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</si>
  <si>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</si>
  <si>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</si>
  <si>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</si>
  <si>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</si>
  <si>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</si>
  <si>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</si>
  <si>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</si>
  <si>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</si>
  <si>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</si>
  <si>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</si>
  <si>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</si>
  <si>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</si>
  <si>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</si>
  <si>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</si>
  <si>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</si>
  <si>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</si>
  <si>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</si>
  <si>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</si>
  <si>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</si>
  <si>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</si>
  <si>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</si>
  <si>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</si>
  <si>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</si>
  <si>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</si>
  <si>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</si>
  <si>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</si>
  <si>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</si>
  <si>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</si>
  <si>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</si>
  <si>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</si>
  <si>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</si>
  <si>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</si>
  <si>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</si>
  <si>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</si>
  <si>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L'AéroIPSA</t>
  </si>
  <si>
    <t>Conique (droite)</t>
  </si>
  <si>
    <t>Plusieurs diamètres.</t>
  </si>
  <si>
    <t>OpenRocket</t>
  </si>
  <si>
    <t>MS</t>
  </si>
  <si>
    <t>Cnalpha</t>
  </si>
  <si>
    <t>Fusée expérimentale.</t>
  </si>
  <si>
    <t>SP02-Beta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</si>
</sst>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2"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45" fillId="0" borderId="83" xfId="2" applyFont="1" applyBorder="1" applyAlignment="1">
      <alignment horizontal="center"/>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0" fontId="2" fillId="12" borderId="15" xfId="0" applyFont="1" applyFill="1" applyBorder="1" applyAlignment="1" applyProtection="1">
      <alignment horizontal="center"/>
      <protection hidden="1"/>
    </xf>
    <xf numFmtId="166" fontId="2" fillId="17" borderId="46" xfId="0" applyNumberFormat="1" applyFont="1" applyFill="1" applyBorder="1" applyAlignment="1">
      <alignment horizontal="center" vertical="center"/>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0" fillId="0" borderId="0" xfId="0" applyAlignment="1">
      <alignment horizontal="center"/>
    </xf>
    <xf numFmtId="0" fontId="0" fillId="30" borderId="21" xfId="0" applyFill="1" applyBorder="1" applyAlignment="1">
      <alignment horizontal="center"/>
    </xf>
    <xf numFmtId="0" fontId="0" fillId="30" borderId="23" xfId="0" applyFill="1" applyBorder="1" applyAlignment="1">
      <alignment horizontal="center"/>
    </xf>
    <xf numFmtId="0" fontId="0" fillId="0" borderId="0" xfId="0"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0" borderId="33" xfId="0"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0" borderId="33" xfId="0"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02" xfId="0"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xf numFmtId="165" fontId="2" fillId="0" borderId="12" xfId="0" applyNumberFormat="1" applyFont="1" applyBorder="1" applyAlignment="1">
      <alignment horizontal="center" vertical="center"/>
    </xf>
    <xf numFmtId="1" fontId="2" fillId="0" borderId="12" xfId="0" applyNumberFormat="1" applyFont="1" applyBorder="1" applyAlignment="1">
      <alignment horizontal="center" vertic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42</c:v>
                </c:pt>
                <c:pt idx="4">
                  <c:v>42</c:v>
                </c:pt>
                <c:pt idx="5">
                  <c:v>42</c:v>
                </c:pt>
                <c:pt idx="6">
                  <c:v>42</c:v>
                </c:pt>
                <c:pt idx="7">
                  <c:v>0</c:v>
                </c:pt>
              </c:numCache>
            </c:numRef>
          </c:xVal>
          <c:yVal>
            <c:numRef>
              <c:f>Stabilito!$C$124:$C$131</c:f>
              <c:numCache>
                <c:formatCode>0</c:formatCode>
                <c:ptCount val="8"/>
                <c:pt idx="0">
                  <c:v>-252</c:v>
                </c:pt>
                <c:pt idx="1">
                  <c:v>-252</c:v>
                </c:pt>
                <c:pt idx="2">
                  <c:v>-252</c:v>
                </c:pt>
                <c:pt idx="3">
                  <c:v>-252</c:v>
                </c:pt>
                <c:pt idx="4">
                  <c:v>-252</c:v>
                </c:pt>
                <c:pt idx="5">
                  <c:v>-252</c:v>
                </c:pt>
                <c:pt idx="6">
                  <c:v>-992</c:v>
                </c:pt>
                <c:pt idx="7">
                  <c:v>-992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42</c:v>
                </c:pt>
                <c:pt idx="1">
                  <c:v>147</c:v>
                </c:pt>
                <c:pt idx="2">
                  <c:v>147</c:v>
                </c:pt>
                <c:pt idx="3">
                  <c:v>42</c:v>
                </c:pt>
                <c:pt idx="4">
                  <c:v>42</c:v>
                </c:pt>
              </c:numCache>
            </c:numRef>
          </c:xVal>
          <c:yVal>
            <c:numRef>
              <c:f>Stabilito!$C$132:$C$136</c:f>
              <c:numCache>
                <c:formatCode>0</c:formatCode>
                <c:ptCount val="5"/>
                <c:pt idx="0">
                  <c:v>-762</c:v>
                </c:pt>
                <c:pt idx="1">
                  <c:v>-882</c:v>
                </c:pt>
                <c:pt idx="2">
                  <c:v>-962</c:v>
                </c:pt>
                <c:pt idx="3">
                  <c:v>-932</c:v>
                </c:pt>
                <c:pt idx="4">
                  <c:v>-762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-42</c:v>
                </c:pt>
                <c:pt idx="4">
                  <c:v>-42</c:v>
                </c:pt>
                <c:pt idx="5">
                  <c:v>-42</c:v>
                </c:pt>
                <c:pt idx="6">
                  <c:v>-42</c:v>
                </c:pt>
                <c:pt idx="7">
                  <c:v>0</c:v>
                </c:pt>
              </c:numCache>
            </c:numRef>
          </c:xVal>
          <c:yVal>
            <c:numRef>
              <c:f>Stabilito!$C$124:$C$131</c:f>
              <c:numCache>
                <c:formatCode>0</c:formatCode>
                <c:ptCount val="8"/>
                <c:pt idx="0">
                  <c:v>-252</c:v>
                </c:pt>
                <c:pt idx="1">
                  <c:v>-252</c:v>
                </c:pt>
                <c:pt idx="2">
                  <c:v>-252</c:v>
                </c:pt>
                <c:pt idx="3">
                  <c:v>-252</c:v>
                </c:pt>
                <c:pt idx="4">
                  <c:v>-252</c:v>
                </c:pt>
                <c:pt idx="5">
                  <c:v>-252</c:v>
                </c:pt>
                <c:pt idx="6">
                  <c:v>-992</c:v>
                </c:pt>
                <c:pt idx="7">
                  <c:v>-992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-42</c:v>
                </c:pt>
                <c:pt idx="1">
                  <c:v>-147</c:v>
                </c:pt>
                <c:pt idx="2">
                  <c:v>-147</c:v>
                </c:pt>
                <c:pt idx="3">
                  <c:v>-42</c:v>
                </c:pt>
                <c:pt idx="4">
                  <c:v>-42</c:v>
                </c:pt>
              </c:numCache>
            </c:numRef>
          </c:xVal>
          <c:yVal>
            <c:numRef>
              <c:f>Stabilito!$C$132:$C$136</c:f>
              <c:numCache>
                <c:formatCode>0</c:formatCode>
                <c:ptCount val="5"/>
                <c:pt idx="0">
                  <c:v>-762</c:v>
                </c:pt>
                <c:pt idx="1">
                  <c:v>-882</c:v>
                </c:pt>
                <c:pt idx="2">
                  <c:v>-962</c:v>
                </c:pt>
                <c:pt idx="3">
                  <c:v>-932</c:v>
                </c:pt>
                <c:pt idx="4">
                  <c:v>-762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-558.13048241973502</c:v>
                </c:pt>
                <c:pt idx="1">
                  <c:v>-551.18223614753265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85.054651665157863</c:v>
                </c:pt>
                <c:pt idx="2">
                  <c:v>85.054651665157863</c:v>
                </c:pt>
                <c:pt idx="3">
                  <c:v>0</c:v>
                </c:pt>
              </c:numCache>
            </c:numRef>
          </c:xVal>
          <c:yVal>
            <c:numRef>
              <c:f>Stabilito!$C$151:$C$154</c:f>
              <c:numCache>
                <c:formatCode>0</c:formatCode>
                <c:ptCount val="4"/>
                <c:pt idx="0">
                  <c:v>-757.93658029244398</c:v>
                </c:pt>
                <c:pt idx="1">
                  <c:v>-757.93658029244398</c:v>
                </c:pt>
                <c:pt idx="2">
                  <c:v>-757.93658029244398</c:v>
                </c:pt>
                <c:pt idx="3">
                  <c:v>-757.93658029244398</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330.66666666666669</c:v>
                </c:pt>
                <c:pt idx="1">
                  <c:v>-330.66666666666669</c:v>
                </c:pt>
              </c:numCache>
            </c:numRef>
          </c:xVal>
          <c:yVal>
            <c:numRef>
              <c:f>Stabilito!$C$168:$C$169</c:f>
              <c:numCache>
                <c:formatCode>0</c:formatCode>
                <c:ptCount val="2"/>
                <c:pt idx="0">
                  <c:v>-1001.92</c:v>
                </c:pt>
                <c:pt idx="1">
                  <c:v>-1001.92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-12</c:v>
                </c:pt>
                <c:pt idx="1">
                  <c:v>12</c:v>
                </c:pt>
                <c:pt idx="2">
                  <c:v>12</c:v>
                </c:pt>
                <c:pt idx="3">
                  <c:v>-12</c:v>
                </c:pt>
                <c:pt idx="4">
                  <c:v>-12</c:v>
                </c:pt>
              </c:numCache>
            </c:numRef>
          </c:xVal>
          <c:yVal>
            <c:numRef>
              <c:f>Stabilito!$C$170:$C$174</c:f>
              <c:numCache>
                <c:formatCode>0</c:formatCode>
                <c:ptCount val="5"/>
                <c:pt idx="0">
                  <c:v>-714</c:v>
                </c:pt>
                <c:pt idx="1">
                  <c:v>-714</c:v>
                </c:pt>
                <c:pt idx="2">
                  <c:v>-942</c:v>
                </c:pt>
                <c:pt idx="3">
                  <c:v>-942</c:v>
                </c:pt>
                <c:pt idx="4">
                  <c:v>-714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-147</c:v>
                </c:pt>
                <c:pt idx="1">
                  <c:v>-94.5</c:v>
                </c:pt>
                <c:pt idx="2">
                  <c:v>-42</c:v>
                </c:pt>
              </c:numCache>
            </c:numRef>
          </c:xVal>
          <c:yVal>
            <c:numRef>
              <c:f>Stabilito!$C$137:$C$139</c:f>
              <c:numCache>
                <c:formatCode>0</c:formatCode>
                <c:ptCount val="3"/>
                <c:pt idx="0">
                  <c:v>-995.06666666666672</c:v>
                </c:pt>
                <c:pt idx="1">
                  <c:v>-995.06666666666672</c:v>
                </c:pt>
                <c:pt idx="2">
                  <c:v>-995.06666666666672</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-180.06666666666666</c:v>
                </c:pt>
                <c:pt idx="1">
                  <c:v>-180.06666666666666</c:v>
                </c:pt>
                <c:pt idx="2">
                  <c:v>-180.06666666666666</c:v>
                </c:pt>
              </c:numCache>
            </c:numRef>
          </c:xVal>
          <c:yVal>
            <c:numRef>
              <c:f>Stabilito!$C$143:$C$145</c:f>
              <c:numCache>
                <c:formatCode>0</c:formatCode>
                <c:ptCount val="3"/>
                <c:pt idx="0">
                  <c:v>-762</c:v>
                </c:pt>
                <c:pt idx="1">
                  <c:v>-822</c:v>
                </c:pt>
                <c:pt idx="2">
                  <c:v>-882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-196.6</c:v>
                </c:pt>
                <c:pt idx="1">
                  <c:v>-196.6</c:v>
                </c:pt>
                <c:pt idx="2">
                  <c:v>-196.6</c:v>
                </c:pt>
              </c:numCache>
            </c:numRef>
          </c:xVal>
          <c:yVal>
            <c:numRef>
              <c:f>Stabilito!$C$146:$C$148</c:f>
              <c:numCache>
                <c:formatCode>0</c:formatCode>
                <c:ptCount val="3"/>
                <c:pt idx="0">
                  <c:v>-882</c:v>
                </c:pt>
                <c:pt idx="1">
                  <c:v>-922</c:v>
                </c:pt>
                <c:pt idx="2">
                  <c:v>-962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196.6</c:v>
                </c:pt>
                <c:pt idx="1">
                  <c:v>196.6</c:v>
                </c:pt>
                <c:pt idx="2">
                  <c:v>196.6</c:v>
                </c:pt>
              </c:numCache>
            </c:numRef>
          </c:xVal>
          <c:yVal>
            <c:numRef>
              <c:f>Stabilito!$C$140:$C$142</c:f>
              <c:numCache>
                <c:formatCode>0</c:formatCode>
                <c:ptCount val="3"/>
                <c:pt idx="0">
                  <c:v>-762</c:v>
                </c:pt>
                <c:pt idx="1">
                  <c:v>-847</c:v>
                </c:pt>
                <c:pt idx="2">
                  <c:v>-932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-196.6</c:v>
                </c:pt>
                <c:pt idx="1">
                  <c:v>-196.6</c:v>
                </c:pt>
                <c:pt idx="2">
                  <c:v>-196.6</c:v>
                </c:pt>
              </c:numCache>
            </c:numRef>
          </c:xVal>
          <c:yVal>
            <c:numRef>
              <c:f>Stabilito!$C$155:$C$157</c:f>
              <c:numCache>
                <c:formatCode>0</c:formatCode>
                <c:ptCount val="3"/>
                <c:pt idx="0">
                  <c:v>-554.65635928363383</c:v>
                </c:pt>
                <c:pt idx="1">
                  <c:v>-656.29646978803885</c:v>
                </c:pt>
                <c:pt idx="2">
                  <c:v>-757.93658029244398</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2.3786440222941545</c:v>
                </c:pt>
                <c:pt idx="1">
                  <c:v>2.3786440222941545</c:v>
                </c:pt>
                <c:pt idx="2">
                  <c:v>2.461361239820373</c:v>
                </c:pt>
                <c:pt idx="3">
                  <c:v>2.461361239820373</c:v>
                </c:pt>
              </c:numCache>
            </c:numRef>
          </c:xVal>
          <c:yVal>
            <c:numRef>
              <c:f>Stabilito!$C$190:$C$193</c:f>
              <c:numCache>
                <c:formatCode>0.00</c:formatCode>
                <c:ptCount val="4"/>
                <c:pt idx="0">
                  <c:v>15.188330654492475</c:v>
                </c:pt>
                <c:pt idx="1">
                  <c:v>15.188330654492475</c:v>
                </c:pt>
                <c:pt idx="2">
                  <c:v>15.188330654492475</c:v>
                </c:pt>
                <c:pt idx="3">
                  <c:v>15.188330654492475</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2.461361239820373</c:v>
                </c:pt>
                <c:pt idx="1">
                  <c:v>2.3786440222941545</c:v>
                </c:pt>
              </c:numCache>
            </c:numRef>
          </c:xVal>
          <c:yVal>
            <c:numRef>
              <c:f>Stabilito!$C$193:$C$194</c:f>
              <c:numCache>
                <c:formatCode>0.00</c:formatCode>
                <c:ptCount val="2"/>
                <c:pt idx="0">
                  <c:v>15.188330654492475</c:v>
                </c:pt>
                <c:pt idx="1">
                  <c:v>15.188330654492475</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2.58</c:v>
                </c:pt>
                <c:pt idx="1">
                  <c:v>2.66</c:v>
                </c:pt>
              </c:numCache>
            </c:numRef>
          </c:xVal>
          <c:yVal>
            <c:numRef>
              <c:f>Stabilito!$V$31:$V$32</c:f>
              <c:numCache>
                <c:formatCode>General</c:formatCode>
                <c:ptCount val="2"/>
                <c:pt idx="0">
                  <c:v>15.795999999999999</c:v>
                </c:pt>
                <c:pt idx="1">
                  <c:v>15.795999999999999</c:v>
                </c:pt>
              </c:numCache>
            </c:numRef>
          </c:yVal>
          <c:smooth val="0"/>
          <c:extLst>
            <c:ext xmlns:c16="http://schemas.microsoft.com/office/drawing/2014/chart" uri="{C3380CC4-5D6E-409C-BE32-E72D297353CC}">
              <c16:uniqueId val="{00000002-5321-498C-81FE-E91675A8766E}"/>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1438.1709179079996</c:v>
                </c:pt>
              </c:numCache>
            </c:numRef>
          </c:xVal>
          <c:yVal>
            <c:numRef>
              <c:f>Trajecto!$C$121</c:f>
              <c:numCache>
                <c:formatCode>0</c:formatCode>
                <c:ptCount val="1"/>
                <c:pt idx="0">
                  <c:v>1438.1709179079996</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147.48996836918622</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192.06027926319194</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232.51529165971576</c:v>
                </c:pt>
                <c:pt idx="205">
                  <c:v>#N/A</c:v>
                </c:pt>
                <c:pt idx="206">
                  <c:v>#N/A</c:v>
                </c:pt>
                <c:pt idx="207">
                  <c:v>#N/A</c:v>
                </c:pt>
                <c:pt idx="208">
                  <c:v>#N/A</c:v>
                </c:pt>
                <c:pt idx="209">
                  <c:v>#N/A</c:v>
                </c:pt>
                <c:pt idx="210">
                  <c:v>#N/A</c:v>
                </c:pt>
                <c:pt idx="211">
                  <c:v>#N/A</c:v>
                </c:pt>
                <c:pt idx="212">
                  <c:v>#N/A</c:v>
                </c:pt>
                <c:pt idx="213">
                  <c:v>#N/A</c:v>
                </c:pt>
                <c:pt idx="214">
                  <c:v>268.98307338387383</c:v>
                </c:pt>
                <c:pt idx="215">
                  <c:v>#N/A</c:v>
                </c:pt>
                <c:pt idx="216">
                  <c:v>#N/A</c:v>
                </c:pt>
                <c:pt idx="217">
                  <c:v>#N/A</c:v>
                </c:pt>
                <c:pt idx="218">
                  <c:v>#N/A</c:v>
                </c:pt>
                <c:pt idx="219">
                  <c:v>#N/A</c:v>
                </c:pt>
                <c:pt idx="220">
                  <c:v>#N/A</c:v>
                </c:pt>
                <c:pt idx="221">
                  <c:v>#N/A</c:v>
                </c:pt>
                <c:pt idx="222">
                  <c:v>#N/A</c:v>
                </c:pt>
                <c:pt idx="223">
                  <c:v>#N/A</c:v>
                </c:pt>
                <c:pt idx="224">
                  <c:v>302.43230978669209</c:v>
                </c:pt>
                <c:pt idx="225">
                  <c:v>#N/A</c:v>
                </c:pt>
                <c:pt idx="226">
                  <c:v>#N/A</c:v>
                </c:pt>
                <c:pt idx="227">
                  <c:v>#N/A</c:v>
                </c:pt>
                <c:pt idx="228">
                  <c:v>#N/A</c:v>
                </c:pt>
                <c:pt idx="229">
                  <c:v>#N/A</c:v>
                </c:pt>
                <c:pt idx="230">
                  <c:v>#N/A</c:v>
                </c:pt>
                <c:pt idx="231">
                  <c:v>#N/A</c:v>
                </c:pt>
                <c:pt idx="232">
                  <c:v>#N/A</c:v>
                </c:pt>
                <c:pt idx="233">
                  <c:v>#N/A</c:v>
                </c:pt>
                <c:pt idx="234">
                  <c:v>333.55582059287389</c:v>
                </c:pt>
                <c:pt idx="235">
                  <c:v>#N/A</c:v>
                </c:pt>
                <c:pt idx="236">
                  <c:v>#N/A</c:v>
                </c:pt>
                <c:pt idx="237">
                  <c:v>#N/A</c:v>
                </c:pt>
                <c:pt idx="238">
                  <c:v>#N/A</c:v>
                </c:pt>
                <c:pt idx="239">
                  <c:v>#N/A</c:v>
                </c:pt>
                <c:pt idx="240">
                  <c:v>#N/A</c:v>
                </c:pt>
                <c:pt idx="241">
                  <c:v>#N/A</c:v>
                </c:pt>
                <c:pt idx="242">
                  <c:v>#N/A</c:v>
                </c:pt>
                <c:pt idx="243">
                  <c:v>#N/A</c:v>
                </c:pt>
                <c:pt idx="244">
                  <c:v>362.86424657148524</c:v>
                </c:pt>
                <c:pt idx="245">
                  <c:v>#N/A</c:v>
                </c:pt>
                <c:pt idx="246">
                  <c:v>#N/A</c:v>
                </c:pt>
                <c:pt idx="247">
                  <c:v>#N/A</c:v>
                </c:pt>
                <c:pt idx="248">
                  <c:v>#N/A</c:v>
                </c:pt>
                <c:pt idx="249">
                  <c:v>#N/A</c:v>
                </c:pt>
                <c:pt idx="250">
                  <c:v>#N/A</c:v>
                </c:pt>
                <c:pt idx="251">
                  <c:v>#N/A</c:v>
                </c:pt>
                <c:pt idx="252">
                  <c:v>#N/A</c:v>
                </c:pt>
                <c:pt idx="253">
                  <c:v>#N/A</c:v>
                </c:pt>
                <c:pt idx="254">
                  <c:v>390.74742747463966</c:v>
                </c:pt>
                <c:pt idx="255">
                  <c:v>#N/A</c:v>
                </c:pt>
                <c:pt idx="256">
                  <c:v>#N/A</c:v>
                </c:pt>
                <c:pt idx="257">
                  <c:v>#N/A</c:v>
                </c:pt>
                <c:pt idx="258">
                  <c:v>#N/A</c:v>
                </c:pt>
                <c:pt idx="259">
                  <c:v>#N/A</c:v>
                </c:pt>
                <c:pt idx="260">
                  <c:v>#N/A</c:v>
                </c:pt>
                <c:pt idx="261">
                  <c:v>#N/A</c:v>
                </c:pt>
                <c:pt idx="262">
                  <c:v>#N/A</c:v>
                </c:pt>
                <c:pt idx="263">
                  <c:v>#N/A</c:v>
                </c:pt>
                <c:pt idx="264">
                  <c:v>417.51113737778991</c:v>
                </c:pt>
                <c:pt idx="265">
                  <c:v>#N/A</c:v>
                </c:pt>
                <c:pt idx="266">
                  <c:v>#N/A</c:v>
                </c:pt>
                <c:pt idx="267">
                  <c:v>#N/A</c:v>
                </c:pt>
                <c:pt idx="268">
                  <c:v>#N/A</c:v>
                </c:pt>
                <c:pt idx="269">
                  <c:v>#N/A</c:v>
                </c:pt>
                <c:pt idx="270">
                  <c:v>#N/A</c:v>
                </c:pt>
                <c:pt idx="271">
                  <c:v>#N/A</c:v>
                </c:pt>
                <c:pt idx="272">
                  <c:v>#N/A</c:v>
                </c:pt>
                <c:pt idx="273">
                  <c:v>#N/A</c:v>
                </c:pt>
                <c:pt idx="274">
                  <c:v>443.39898602076806</c:v>
                </c:pt>
                <c:pt idx="275">
                  <c:v>#N/A</c:v>
                </c:pt>
                <c:pt idx="276">
                  <c:v>#N/A</c:v>
                </c:pt>
                <c:pt idx="277">
                  <c:v>#N/A</c:v>
                </c:pt>
                <c:pt idx="278">
                  <c:v>#N/A</c:v>
                </c:pt>
                <c:pt idx="279">
                  <c:v>#N/A</c:v>
                </c:pt>
                <c:pt idx="280">
                  <c:v>#N/A</c:v>
                </c:pt>
                <c:pt idx="281">
                  <c:v>#N/A</c:v>
                </c:pt>
                <c:pt idx="282">
                  <c:v>#N/A</c:v>
                </c:pt>
                <c:pt idx="283">
                  <c:v>#N/A</c:v>
                </c:pt>
                <c:pt idx="284">
                  <c:v>468.60364402138953</c:v>
                </c:pt>
                <c:pt idx="285">
                  <c:v>#N/A</c:v>
                </c:pt>
                <c:pt idx="286">
                  <c:v>#N/A</c:v>
                </c:pt>
                <c:pt idx="287">
                  <c:v>#N/A</c:v>
                </c:pt>
                <c:pt idx="288">
                  <c:v>#N/A</c:v>
                </c:pt>
                <c:pt idx="289">
                  <c:v>#N/A</c:v>
                </c:pt>
                <c:pt idx="290">
                  <c:v>#N/A</c:v>
                </c:pt>
                <c:pt idx="291">
                  <c:v>#N/A</c:v>
                </c:pt>
                <c:pt idx="292">
                  <c:v>#N/A</c:v>
                </c:pt>
                <c:pt idx="293">
                  <c:v>#N/A</c:v>
                </c:pt>
                <c:pt idx="294">
                  <c:v>493.26806763159215</c:v>
                </c:pt>
                <c:pt idx="295">
                  <c:v>#N/A</c:v>
                </c:pt>
                <c:pt idx="296">
                  <c:v>#N/A</c:v>
                </c:pt>
                <c:pt idx="297">
                  <c:v>#N/A</c:v>
                </c:pt>
                <c:pt idx="298">
                  <c:v>#N/A</c:v>
                </c:pt>
                <c:pt idx="299">
                  <c:v>#N/A</c:v>
                </c:pt>
                <c:pt idx="300">
                  <c:v>#N/A</c:v>
                </c:pt>
                <c:pt idx="301">
                  <c:v>#N/A</c:v>
                </c:pt>
                <c:pt idx="302">
                  <c:v>#N/A</c:v>
                </c:pt>
                <c:pt idx="303">
                  <c:v>#N/A</c:v>
                </c:pt>
                <c:pt idx="304">
                  <c:v>517.47690439461155</c:v>
                </c:pt>
                <c:pt idx="305">
                  <c:v>#N/A</c:v>
                </c:pt>
                <c:pt idx="306">
                  <c:v>#N/A</c:v>
                </c:pt>
                <c:pt idx="307">
                  <c:v>#N/A</c:v>
                </c:pt>
                <c:pt idx="308">
                  <c:v>#N/A</c:v>
                </c:pt>
                <c:pt idx="309">
                  <c:v>#N/A</c:v>
                </c:pt>
                <c:pt idx="310">
                  <c:v>#N/A</c:v>
                </c:pt>
                <c:pt idx="311">
                  <c:v>#N/A</c:v>
                </c:pt>
                <c:pt idx="312">
                  <c:v>#N/A</c:v>
                </c:pt>
                <c:pt idx="313">
                  <c:v>#N/A</c:v>
                </c:pt>
                <c:pt idx="314">
                  <c:v>541.24660156406992</c:v>
                </c:pt>
                <c:pt idx="315">
                  <c:v>#N/A</c:v>
                </c:pt>
                <c:pt idx="316">
                  <c:v>#N/A</c:v>
                </c:pt>
                <c:pt idx="317">
                  <c:v>#N/A</c:v>
                </c:pt>
                <c:pt idx="318">
                  <c:v>#N/A</c:v>
                </c:pt>
                <c:pt idx="319">
                  <c:v>#N/A</c:v>
                </c:pt>
                <c:pt idx="320">
                  <c:v>#N/A</c:v>
                </c:pt>
                <c:pt idx="321">
                  <c:v>#N/A</c:v>
                </c:pt>
                <c:pt idx="322">
                  <c:v>#N/A</c:v>
                </c:pt>
                <c:pt idx="323">
                  <c:v>#N/A</c:v>
                </c:pt>
                <c:pt idx="324">
                  <c:v>564.53213769731235</c:v>
                </c:pt>
                <c:pt idx="325">
                  <c:v>#N/A</c:v>
                </c:pt>
                <c:pt idx="326">
                  <c:v>#N/A</c:v>
                </c:pt>
                <c:pt idx="327">
                  <c:v>#N/A</c:v>
                </c:pt>
                <c:pt idx="328">
                  <c:v>#N/A</c:v>
                </c:pt>
                <c:pt idx="329">
                  <c:v>#N/A</c:v>
                </c:pt>
                <c:pt idx="330">
                  <c:v>#N/A</c:v>
                </c:pt>
                <c:pt idx="331">
                  <c:v>#N/A</c:v>
                </c:pt>
                <c:pt idx="332">
                  <c:v>#N/A</c:v>
                </c:pt>
                <c:pt idx="333">
                  <c:v>#N/A</c:v>
                </c:pt>
                <c:pt idx="334">
                  <c:v>587.25102225920466</c:v>
                </c:pt>
                <c:pt idx="335">
                  <c:v>#N/A</c:v>
                </c:pt>
                <c:pt idx="336">
                  <c:v>#N/A</c:v>
                </c:pt>
                <c:pt idx="337">
                  <c:v>#N/A</c:v>
                </c:pt>
                <c:pt idx="338">
                  <c:v>#N/A</c:v>
                </c:pt>
                <c:pt idx="339">
                  <c:v>#N/A</c:v>
                </c:pt>
                <c:pt idx="340">
                  <c:v>#N/A</c:v>
                </c:pt>
                <c:pt idx="341">
                  <c:v>#N/A</c:v>
                </c:pt>
                <c:pt idx="342">
                  <c:v>#N/A</c:v>
                </c:pt>
                <c:pt idx="343">
                  <c:v>#N/A</c:v>
                </c:pt>
                <c:pt idx="344">
                  <c:v>609.30695349083032</c:v>
                </c:pt>
                <c:pt idx="345">
                  <c:v>#N/A</c:v>
                </c:pt>
                <c:pt idx="346">
                  <c:v>#N/A</c:v>
                </c:pt>
                <c:pt idx="347">
                  <c:v>#N/A</c:v>
                </c:pt>
                <c:pt idx="348">
                  <c:v>#N/A</c:v>
                </c:pt>
                <c:pt idx="349">
                  <c:v>#N/A</c:v>
                </c:pt>
                <c:pt idx="350">
                  <c:v>#N/A</c:v>
                </c:pt>
                <c:pt idx="351">
                  <c:v>#N/A</c:v>
                </c:pt>
                <c:pt idx="352">
                  <c:v>#N/A</c:v>
                </c:pt>
                <c:pt idx="353">
                  <c:v>#N/A</c:v>
                </c:pt>
                <c:pt idx="354">
                  <c:v>630.60508103725488</c:v>
                </c:pt>
                <c:pt idx="355">
                  <c:v>#N/A</c:v>
                </c:pt>
                <c:pt idx="356">
                  <c:v>#N/A</c:v>
                </c:pt>
                <c:pt idx="357">
                  <c:v>#N/A</c:v>
                </c:pt>
                <c:pt idx="358">
                  <c:v>#N/A</c:v>
                </c:pt>
                <c:pt idx="359">
                  <c:v>#N/A</c:v>
                </c:pt>
                <c:pt idx="360">
                  <c:v>#N/A</c:v>
                </c:pt>
                <c:pt idx="361">
                  <c:v>#N/A</c:v>
                </c:pt>
                <c:pt idx="362">
                  <c:v>#N/A</c:v>
                </c:pt>
                <c:pt idx="363">
                  <c:v>#N/A</c:v>
                </c:pt>
                <c:pt idx="364">
                  <c:v>651.06060644739875</c:v>
                </c:pt>
                <c:pt idx="365">
                  <c:v>#N/A</c:v>
                </c:pt>
                <c:pt idx="366">
                  <c:v>#N/A</c:v>
                </c:pt>
                <c:pt idx="367">
                  <c:v>#N/A</c:v>
                </c:pt>
                <c:pt idx="368">
                  <c:v>#N/A</c:v>
                </c:pt>
                <c:pt idx="369">
                  <c:v>#N/A</c:v>
                </c:pt>
                <c:pt idx="370">
                  <c:v>#N/A</c:v>
                </c:pt>
                <c:pt idx="371">
                  <c:v>#N/A</c:v>
                </c:pt>
                <c:pt idx="372">
                  <c:v>#N/A</c:v>
                </c:pt>
                <c:pt idx="373">
                  <c:v>#N/A</c:v>
                </c:pt>
                <c:pt idx="374">
                  <c:v>670.60336921086594</c:v>
                </c:pt>
                <c:pt idx="375">
                  <c:v>#N/A</c:v>
                </c:pt>
                <c:pt idx="376">
                  <c:v>#N/A</c:v>
                </c:pt>
                <c:pt idx="377">
                  <c:v>#N/A</c:v>
                </c:pt>
                <c:pt idx="378">
                  <c:v>#N/A</c:v>
                </c:pt>
                <c:pt idx="379">
                  <c:v>#N/A</c:v>
                </c:pt>
                <c:pt idx="380">
                  <c:v>#N/A</c:v>
                </c:pt>
                <c:pt idx="381">
                  <c:v>#N/A</c:v>
                </c:pt>
                <c:pt idx="382">
                  <c:v>#N/A</c:v>
                </c:pt>
                <c:pt idx="383">
                  <c:v>#N/A</c:v>
                </c:pt>
                <c:pt idx="384">
                  <c:v>689.17996101095468</c:v>
                </c:pt>
                <c:pt idx="385">
                  <c:v>#N/A</c:v>
                </c:pt>
                <c:pt idx="386">
                  <c:v>#N/A</c:v>
                </c:pt>
                <c:pt idx="387">
                  <c:v>#N/A</c:v>
                </c:pt>
                <c:pt idx="388">
                  <c:v>#N/A</c:v>
                </c:pt>
                <c:pt idx="389">
                  <c:v>#N/A</c:v>
                </c:pt>
                <c:pt idx="390">
                  <c:v>#N/A</c:v>
                </c:pt>
                <c:pt idx="391">
                  <c:v>#N/A</c:v>
                </c:pt>
                <c:pt idx="392">
                  <c:v>#N/A</c:v>
                </c:pt>
                <c:pt idx="393">
                  <c:v>#N/A</c:v>
                </c:pt>
                <c:pt idx="394">
                  <c:v>706.75420525641277</c:v>
                </c:pt>
                <c:pt idx="395">
                  <c:v>#N/A</c:v>
                </c:pt>
                <c:pt idx="396">
                  <c:v>#N/A</c:v>
                </c:pt>
                <c:pt idx="397">
                  <c:v>#N/A</c:v>
                </c:pt>
                <c:pt idx="398">
                  <c:v>#N/A</c:v>
                </c:pt>
                <c:pt idx="399">
                  <c:v>#N/A</c:v>
                </c:pt>
                <c:pt idx="400">
                  <c:v>#N/A</c:v>
                </c:pt>
                <c:pt idx="401">
                  <c:v>#N/A</c:v>
                </c:pt>
                <c:pt idx="402">
                  <c:v>#N/A</c:v>
                </c:pt>
                <c:pt idx="403">
                  <c:v>#N/A</c:v>
                </c:pt>
                <c:pt idx="404">
                  <c:v>723.30651953700044</c:v>
                </c:pt>
                <c:pt idx="405">
                  <c:v>#N/A</c:v>
                </c:pt>
                <c:pt idx="406">
                  <c:v>#N/A</c:v>
                </c:pt>
                <c:pt idx="407">
                  <c:v>#N/A</c:v>
                </c:pt>
                <c:pt idx="408">
                  <c:v>#N/A</c:v>
                </c:pt>
                <c:pt idx="409">
                  <c:v>#N/A</c:v>
                </c:pt>
                <c:pt idx="410">
                  <c:v>#N/A</c:v>
                </c:pt>
                <c:pt idx="411">
                  <c:v>#N/A</c:v>
                </c:pt>
                <c:pt idx="412">
                  <c:v>#N/A</c:v>
                </c:pt>
                <c:pt idx="413">
                  <c:v>#N/A</c:v>
                </c:pt>
                <c:pt idx="414">
                  <c:v>738.83253254650208</c:v>
                </c:pt>
                <c:pt idx="415">
                  <c:v>#N/A</c:v>
                </c:pt>
                <c:pt idx="416">
                  <c:v>#N/A</c:v>
                </c:pt>
                <c:pt idx="417">
                  <c:v>#N/A</c:v>
                </c:pt>
                <c:pt idx="418">
                  <c:v>#N/A</c:v>
                </c:pt>
                <c:pt idx="419">
                  <c:v>#N/A</c:v>
                </c:pt>
                <c:pt idx="420">
                  <c:v>#N/A</c:v>
                </c:pt>
                <c:pt idx="421">
                  <c:v>#N/A</c:v>
                </c:pt>
                <c:pt idx="422">
                  <c:v>#N/A</c:v>
                </c:pt>
                <c:pt idx="423">
                  <c:v>#N/A</c:v>
                </c:pt>
                <c:pt idx="424">
                  <c:v>753.3412451235298</c:v>
                </c:pt>
                <c:pt idx="425">
                  <c:v>#N/A</c:v>
                </c:pt>
                <c:pt idx="426">
                  <c:v>#N/A</c:v>
                </c:pt>
                <c:pt idx="427">
                  <c:v>#N/A</c:v>
                </c:pt>
                <c:pt idx="428">
                  <c:v>#N/A</c:v>
                </c:pt>
                <c:pt idx="429">
                  <c:v>#N/A</c:v>
                </c:pt>
                <c:pt idx="430">
                  <c:v>#N/A</c:v>
                </c:pt>
                <c:pt idx="431">
                  <c:v>#N/A</c:v>
                </c:pt>
                <c:pt idx="432">
                  <c:v>#N/A</c:v>
                </c:pt>
                <c:pt idx="433">
                  <c:v>#N/A</c:v>
                </c:pt>
                <c:pt idx="434">
                  <c:v>766.85296451802742</c:v>
                </c:pt>
                <c:pt idx="435">
                  <c:v>#N/A</c:v>
                </c:pt>
                <c:pt idx="436">
                  <c:v>#N/A</c:v>
                </c:pt>
                <c:pt idx="437">
                  <c:v>#N/A</c:v>
                </c:pt>
                <c:pt idx="438">
                  <c:v>#N/A</c:v>
                </c:pt>
                <c:pt idx="439">
                  <c:v>#N/A</c:v>
                </c:pt>
                <c:pt idx="440">
                  <c:v>#N/A</c:v>
                </c:pt>
                <c:pt idx="441">
                  <c:v>#N/A</c:v>
                </c:pt>
                <c:pt idx="442">
                  <c:v>#N/A</c:v>
                </c:pt>
                <c:pt idx="443">
                  <c:v>#N/A</c:v>
                </c:pt>
                <c:pt idx="444">
                  <c:v>779.39718796246768</c:v>
                </c:pt>
                <c:pt idx="445">
                  <c:v>#N/A</c:v>
                </c:pt>
                <c:pt idx="446">
                  <c:v>#N/A</c:v>
                </c:pt>
                <c:pt idx="447">
                  <c:v>#N/A</c:v>
                </c:pt>
                <c:pt idx="448">
                  <c:v>#N/A</c:v>
                </c:pt>
                <c:pt idx="449">
                  <c:v>#N/A</c:v>
                </c:pt>
                <c:pt idx="450">
                  <c:v>#N/A</c:v>
                </c:pt>
                <c:pt idx="451">
                  <c:v>#N/A</c:v>
                </c:pt>
                <c:pt idx="452">
                  <c:v>#N/A</c:v>
                </c:pt>
                <c:pt idx="453">
                  <c:v>#N/A</c:v>
                </c:pt>
                <c:pt idx="454">
                  <c:v>791.01056347298493</c:v>
                </c:pt>
                <c:pt idx="455">
                  <c:v>#N/A</c:v>
                </c:pt>
                <c:pt idx="456">
                  <c:v>#N/A</c:v>
                </c:pt>
                <c:pt idx="457">
                  <c:v>#N/A</c:v>
                </c:pt>
                <c:pt idx="458">
                  <c:v>#N/A</c:v>
                </c:pt>
                <c:pt idx="459">
                  <c:v>#N/A</c:v>
                </c:pt>
                <c:pt idx="460">
                  <c:v>#N/A</c:v>
                </c:pt>
                <c:pt idx="461">
                  <c:v>#N/A</c:v>
                </c:pt>
                <c:pt idx="462">
                  <c:v>#N/A</c:v>
                </c:pt>
                <c:pt idx="463">
                  <c:v>#N/A</c:v>
                </c:pt>
                <c:pt idx="464">
                  <c:v>801.73501339901736</c:v>
                </c:pt>
                <c:pt idx="465">
                  <c:v>#N/A</c:v>
                </c:pt>
                <c:pt idx="466">
                  <c:v>#N/A</c:v>
                </c:pt>
                <c:pt idx="467">
                  <c:v>#N/A</c:v>
                </c:pt>
                <c:pt idx="468">
                  <c:v>#N/A</c:v>
                </c:pt>
                <c:pt idx="469">
                  <c:v>#N/A</c:v>
                </c:pt>
                <c:pt idx="470">
                  <c:v>#N/A</c:v>
                </c:pt>
                <c:pt idx="471">
                  <c:v>#N/A</c:v>
                </c:pt>
                <c:pt idx="472">
                  <c:v>#N/A</c:v>
                </c:pt>
                <c:pt idx="473">
                  <c:v>#N/A</c:v>
                </c:pt>
                <c:pt idx="474">
                  <c:v>811.61607084285345</c:v>
                </c:pt>
                <c:pt idx="475">
                  <c:v>#N/A</c:v>
                </c:pt>
                <c:pt idx="476">
                  <c:v>#N/A</c:v>
                </c:pt>
                <c:pt idx="477">
                  <c:v>#N/A</c:v>
                </c:pt>
                <c:pt idx="478">
                  <c:v>#N/A</c:v>
                </c:pt>
                <c:pt idx="479">
                  <c:v>#N/A</c:v>
                </c:pt>
                <c:pt idx="480">
                  <c:v>#N/A</c:v>
                </c:pt>
                <c:pt idx="481">
                  <c:v>#N/A</c:v>
                </c:pt>
                <c:pt idx="482">
                  <c:v>#N/A</c:v>
                </c:pt>
                <c:pt idx="483">
                  <c:v>#N/A</c:v>
                </c:pt>
                <c:pt idx="484">
                  <c:v>820.70145127724174</c:v>
                </c:pt>
                <c:pt idx="485">
                  <c:v>#N/A</c:v>
                </c:pt>
                <c:pt idx="486">
                  <c:v>#N/A</c:v>
                </c:pt>
                <c:pt idx="487">
                  <c:v>#N/A</c:v>
                </c:pt>
                <c:pt idx="488">
                  <c:v>#N/A</c:v>
                </c:pt>
                <c:pt idx="489">
                  <c:v>#N/A</c:v>
                </c:pt>
                <c:pt idx="490">
                  <c:v>#N/A</c:v>
                </c:pt>
                <c:pt idx="491">
                  <c:v>#N/A</c:v>
                </c:pt>
                <c:pt idx="492">
                  <c:v>#N/A</c:v>
                </c:pt>
                <c:pt idx="493">
                  <c:v>#N/A</c:v>
                </c:pt>
                <c:pt idx="494">
                  <c:v>829.03986127859275</c:v>
                </c:pt>
                <c:pt idx="495">
                  <c:v>#N/A</c:v>
                </c:pt>
                <c:pt idx="496">
                  <c:v>#N/A</c:v>
                </c:pt>
                <c:pt idx="497">
                  <c:v>#N/A</c:v>
                </c:pt>
                <c:pt idx="498">
                  <c:v>#N/A</c:v>
                </c:pt>
                <c:pt idx="499">
                  <c:v>#N/A</c:v>
                </c:pt>
                <c:pt idx="500">
                  <c:v>#N/A</c:v>
                </c:pt>
                <c:pt idx="501">
                  <c:v>#N/A</c:v>
                </c:pt>
                <c:pt idx="502">
                  <c:v>#N/A</c:v>
                </c:pt>
                <c:pt idx="503">
                  <c:v>#N/A</c:v>
                </c:pt>
                <c:pt idx="504">
                  <c:v>836.68003243268845</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1438.172866697847</c:v>
                </c:pt>
                <c:pt idx="300">
                  <c:v>1438.0767119267175</c:v>
                </c:pt>
                <c:pt idx="301">
                  <c:v>1437.8826287380009</c:v>
                </c:pt>
                <c:pt idx="302">
                  <c:v>1437.5907921864218</c:v>
                </c:pt>
                <c:pt idx="303">
                  <c:v>1437.2013780960326</c:v>
                </c:pt>
                <c:pt idx="304">
                  <c:v>1436.7145638979523</c:v>
                </c:pt>
                <c:pt idx="305">
                  <c:v>1436.130529441567</c:v>
                </c:pt>
                <c:pt idx="306">
                  <c:v>1435.4494577734949</c:v>
                </c:pt>
                <c:pt idx="307">
                  <c:v>1434.6715358793581</c:v>
                </c:pt>
                <c:pt idx="308">
                  <c:v>1433.7969553842604</c:v>
                </c:pt>
                <c:pt idx="309">
                  <c:v>1432.8259132087915</c:v>
                </c:pt>
                <c:pt idx="310">
                  <c:v>1431.7586121783017</c:v>
                </c:pt>
                <c:pt idx="311">
                  <c:v>1430.5952615841022</c:v>
                </c:pt>
                <c:pt idx="312">
                  <c:v>1429.3360776960706</c:v>
                </c:pt>
                <c:pt idx="313">
                  <c:v>1427.9812842268909</c:v>
                </c:pt>
                <c:pt idx="314">
                  <c:v>1426.531112748788</c:v>
                </c:pt>
                <c:pt idx="315">
                  <c:v>1424.9858030641353</c:v>
                </c:pt>
                <c:pt idx="316">
                  <c:v>1423.3456035317236</c:v>
                </c:pt>
                <c:pt idx="317">
                  <c:v>1421.6107713507683</c:v>
                </c:pt>
                <c:pt idx="318">
                  <c:v>1419.7815728049438</c:v>
                </c:pt>
                <c:pt idx="319">
                  <c:v>1417.8582834688364</c:v>
                </c:pt>
                <c:pt idx="320">
                  <c:v>1415.8411883792644</c:v>
                </c:pt>
                <c:pt idx="321">
                  <c:v>1413.7305821738946</c:v>
                </c:pt>
                <c:pt idx="322">
                  <c:v>1411.5267691995355</c:v>
                </c:pt>
                <c:pt idx="323">
                  <c:v>1409.2300635923946</c:v>
                </c:pt>
                <c:pt idx="324">
                  <c:v>1406.840789332482</c:v>
                </c:pt>
                <c:pt idx="325">
                  <c:v>1404.359280274216</c:v>
                </c:pt>
                <c:pt idx="326">
                  <c:v>1401.7858801551538</c:v>
                </c:pt>
                <c:pt idx="327">
                  <c:v>1399.1209425846375</c:v>
                </c:pt>
                <c:pt idx="328">
                  <c:v>1396.3648310140113</c:v>
                </c:pt>
                <c:pt idx="329">
                  <c:v>1393.5179186899352</c:v>
                </c:pt>
                <c:pt idx="330">
                  <c:v>1390.5805885922011</c:v>
                </c:pt>
                <c:pt idx="331">
                  <c:v>1387.5532333573371</c:v>
                </c:pt>
                <c:pt idx="332">
                  <c:v>1384.4362551891802</c:v>
                </c:pt>
                <c:pt idx="333">
                  <c:v>1381.2300657574979</c:v>
                </c:pt>
                <c:pt idx="334">
                  <c:v>1377.9350860856496</c:v>
                </c:pt>
                <c:pt idx="335">
                  <c:v>1374.5517464281907</c:v>
                </c:pt>
                <c:pt idx="336">
                  <c:v>1371.080486139253</c:v>
                </c:pt>
                <c:pt idx="337">
                  <c:v>1367.5217535324641</c:v>
                </c:pt>
                <c:pt idx="338">
                  <c:v>1363.8760057331049</c:v>
                </c:pt>
                <c:pt idx="339">
                  <c:v>1360.1437085231535</c:v>
                </c:pt>
                <c:pt idx="340">
                  <c:v>1356.3253361798122</c:v>
                </c:pt>
                <c:pt idx="341">
                  <c:v>1352.4213713080683</c:v>
                </c:pt>
                <c:pt idx="342">
                  <c:v>1348.4323046678016</c:v>
                </c:pt>
                <c:pt idx="343">
                  <c:v>1344.358634995916</c:v>
                </c:pt>
                <c:pt idx="344">
                  <c:v>1340.2008688239362</c:v>
                </c:pt>
                <c:pt idx="345">
                  <c:v>1335.9595202914907</c:v>
                </c:pt>
                <c:pt idx="346">
                  <c:v>1331.635110956064</c:v>
                </c:pt>
                <c:pt idx="347">
                  <c:v>1327.2281695993895</c:v>
                </c:pt>
                <c:pt idx="348">
                  <c:v>1322.7392320308247</c:v>
                </c:pt>
                <c:pt idx="349">
                  <c:v>1318.1688408880361</c:v>
                </c:pt>
                <c:pt idx="350">
                  <c:v>1313.5175454353023</c:v>
                </c:pt>
                <c:pt idx="351">
                  <c:v>1308.7859013597276</c:v>
                </c:pt>
                <c:pt idx="352">
                  <c:v>1303.9744705656447</c:v>
                </c:pt>
                <c:pt idx="353">
                  <c:v>1299.0838209674714</c:v>
                </c:pt>
                <c:pt idx="354">
                  <c:v>1294.1145262812745</c:v>
                </c:pt>
                <c:pt idx="355">
                  <c:v>1289.0671658152817</c:v>
                </c:pt>
                <c:pt idx="356">
                  <c:v>1283.9423242595742</c:v>
                </c:pt>
                <c:pt idx="357">
                  <c:v>1278.7405914751796</c:v>
                </c:pt>
                <c:pt idx="358">
                  <c:v>1273.4625622827773</c:v>
                </c:pt>
                <c:pt idx="359">
                  <c:v>1268.1088362512221</c:v>
                </c:pt>
                <c:pt idx="360">
                  <c:v>1262.6800174860789</c:v>
                </c:pt>
                <c:pt idx="361">
                  <c:v>1257.1767144183573</c:v>
                </c:pt>
                <c:pt idx="362">
                  <c:v>1251.5995395936259</c:v>
                </c:pt>
                <c:pt idx="363">
                  <c:v>1245.9491094616801</c:v>
                </c:pt>
                <c:pt idx="364">
                  <c:v>1240.2260441669289</c:v>
                </c:pt>
                <c:pt idx="365">
                  <c:v>1234.4309673396617</c:v>
                </c:pt>
                <c:pt idx="366">
                  <c:v>1228.5645058883467</c:v>
                </c:pt>
                <c:pt idx="367">
                  <c:v>1222.6272897931099</c:v>
                </c:pt>
                <c:pt idx="368">
                  <c:v>1216.6199519005359</c:v>
                </c:pt>
                <c:pt idx="369">
                  <c:v>1210.5431277199248</c:v>
                </c:pt>
                <c:pt idx="370">
                  <c:v>1204.3974552211364</c:v>
                </c:pt>
                <c:pt idx="371">
                  <c:v>1198.1835746341451</c:v>
                </c:pt>
                <c:pt idx="372">
                  <c:v>1191.9021282504248</c:v>
                </c:pt>
                <c:pt idx="373">
                  <c:v>1185.5537602262771</c:v>
                </c:pt>
                <c:pt idx="374">
                  <c:v>1179.1391163882111</c:v>
                </c:pt>
                <c:pt idx="375">
                  <c:v>1172.6588440404776</c:v>
                </c:pt>
                <c:pt idx="376">
                  <c:v>1166.1135917748568</c:v>
                </c:pt>
                <c:pt idx="377">
                  <c:v>1159.5040092827908</c:v>
                </c:pt>
                <c:pt idx="378">
                  <c:v>1152.8307471699504</c:v>
                </c:pt>
                <c:pt idx="379">
                  <c:v>1146.0944567733197</c:v>
                </c:pt>
                <c:pt idx="380">
                  <c:v>1139.2957899808757</c:v>
                </c:pt>
                <c:pt idx="381">
                  <c:v>1132.4353990539387</c:v>
                </c:pt>
                <c:pt idx="382">
                  <c:v>1125.5139364522611</c:v>
                </c:pt>
                <c:pt idx="383">
                  <c:v>1118.5320546619214</c:v>
                </c:pt>
                <c:pt idx="384">
                  <c:v>1111.4904060260812</c:v>
                </c:pt>
                <c:pt idx="385">
                  <c:v>1104.3896425786652</c:v>
                </c:pt>
                <c:pt idx="386">
                  <c:v>1097.2304158810111</c:v>
                </c:pt>
                <c:pt idx="387">
                  <c:v>1090.0133768615424</c:v>
                </c:pt>
                <c:pt idx="388">
                  <c:v>1082.7391756585027</c:v>
                </c:pt>
                <c:pt idx="389">
                  <c:v>1075.4084614657957</c:v>
                </c:pt>
                <c:pt idx="390">
                  <c:v>1068.0218823819619</c:v>
                </c:pt>
                <c:pt idx="391">
                  <c:v>1060.5800852623283</c:v>
                </c:pt>
                <c:pt idx="392">
                  <c:v>1053.0837155743554</c:v>
                </c:pt>
                <c:pt idx="393">
                  <c:v>1045.5334172562084</c:v>
                </c:pt>
                <c:pt idx="394">
                  <c:v>1037.9298325785714</c:v>
                </c:pt>
                <c:pt idx="395">
                  <c:v>1030.2736020097252</c:v>
                </c:pt>
                <c:pt idx="396">
                  <c:v>1022.565364083897</c:v>
                </c:pt>
                <c:pt idx="397">
                  <c:v>1014.8057552728993</c:v>
                </c:pt>
                <c:pt idx="398">
                  <c:v>1006.9954098610605</c:v>
                </c:pt>
                <c:pt idx="399">
                  <c:v>999.13495982345273</c:v>
                </c:pt>
                <c:pt idx="400">
                  <c:v>991.22503470741992</c:v>
                </c:pt>
                <c:pt idx="401">
                  <c:v>983.26626151740197</c:v>
                </c:pt>
                <c:pt idx="402">
                  <c:v>975.25926460305243</c:v>
                </c:pt>
                <c:pt idx="403">
                  <c:v>967.20466555064149</c:v>
                </c:pt>
                <c:pt idx="404">
                  <c:v>959.10308307773505</c:v>
                </c:pt>
                <c:pt idx="405">
                  <c:v>950.95513293113675</c:v>
                </c:pt>
                <c:pt idx="406">
                  <c:v>942.761427788079</c:v>
                </c:pt>
                <c:pt idx="407">
                  <c:v>934.52257716064548</c:v>
                </c:pt>
                <c:pt idx="408">
                  <c:v>926.23918730340574</c:v>
                </c:pt>
                <c:pt idx="409">
                  <c:v>917.91186112424009</c:v>
                </c:pt>
                <c:pt idx="410">
                  <c:v>909.54119809833173</c:v>
                </c:pt>
                <c:pt idx="411">
                  <c:v>901.12779418529999</c:v>
                </c:pt>
                <c:pt idx="412">
                  <c:v>892.67224174944761</c:v>
                </c:pt>
                <c:pt idx="413">
                  <c:v>884.17512948309286</c:v>
                </c:pt>
                <c:pt idx="414">
                  <c:v>875.63704233295482</c:v>
                </c:pt>
                <c:pt idx="415">
                  <c:v>867.05856142956043</c:v>
                </c:pt>
                <c:pt idx="416">
                  <c:v>858.44026401963845</c:v>
                </c:pt>
                <c:pt idx="417">
                  <c:v>849.78272340146509</c:v>
                </c:pt>
                <c:pt idx="418">
                  <c:v>841.08650886312466</c:v>
                </c:pt>
                <c:pt idx="419">
                  <c:v>832.35218562364673</c:v>
                </c:pt>
                <c:pt idx="420">
                  <c:v>823.58031477698114</c:v>
                </c:pt>
                <c:pt idx="421">
                  <c:v>814.77145323876982</c:v>
                </c:pt>
                <c:pt idx="422">
                  <c:v>805.92615369587509</c:v>
                </c:pt>
                <c:pt idx="423">
                  <c:v>797.04496455862079</c:v>
                </c:pt>
                <c:pt idx="424">
                  <c:v>788.12842991570403</c:v>
                </c:pt>
                <c:pt idx="425">
                  <c:v>779.17708949173357</c:v>
                </c:pt>
                <c:pt idx="426">
                  <c:v>770.19147860734972</c:v>
                </c:pt>
                <c:pt idx="427">
                  <c:v>761.17212814188099</c:v>
                </c:pt>
                <c:pt idx="428">
                  <c:v>752.11956449849094</c:v>
                </c:pt>
                <c:pt idx="429">
                  <c:v>743.0343095717692</c:v>
                </c:pt>
                <c:pt idx="430">
                  <c:v>733.91688071772035</c:v>
                </c:pt>
                <c:pt idx="431">
                  <c:v>724.76779072610213</c:v>
                </c:pt>
                <c:pt idx="432">
                  <c:v>715.58754779506694</c:v>
                </c:pt>
                <c:pt idx="433">
                  <c:v>706.37665550805741</c:v>
                </c:pt>
                <c:pt idx="434">
                  <c:v>697.13561281290913</c:v>
                </c:pt>
                <c:pt idx="435">
                  <c:v>687.86491400311161</c:v>
                </c:pt>
                <c:pt idx="436">
                  <c:v>678.56504870117988</c:v>
                </c:pt>
                <c:pt idx="437">
                  <c:v>669.23650184408723</c:v>
                </c:pt>
                <c:pt idx="438">
                  <c:v>659.8797536707126</c:v>
                </c:pt>
                <c:pt idx="439">
                  <c:v>650.49527971125212</c:v>
                </c:pt>
                <c:pt idx="440">
                  <c:v>641.0835507785489</c:v>
                </c:pt>
                <c:pt idx="441">
                  <c:v>631.64503296129067</c:v>
                </c:pt>
                <c:pt idx="442">
                  <c:v>622.18018761902954</c:v>
                </c:pt>
                <c:pt idx="443">
                  <c:v>612.68947137897487</c:v>
                </c:pt>
                <c:pt idx="444">
                  <c:v>603.17333613451194</c:v>
                </c:pt>
                <c:pt idx="445">
                  <c:v>593.63222904539987</c:v>
                </c:pt>
                <c:pt idx="446">
                  <c:v>584.06659253960152</c:v>
                </c:pt>
                <c:pt idx="447">
                  <c:v>574.47686431669877</c:v>
                </c:pt>
                <c:pt idx="448">
                  <c:v>564.86347735284778</c:v>
                </c:pt>
                <c:pt idx="449">
                  <c:v>555.22685990722789</c:v>
                </c:pt>
                <c:pt idx="450">
                  <c:v>545.56743552993896</c:v>
                </c:pt>
                <c:pt idx="451">
                  <c:v>535.88562307130258</c:v>
                </c:pt>
                <c:pt idx="452">
                  <c:v>526.18183669252312</c:v>
                </c:pt>
                <c:pt idx="453">
                  <c:v>516.45648587766448</c:v>
                </c:pt>
                <c:pt idx="454">
                  <c:v>506.70997544689885</c:v>
                </c:pt>
                <c:pt idx="455">
                  <c:v>496.94270557098611</c:v>
                </c:pt>
                <c:pt idx="456">
                  <c:v>487.15507178694014</c:v>
                </c:pt>
                <c:pt idx="457">
                  <c:v>477.34746501484176</c:v>
                </c:pt>
                <c:pt idx="458">
                  <c:v>467.52027157575657</c:v>
                </c:pt>
                <c:pt idx="459">
                  <c:v>457.67387321071777</c:v>
                </c:pt>
                <c:pt idx="460">
                  <c:v>447.80864710073394</c:v>
                </c:pt>
                <c:pt idx="461">
                  <c:v>437.92496588778283</c:v>
                </c:pt>
                <c:pt idx="462">
                  <c:v>428.02319769675302</c:v>
                </c:pt>
                <c:pt idx="463">
                  <c:v>418.10370615829493</c:v>
                </c:pt>
                <c:pt idx="464">
                  <c:v>408.16685043254466</c:v>
                </c:pt>
                <c:pt idx="465">
                  <c:v>398.21298523368432</c:v>
                </c:pt>
                <c:pt idx="466">
                  <c:v>388.24246085530223</c:v>
                </c:pt>
                <c:pt idx="467">
                  <c:v>378.25562319651902</c:v>
                </c:pt>
                <c:pt idx="468">
                  <c:v>368.25281378884426</c:v>
                </c:pt>
                <c:pt idx="469">
                  <c:v>358.23436982373033</c:v>
                </c:pt>
                <c:pt idx="470">
                  <c:v>348.20062418079067</c:v>
                </c:pt>
                <c:pt idx="471">
                  <c:v>338.15190545664939</c:v>
                </c:pt>
                <c:pt idx="472">
                  <c:v>328.08853799439152</c:v>
                </c:pt>
                <c:pt idx="473">
                  <c:v>318.01084191358194</c:v>
                </c:pt>
                <c:pt idx="474">
                  <c:v>307.91913314082353</c:v>
                </c:pt>
                <c:pt idx="475">
                  <c:v>297.81372344082445</c:v>
                </c:pt>
                <c:pt idx="476">
                  <c:v>287.69492044794578</c:v>
                </c:pt>
                <c:pt idx="477">
                  <c:v>277.56302769820138</c:v>
                </c:pt>
                <c:pt idx="478">
                  <c:v>267.41834466168228</c:v>
                </c:pt>
                <c:pt idx="479">
                  <c:v>257.26116677537902</c:v>
                </c:pt>
                <c:pt idx="480">
                  <c:v>247.09178547637524</c:v>
                </c:pt>
                <c:pt idx="481">
                  <c:v>236.91048823538736</c:v>
                </c:pt>
                <c:pt idx="482">
                  <c:v>226.71755859062563</c:v>
                </c:pt>
                <c:pt idx="483">
                  <c:v>216.51327618195171</c:v>
                </c:pt>
                <c:pt idx="484">
                  <c:v>206.29791678530995</c:v>
                </c:pt>
                <c:pt idx="485">
                  <c:v>196.07175234740882</c:v>
                </c:pt>
                <c:pt idx="486">
                  <c:v>185.83505102063063</c:v>
                </c:pt>
                <c:pt idx="487">
                  <c:v>175.58807719814769</c:v>
                </c:pt>
                <c:pt idx="488">
                  <c:v>165.33109154922377</c:v>
                </c:pt>
                <c:pt idx="489">
                  <c:v>155.06435105468066</c:v>
                </c:pt>
                <c:pt idx="490">
                  <c:v>144.7881090425098</c:v>
                </c:pt>
                <c:pt idx="491">
                  <c:v>134.50261522360992</c:v>
                </c:pt>
                <c:pt idx="492">
                  <c:v>124.20811572763181</c:v>
                </c:pt>
                <c:pt idx="493">
                  <c:v>113.90485313891234</c:v>
                </c:pt>
                <c:pt idx="494">
                  <c:v>103.59306653248024</c:v>
                </c:pt>
                <c:pt idx="495">
                  <c:v>93.272991510116469</c:v>
                </c:pt>
                <c:pt idx="496">
                  <c:v>82.94486023645311</c:v>
                </c:pt>
                <c:pt idx="497">
                  <c:v>72.608901475094655</c:v>
                </c:pt>
                <c:pt idx="498">
                  <c:v>62.265340624746507</c:v>
                </c:pt>
                <c:pt idx="499">
                  <c:v>51.914399755335907</c:v>
                </c:pt>
                <c:pt idx="500">
                  <c:v>41.556297644110948</c:v>
                </c:pt>
                <c:pt idx="501">
                  <c:v>31.191249811703891</c:v>
                </c:pt>
                <c:pt idx="502">
                  <c:v>20.819468558145587</c:v>
                </c:pt>
                <c:pt idx="503">
                  <c:v>10.441162998818086</c:v>
                </c:pt>
                <c:pt idx="504">
                  <c:v>5.6539100333203862E-2</c:v>
                </c:pt>
                <c:pt idx="505">
                  <c:v>-10.334200283674891</c:v>
                </c:pt>
                <c:pt idx="506">
                  <c:v>-10.344594033383434</c:v>
                </c:pt>
                <c:pt idx="507">
                  <c:v>-10.354987788908463</c:v>
                </c:pt>
                <c:pt idx="508">
                  <c:v>-10.365381550249786</c:v>
                </c:pt>
                <c:pt idx="509">
                  <c:v>-10.375775317407209</c:v>
                </c:pt>
                <c:pt idx="510">
                  <c:v>-10.386169090380534</c:v>
                </c:pt>
                <c:pt idx="511">
                  <c:v>-10.396562869169568</c:v>
                </c:pt>
                <c:pt idx="512">
                  <c:v>-10.406956653774115</c:v>
                </c:pt>
                <c:pt idx="513">
                  <c:v>-10.41735044419398</c:v>
                </c:pt>
                <c:pt idx="514">
                  <c:v>-10.42774424042897</c:v>
                </c:pt>
                <c:pt idx="515">
                  <c:v>-10.438138042478888</c:v>
                </c:pt>
                <c:pt idx="516">
                  <c:v>-10.44853185034354</c:v>
                </c:pt>
                <c:pt idx="517">
                  <c:v>-10.458925664022731</c:v>
                </c:pt>
                <c:pt idx="518">
                  <c:v>-10.469319483516264</c:v>
                </c:pt>
                <c:pt idx="519">
                  <c:v>-10.479713308823946</c:v>
                </c:pt>
                <c:pt idx="520">
                  <c:v>-10.490107139945582</c:v>
                </c:pt>
                <c:pt idx="521">
                  <c:v>-10.500500976880977</c:v>
                </c:pt>
                <c:pt idx="522">
                  <c:v>-10.510894819629934</c:v>
                </c:pt>
                <c:pt idx="523">
                  <c:v>-10.521288668192261</c:v>
                </c:pt>
                <c:pt idx="524">
                  <c:v>-10.531682522567761</c:v>
                </c:pt>
                <c:pt idx="525">
                  <c:v>-10.542076382756241</c:v>
                </c:pt>
                <c:pt idx="526">
                  <c:v>-10.552470248757505</c:v>
                </c:pt>
                <c:pt idx="527">
                  <c:v>-10.562864120571357</c:v>
                </c:pt>
                <c:pt idx="528">
                  <c:v>-10.573257998197603</c:v>
                </c:pt>
                <c:pt idx="529">
                  <c:v>-10.583651881636049</c:v>
                </c:pt>
                <c:pt idx="530">
                  <c:v>-10.594045770886499</c:v>
                </c:pt>
                <c:pt idx="531">
                  <c:v>-10.604439665948759</c:v>
                </c:pt>
                <c:pt idx="532">
                  <c:v>-10.614833566822632</c:v>
                </c:pt>
                <c:pt idx="533">
                  <c:v>-10.625227473507925</c:v>
                </c:pt>
                <c:pt idx="534">
                  <c:v>-10.635621386004443</c:v>
                </c:pt>
                <c:pt idx="535">
                  <c:v>-10.646015304311991</c:v>
                </c:pt>
                <c:pt idx="536">
                  <c:v>-10.656409228430373</c:v>
                </c:pt>
                <c:pt idx="537">
                  <c:v>-10.666803158359395</c:v>
                </c:pt>
                <c:pt idx="538">
                  <c:v>-10.677197094098862</c:v>
                </c:pt>
                <c:pt idx="539">
                  <c:v>-10.687591035648579</c:v>
                </c:pt>
                <c:pt idx="540">
                  <c:v>-10.69798498300835</c:v>
                </c:pt>
                <c:pt idx="541">
                  <c:v>-10.708378936177983</c:v>
                </c:pt>
                <c:pt idx="542">
                  <c:v>-10.718772895157279</c:v>
                </c:pt>
                <c:pt idx="543">
                  <c:v>-10.729166859946048</c:v>
                </c:pt>
                <c:pt idx="544">
                  <c:v>-10.739560830544091</c:v>
                </c:pt>
                <c:pt idx="545">
                  <c:v>-10.749954806951216</c:v>
                </c:pt>
                <c:pt idx="546">
                  <c:v>-10.760348789167226</c:v>
                </c:pt>
                <c:pt idx="547">
                  <c:v>-10.770742777191927</c:v>
                </c:pt>
                <c:pt idx="548">
                  <c:v>-10.781136771025123</c:v>
                </c:pt>
                <c:pt idx="549">
                  <c:v>-10.79153077066662</c:v>
                </c:pt>
                <c:pt idx="550">
                  <c:v>-10.801924776116223</c:v>
                </c:pt>
                <c:pt idx="551">
                  <c:v>-10.812318787373739</c:v>
                </c:pt>
                <c:pt idx="552">
                  <c:v>-10.822712804438972</c:v>
                </c:pt>
                <c:pt idx="553">
                  <c:v>-10.833106827311726</c:v>
                </c:pt>
                <c:pt idx="554">
                  <c:v>-10.843500855991806</c:v>
                </c:pt>
                <c:pt idx="555">
                  <c:v>-10.853894890479019</c:v>
                </c:pt>
                <c:pt idx="556">
                  <c:v>-10.864288930773169</c:v>
                </c:pt>
                <c:pt idx="557">
                  <c:v>-10.874682976874061</c:v>
                </c:pt>
                <c:pt idx="558">
                  <c:v>-10.885077028781499</c:v>
                </c:pt>
                <c:pt idx="559">
                  <c:v>-10.89547108649529</c:v>
                </c:pt>
                <c:pt idx="560">
                  <c:v>-10.90586515001524</c:v>
                </c:pt>
                <c:pt idx="561">
                  <c:v>-10.916259219341152</c:v>
                </c:pt>
                <c:pt idx="562">
                  <c:v>-10.926653294472832</c:v>
                </c:pt>
                <c:pt idx="563">
                  <c:v>-10.937047375410085</c:v>
                </c:pt>
                <c:pt idx="564">
                  <c:v>-10.947441462152717</c:v>
                </c:pt>
                <c:pt idx="565">
                  <c:v>-10.957835554700532</c:v>
                </c:pt>
                <c:pt idx="566">
                  <c:v>-10.968229653053337</c:v>
                </c:pt>
                <c:pt idx="567">
                  <c:v>-10.978623757210935</c:v>
                </c:pt>
                <c:pt idx="568">
                  <c:v>-10.989017867173132</c:v>
                </c:pt>
                <c:pt idx="569">
                  <c:v>-10.999411982939733</c:v>
                </c:pt>
                <c:pt idx="570">
                  <c:v>-11.009806104510544</c:v>
                </c:pt>
                <c:pt idx="571">
                  <c:v>-11.020200231885369</c:v>
                </c:pt>
                <c:pt idx="572">
                  <c:v>-11.030594365064013</c:v>
                </c:pt>
                <c:pt idx="573">
                  <c:v>-11.040988504046284</c:v>
                </c:pt>
                <c:pt idx="574">
                  <c:v>-11.051382648831986</c:v>
                </c:pt>
                <c:pt idx="575">
                  <c:v>-11.061776799420922</c:v>
                </c:pt>
                <c:pt idx="576">
                  <c:v>-11.072170955812899</c:v>
                </c:pt>
                <c:pt idx="577">
                  <c:v>-11.082565118007722</c:v>
                </c:pt>
                <c:pt idx="578">
                  <c:v>-11.092959286005195</c:v>
                </c:pt>
                <c:pt idx="579">
                  <c:v>-11.103353459805126</c:v>
                </c:pt>
                <c:pt idx="580">
                  <c:v>-11.113747639407316</c:v>
                </c:pt>
                <c:pt idx="581">
                  <c:v>-11.124141824811575</c:v>
                </c:pt>
                <c:pt idx="582">
                  <c:v>-11.134536016017705</c:v>
                </c:pt>
                <c:pt idx="583">
                  <c:v>-11.144930213025512</c:v>
                </c:pt>
                <c:pt idx="584">
                  <c:v>-11.155324415834801</c:v>
                </c:pt>
                <c:pt idx="585">
                  <c:v>-11.165718624445379</c:v>
                </c:pt>
                <c:pt idx="586">
                  <c:v>-11.176112838857049</c:v>
                </c:pt>
                <c:pt idx="587">
                  <c:v>-11.186507059069617</c:v>
                </c:pt>
                <c:pt idx="588">
                  <c:v>-11.196901285082889</c:v>
                </c:pt>
                <c:pt idx="589">
                  <c:v>-11.20729551689667</c:v>
                </c:pt>
                <c:pt idx="590">
                  <c:v>-11.217689754510763</c:v>
                </c:pt>
                <c:pt idx="591">
                  <c:v>-11.228083997924976</c:v>
                </c:pt>
                <c:pt idx="592">
                  <c:v>-11.238478247139113</c:v>
                </c:pt>
                <c:pt idx="593">
                  <c:v>-11.248872502152981</c:v>
                </c:pt>
                <c:pt idx="594">
                  <c:v>-11.259266762966384</c:v>
                </c:pt>
                <c:pt idx="595">
                  <c:v>-11.269661029579126</c:v>
                </c:pt>
                <c:pt idx="596">
                  <c:v>-11.280055301991014</c:v>
                </c:pt>
                <c:pt idx="597">
                  <c:v>-11.290449580201853</c:v>
                </c:pt>
                <c:pt idx="598">
                  <c:v>-11.300843864211448</c:v>
                </c:pt>
                <c:pt idx="599">
                  <c:v>-11.311238154019604</c:v>
                </c:pt>
                <c:pt idx="600">
                  <c:v>-11.321632449626126</c:v>
                </c:pt>
                <c:pt idx="601">
                  <c:v>-11.332026751030821</c:v>
                </c:pt>
                <c:pt idx="602">
                  <c:v>-11.342421058233493</c:v>
                </c:pt>
                <c:pt idx="603">
                  <c:v>-11.352815371233946</c:v>
                </c:pt>
                <c:pt idx="604">
                  <c:v>-11.363209690031988</c:v>
                </c:pt>
                <c:pt idx="605">
                  <c:v>-11.373604014627423</c:v>
                </c:pt>
                <c:pt idx="606">
                  <c:v>-11.383998345020055</c:v>
                </c:pt>
                <c:pt idx="607">
                  <c:v>-11.394392681209691</c:v>
                </c:pt>
                <c:pt idx="608">
                  <c:v>-11.404787023196135</c:v>
                </c:pt>
                <c:pt idx="609">
                  <c:v>-11.415181370979194</c:v>
                </c:pt>
                <c:pt idx="610">
                  <c:v>-11.425575724558673</c:v>
                </c:pt>
                <c:pt idx="611">
                  <c:v>-11.435970083934377</c:v>
                </c:pt>
                <c:pt idx="612">
                  <c:v>-11.44636444910611</c:v>
                </c:pt>
                <c:pt idx="613">
                  <c:v>-11.456758820073679</c:v>
                </c:pt>
                <c:pt idx="614">
                  <c:v>-11.467153196836888</c:v>
                </c:pt>
                <c:pt idx="615">
                  <c:v>-11.477547579395543</c:v>
                </c:pt>
                <c:pt idx="616">
                  <c:v>-11.48794196774945</c:v>
                </c:pt>
                <c:pt idx="617">
                  <c:v>-11.498336361898414</c:v>
                </c:pt>
                <c:pt idx="618">
                  <c:v>-11.508730761842239</c:v>
                </c:pt>
                <c:pt idx="619">
                  <c:v>-11.519125167580732</c:v>
                </c:pt>
                <c:pt idx="620">
                  <c:v>-11.529519579113698</c:v>
                </c:pt>
                <c:pt idx="621">
                  <c:v>-11.539913996440943</c:v>
                </c:pt>
                <c:pt idx="622">
                  <c:v>-11.550308419562271</c:v>
                </c:pt>
                <c:pt idx="623">
                  <c:v>-11.560702848477487</c:v>
                </c:pt>
                <c:pt idx="624">
                  <c:v>-11.571097283186397</c:v>
                </c:pt>
                <c:pt idx="625">
                  <c:v>-11.581491723688806</c:v>
                </c:pt>
                <c:pt idx="626">
                  <c:v>-11.591886169984521</c:v>
                </c:pt>
                <c:pt idx="627">
                  <c:v>-11.602280622073346</c:v>
                </c:pt>
                <c:pt idx="628">
                  <c:v>-11.612675079955086</c:v>
                </c:pt>
                <c:pt idx="629">
                  <c:v>-11.623069543629546</c:v>
                </c:pt>
                <c:pt idx="630">
                  <c:v>-11.633464013096534</c:v>
                </c:pt>
                <c:pt idx="631">
                  <c:v>-11.643858488355852</c:v>
                </c:pt>
                <c:pt idx="632">
                  <c:v>-11.654252969407308</c:v>
                </c:pt>
                <c:pt idx="633">
                  <c:v>-11.664647456250705</c:v>
                </c:pt>
                <c:pt idx="634">
                  <c:v>-11.675041948885852</c:v>
                </c:pt>
                <c:pt idx="635">
                  <c:v>-11.685436447312551</c:v>
                </c:pt>
                <c:pt idx="636">
                  <c:v>-11.695830951530608</c:v>
                </c:pt>
                <c:pt idx="637">
                  <c:v>-11.70622546153983</c:v>
                </c:pt>
                <c:pt idx="638">
                  <c:v>-11.71661997734002</c:v>
                </c:pt>
                <c:pt idx="639">
                  <c:v>-11.727014498930986</c:v>
                </c:pt>
                <c:pt idx="640">
                  <c:v>-11.737409026312532</c:v>
                </c:pt>
                <c:pt idx="641">
                  <c:v>-11.747803559484463</c:v>
                </c:pt>
                <c:pt idx="642">
                  <c:v>-11.758198098446584</c:v>
                </c:pt>
                <c:pt idx="643">
                  <c:v>-11.768592643198703</c:v>
                </c:pt>
                <c:pt idx="644">
                  <c:v>-11.778987193740623</c:v>
                </c:pt>
                <c:pt idx="645">
                  <c:v>-11.789381750072149</c:v>
                </c:pt>
                <c:pt idx="646">
                  <c:v>-11.799776312193089</c:v>
                </c:pt>
                <c:pt idx="647">
                  <c:v>-11.810170880103247</c:v>
                </c:pt>
                <c:pt idx="648">
                  <c:v>-11.820565453802427</c:v>
                </c:pt>
                <c:pt idx="649">
                  <c:v>-11.830960033290436</c:v>
                </c:pt>
                <c:pt idx="650">
                  <c:v>-11.841354618567079</c:v>
                </c:pt>
                <c:pt idx="651">
                  <c:v>-11.851749209632162</c:v>
                </c:pt>
                <c:pt idx="652">
                  <c:v>-11.862143806485491</c:v>
                </c:pt>
                <c:pt idx="653">
                  <c:v>-11.87253840912687</c:v>
                </c:pt>
                <c:pt idx="654">
                  <c:v>-11.882933017556105</c:v>
                </c:pt>
                <c:pt idx="655">
                  <c:v>-11.893327631773001</c:v>
                </c:pt>
                <c:pt idx="656">
                  <c:v>-11.903722251777364</c:v>
                </c:pt>
                <c:pt idx="657">
                  <c:v>-11.914116877568999</c:v>
                </c:pt>
                <c:pt idx="658">
                  <c:v>-11.924511509147711</c:v>
                </c:pt>
                <c:pt idx="659">
                  <c:v>-11.934906146513308</c:v>
                </c:pt>
                <c:pt idx="660">
                  <c:v>-11.945300789665593</c:v>
                </c:pt>
                <c:pt idx="661">
                  <c:v>-11.955695438604373</c:v>
                </c:pt>
                <c:pt idx="662">
                  <c:v>-11.966090093329452</c:v>
                </c:pt>
                <c:pt idx="663">
                  <c:v>-11.976484753840635</c:v>
                </c:pt>
                <c:pt idx="664">
                  <c:v>-11.986879420137729</c:v>
                </c:pt>
                <c:pt idx="665">
                  <c:v>-11.99727409222054</c:v>
                </c:pt>
                <c:pt idx="666">
                  <c:v>-12.007668770088872</c:v>
                </c:pt>
                <c:pt idx="667">
                  <c:v>-12.018063453742529</c:v>
                </c:pt>
                <c:pt idx="668">
                  <c:v>-12.02845814318132</c:v>
                </c:pt>
                <c:pt idx="669">
                  <c:v>-12.038852838405049</c:v>
                </c:pt>
                <c:pt idx="670">
                  <c:v>-12.049247539413521</c:v>
                </c:pt>
                <c:pt idx="671">
                  <c:v>-12.059642246206542</c:v>
                </c:pt>
                <c:pt idx="672">
                  <c:v>-12.070036958783916</c:v>
                </c:pt>
                <c:pt idx="673">
                  <c:v>-12.080431677145452</c:v>
                </c:pt>
                <c:pt idx="674">
                  <c:v>-12.090826401290952</c:v>
                </c:pt>
                <c:pt idx="675">
                  <c:v>-12.101221131220223</c:v>
                </c:pt>
                <c:pt idx="676">
                  <c:v>-12.11161586693307</c:v>
                </c:pt>
                <c:pt idx="677">
                  <c:v>-12.122010608429299</c:v>
                </c:pt>
                <c:pt idx="678">
                  <c:v>-12.132405355708716</c:v>
                </c:pt>
                <c:pt idx="679">
                  <c:v>-12.142800108771127</c:v>
                </c:pt>
                <c:pt idx="680">
                  <c:v>-12.153194867616335</c:v>
                </c:pt>
                <c:pt idx="681">
                  <c:v>-12.163589632244147</c:v>
                </c:pt>
                <c:pt idx="682">
                  <c:v>-12.173984402654368</c:v>
                </c:pt>
                <c:pt idx="683">
                  <c:v>-12.184379178846804</c:v>
                </c:pt>
                <c:pt idx="684">
                  <c:v>-12.19477396082126</c:v>
                </c:pt>
                <c:pt idx="685">
                  <c:v>-12.205168748577544</c:v>
                </c:pt>
                <c:pt idx="686">
                  <c:v>-12.215563542115458</c:v>
                </c:pt>
                <c:pt idx="687">
                  <c:v>-12.22595834143481</c:v>
                </c:pt>
                <c:pt idx="688">
                  <c:v>-12.236353146535404</c:v>
                </c:pt>
                <c:pt idx="689">
                  <c:v>-12.246747957417046</c:v>
                </c:pt>
                <c:pt idx="690">
                  <c:v>-12.257142774079542</c:v>
                </c:pt>
                <c:pt idx="691">
                  <c:v>-12.267537596522697</c:v>
                </c:pt>
                <c:pt idx="692">
                  <c:v>-12.277932424746318</c:v>
                </c:pt>
                <c:pt idx="693">
                  <c:v>-12.288327258750208</c:v>
                </c:pt>
                <c:pt idx="694">
                  <c:v>-12.298722098534174</c:v>
                </c:pt>
                <c:pt idx="695">
                  <c:v>-12.309116944098022</c:v>
                </c:pt>
                <c:pt idx="696">
                  <c:v>-12.319511795441558</c:v>
                </c:pt>
                <c:pt idx="697">
                  <c:v>-12.329906652564587</c:v>
                </c:pt>
                <c:pt idx="698">
                  <c:v>-12.340301515466912</c:v>
                </c:pt>
                <c:pt idx="699">
                  <c:v>-12.350696384148341</c:v>
                </c:pt>
                <c:pt idx="700">
                  <c:v>-12.361091258608679</c:v>
                </c:pt>
                <c:pt idx="701">
                  <c:v>-12.371486138847732</c:v>
                </c:pt>
                <c:pt idx="702">
                  <c:v>-12.381881024865306</c:v>
                </c:pt>
                <c:pt idx="703">
                  <c:v>-12.392275916661207</c:v>
                </c:pt>
                <c:pt idx="704">
                  <c:v>-12.40267081423524</c:v>
                </c:pt>
                <c:pt idx="705">
                  <c:v>-12.413065717587209</c:v>
                </c:pt>
                <c:pt idx="706">
                  <c:v>-12.423460626716921</c:v>
                </c:pt>
                <c:pt idx="707">
                  <c:v>-12.433855541624181</c:v>
                </c:pt>
                <c:pt idx="708">
                  <c:v>-12.444250462308796</c:v>
                </c:pt>
                <c:pt idx="709">
                  <c:v>-12.454645388770571</c:v>
                </c:pt>
                <c:pt idx="710">
                  <c:v>-12.46504032100931</c:v>
                </c:pt>
                <c:pt idx="711">
                  <c:v>-12.47543525902482</c:v>
                </c:pt>
                <c:pt idx="712">
                  <c:v>-12.485830202816906</c:v>
                </c:pt>
                <c:pt idx="713">
                  <c:v>-12.496225152385374</c:v>
                </c:pt>
                <c:pt idx="714">
                  <c:v>-12.506620107730031</c:v>
                </c:pt>
                <c:pt idx="715">
                  <c:v>-12.51701506885068</c:v>
                </c:pt>
                <c:pt idx="716">
                  <c:v>-12.527410035747129</c:v>
                </c:pt>
                <c:pt idx="717">
                  <c:v>-12.537805008419182</c:v>
                </c:pt>
                <c:pt idx="718">
                  <c:v>-12.548199986866646</c:v>
                </c:pt>
                <c:pt idx="719">
                  <c:v>-12.558594971089326</c:v>
                </c:pt>
                <c:pt idx="720">
                  <c:v>-12.568989961087027</c:v>
                </c:pt>
                <c:pt idx="721">
                  <c:v>-12.579384956859554</c:v>
                </c:pt>
                <c:pt idx="722">
                  <c:v>-12.589779958406716</c:v>
                </c:pt>
                <c:pt idx="723">
                  <c:v>-12.600174965728314</c:v>
                </c:pt>
                <c:pt idx="724">
                  <c:v>-12.610569978824158</c:v>
                </c:pt>
                <c:pt idx="725">
                  <c:v>-12.620964997694051</c:v>
                </c:pt>
                <c:pt idx="726">
                  <c:v>-12.631360022337798</c:v>
                </c:pt>
                <c:pt idx="727">
                  <c:v>-12.641755052755206</c:v>
                </c:pt>
                <c:pt idx="728">
                  <c:v>-12.652150088946081</c:v>
                </c:pt>
                <c:pt idx="729">
                  <c:v>-12.66254513091023</c:v>
                </c:pt>
                <c:pt idx="730">
                  <c:v>-12.672940178647456</c:v>
                </c:pt>
                <c:pt idx="731">
                  <c:v>-12.683335232157566</c:v>
                </c:pt>
                <c:pt idx="732">
                  <c:v>-12.693730291440364</c:v>
                </c:pt>
                <c:pt idx="733">
                  <c:v>-12.704125356495657</c:v>
                </c:pt>
                <c:pt idx="734">
                  <c:v>-12.714520427323251</c:v>
                </c:pt>
                <c:pt idx="735">
                  <c:v>-12.724915503922951</c:v>
                </c:pt>
                <c:pt idx="736">
                  <c:v>-12.735310586294563</c:v>
                </c:pt>
                <c:pt idx="737">
                  <c:v>-12.745705674437893</c:v>
                </c:pt>
                <c:pt idx="738">
                  <c:v>-12.756100768352747</c:v>
                </c:pt>
                <c:pt idx="739">
                  <c:v>-12.76649586803893</c:v>
                </c:pt>
                <c:pt idx="740">
                  <c:v>-12.776890973496249</c:v>
                </c:pt>
                <c:pt idx="741">
                  <c:v>-12.787286084724506</c:v>
                </c:pt>
                <c:pt idx="742">
                  <c:v>-12.797681201723512</c:v>
                </c:pt>
                <c:pt idx="743">
                  <c:v>-12.808076324493067</c:v>
                </c:pt>
                <c:pt idx="744">
                  <c:v>-12.818471453032981</c:v>
                </c:pt>
                <c:pt idx="745">
                  <c:v>-12.828866587343057</c:v>
                </c:pt>
                <c:pt idx="746">
                  <c:v>-12.839261727423104</c:v>
                </c:pt>
                <c:pt idx="747">
                  <c:v>-12.849656873272924</c:v>
                </c:pt>
                <c:pt idx="748">
                  <c:v>-12.860052024892324</c:v>
                </c:pt>
                <c:pt idx="749">
                  <c:v>-12.870447182281112</c:v>
                </c:pt>
                <c:pt idx="750">
                  <c:v>-12.88084234543909</c:v>
                </c:pt>
                <c:pt idx="751">
                  <c:v>-12.891237514366066</c:v>
                </c:pt>
                <c:pt idx="752">
                  <c:v>-12.901632689061847</c:v>
                </c:pt>
                <c:pt idx="753">
                  <c:v>-12.912027869526236</c:v>
                </c:pt>
                <c:pt idx="754">
                  <c:v>-12.92242305575904</c:v>
                </c:pt>
                <c:pt idx="755">
                  <c:v>-12.932818247760064</c:v>
                </c:pt>
                <c:pt idx="756">
                  <c:v>-12.943213445529114</c:v>
                </c:pt>
                <c:pt idx="757">
                  <c:v>-12.953608649065997</c:v>
                </c:pt>
                <c:pt idx="758">
                  <c:v>-12.964003858370516</c:v>
                </c:pt>
                <c:pt idx="759">
                  <c:v>-12.974399073442481</c:v>
                </c:pt>
                <c:pt idx="760">
                  <c:v>-12.984794294281693</c:v>
                </c:pt>
                <c:pt idx="761">
                  <c:v>-12.995189520887962</c:v>
                </c:pt>
                <c:pt idx="762">
                  <c:v>-13.005584753261092</c:v>
                </c:pt>
                <c:pt idx="763">
                  <c:v>-13.015979991400886</c:v>
                </c:pt>
                <c:pt idx="764">
                  <c:v>-13.026375235307155</c:v>
                </c:pt>
                <c:pt idx="765">
                  <c:v>-13.036770484979701</c:v>
                </c:pt>
                <c:pt idx="766">
                  <c:v>-13.047165740418331</c:v>
                </c:pt>
                <c:pt idx="767">
                  <c:v>-13.057561001622849</c:v>
                </c:pt>
                <c:pt idx="768">
                  <c:v>-13.067956268593063</c:v>
                </c:pt>
                <c:pt idx="769">
                  <c:v>-13.078351541328779</c:v>
                </c:pt>
                <c:pt idx="770">
                  <c:v>-13.088746819829801</c:v>
                </c:pt>
                <c:pt idx="771">
                  <c:v>-13.099142104095936</c:v>
                </c:pt>
                <c:pt idx="772">
                  <c:v>-13.10953739412699</c:v>
                </c:pt>
                <c:pt idx="773">
                  <c:v>-13.119932689922768</c:v>
                </c:pt>
                <c:pt idx="774">
                  <c:v>-13.130327991483076</c:v>
                </c:pt>
                <c:pt idx="775">
                  <c:v>-13.140723298807721</c:v>
                </c:pt>
                <c:pt idx="776">
                  <c:v>-13.151118611896507</c:v>
                </c:pt>
                <c:pt idx="777">
                  <c:v>-13.161513930749241</c:v>
                </c:pt>
                <c:pt idx="778">
                  <c:v>-13.171909255365728</c:v>
                </c:pt>
                <c:pt idx="779">
                  <c:v>-13.182304585745774</c:v>
                </c:pt>
                <c:pt idx="780">
                  <c:v>-13.192699921889185</c:v>
                </c:pt>
                <c:pt idx="781">
                  <c:v>-13.203095263795767</c:v>
                </c:pt>
                <c:pt idx="782">
                  <c:v>-13.213490611465325</c:v>
                </c:pt>
                <c:pt idx="783">
                  <c:v>-13.223885964897665</c:v>
                </c:pt>
                <c:pt idx="784">
                  <c:v>-13.234281324092594</c:v>
                </c:pt>
                <c:pt idx="785">
                  <c:v>-13.244676689049916</c:v>
                </c:pt>
                <c:pt idx="786">
                  <c:v>-13.255072059769439</c:v>
                </c:pt>
                <c:pt idx="787">
                  <c:v>-13.265467436250967</c:v>
                </c:pt>
                <c:pt idx="788">
                  <c:v>-13.275862818494307</c:v>
                </c:pt>
                <c:pt idx="789">
                  <c:v>-13.286258206499264</c:v>
                </c:pt>
                <c:pt idx="790">
                  <c:v>-13.296653600265644</c:v>
                </c:pt>
                <c:pt idx="791">
                  <c:v>-13.307048999793254</c:v>
                </c:pt>
                <c:pt idx="792">
                  <c:v>-13.317444405081899</c:v>
                </c:pt>
                <c:pt idx="793">
                  <c:v>-13.327839816131384</c:v>
                </c:pt>
                <c:pt idx="794">
                  <c:v>-13.338235232941516</c:v>
                </c:pt>
                <c:pt idx="795">
                  <c:v>-13.3486306555121</c:v>
                </c:pt>
                <c:pt idx="796">
                  <c:v>-13.359026083842942</c:v>
                </c:pt>
                <c:pt idx="797">
                  <c:v>-13.369421517933848</c:v>
                </c:pt>
                <c:pt idx="798">
                  <c:v>-13.379816957784625</c:v>
                </c:pt>
                <c:pt idx="799">
                  <c:v>-13.390212403395077</c:v>
                </c:pt>
                <c:pt idx="800">
                  <c:v>-13.400607854765012</c:v>
                </c:pt>
                <c:pt idx="801">
                  <c:v>-13.411003311894234</c:v>
                </c:pt>
                <c:pt idx="802">
                  <c:v>-13.421398774782549</c:v>
                </c:pt>
                <c:pt idx="803">
                  <c:v>-13.431794243429765</c:v>
                </c:pt>
                <c:pt idx="804">
                  <c:v>-13.442189717835685</c:v>
                </c:pt>
                <c:pt idx="805">
                  <c:v>-13.452585198000117</c:v>
                </c:pt>
                <c:pt idx="806">
                  <c:v>-13.462980683922865</c:v>
                </c:pt>
                <c:pt idx="807">
                  <c:v>-13.473376175603738</c:v>
                </c:pt>
                <c:pt idx="808">
                  <c:v>-13.483771673042538</c:v>
                </c:pt>
                <c:pt idx="809">
                  <c:v>-13.494167176239074</c:v>
                </c:pt>
                <c:pt idx="810">
                  <c:v>-13.50456268519315</c:v>
                </c:pt>
                <c:pt idx="811">
                  <c:v>-13.514958199904573</c:v>
                </c:pt>
                <c:pt idx="812">
                  <c:v>-13.525353720373149</c:v>
                </c:pt>
                <c:pt idx="813">
                  <c:v>-13.535749246598682</c:v>
                </c:pt>
                <c:pt idx="814">
                  <c:v>-13.546144778580979</c:v>
                </c:pt>
                <c:pt idx="815">
                  <c:v>-13.556540316319847</c:v>
                </c:pt>
                <c:pt idx="816">
                  <c:v>-13.566935859815091</c:v>
                </c:pt>
                <c:pt idx="817">
                  <c:v>-13.577331409066518</c:v>
                </c:pt>
                <c:pt idx="818">
                  <c:v>-13.587726964073934</c:v>
                </c:pt>
                <c:pt idx="819">
                  <c:v>-13.598122524837143</c:v>
                </c:pt>
                <c:pt idx="820">
                  <c:v>-13.60851809135595</c:v>
                </c:pt>
                <c:pt idx="821">
                  <c:v>-13.618913663630165</c:v>
                </c:pt>
                <c:pt idx="822">
                  <c:v>-13.629309241659591</c:v>
                </c:pt>
                <c:pt idx="823">
                  <c:v>-13.639704825444035</c:v>
                </c:pt>
                <c:pt idx="824">
                  <c:v>-13.650100414983303</c:v>
                </c:pt>
                <c:pt idx="825">
                  <c:v>-13.6604960102772</c:v>
                </c:pt>
                <c:pt idx="826">
                  <c:v>-13.670891611325532</c:v>
                </c:pt>
                <c:pt idx="827">
                  <c:v>-13.681287218128105</c:v>
                </c:pt>
                <c:pt idx="828">
                  <c:v>-13.691682830684726</c:v>
                </c:pt>
                <c:pt idx="829">
                  <c:v>-13.7020784489952</c:v>
                </c:pt>
                <c:pt idx="830">
                  <c:v>-13.712474073059335</c:v>
                </c:pt>
                <c:pt idx="831">
                  <c:v>-13.722869702876935</c:v>
                </c:pt>
                <c:pt idx="832">
                  <c:v>-13.733265338447804</c:v>
                </c:pt>
                <c:pt idx="833">
                  <c:v>-13.743660979771752</c:v>
                </c:pt>
                <c:pt idx="834">
                  <c:v>-13.754056626848582</c:v>
                </c:pt>
                <c:pt idx="835">
                  <c:v>-13.764452279678101</c:v>
                </c:pt>
                <c:pt idx="836">
                  <c:v>-13.774847938260116</c:v>
                </c:pt>
                <c:pt idx="837">
                  <c:v>-13.785243602594432</c:v>
                </c:pt>
                <c:pt idx="838">
                  <c:v>-13.795639272680855</c:v>
                </c:pt>
                <c:pt idx="839">
                  <c:v>-13.806034948519192</c:v>
                </c:pt>
                <c:pt idx="840">
                  <c:v>-13.816430630109249</c:v>
                </c:pt>
                <c:pt idx="841">
                  <c:v>-13.826826317450829</c:v>
                </c:pt>
                <c:pt idx="842">
                  <c:v>-13.837222010543741</c:v>
                </c:pt>
                <c:pt idx="843">
                  <c:v>-13.847617709387789</c:v>
                </c:pt>
                <c:pt idx="844">
                  <c:v>-13.85801341398278</c:v>
                </c:pt>
                <c:pt idx="845">
                  <c:v>-13.868409124328521</c:v>
                </c:pt>
                <c:pt idx="846">
                  <c:v>-13.878804840424817</c:v>
                </c:pt>
                <c:pt idx="847">
                  <c:v>-13.889200562271474</c:v>
                </c:pt>
                <c:pt idx="848">
                  <c:v>-13.899596289868299</c:v>
                </c:pt>
                <c:pt idx="849">
                  <c:v>-13.909992023215096</c:v>
                </c:pt>
                <c:pt idx="850">
                  <c:v>-13.920387762311673</c:v>
                </c:pt>
                <c:pt idx="851">
                  <c:v>-13.930783507157836</c:v>
                </c:pt>
                <c:pt idx="852">
                  <c:v>-13.941179257753388</c:v>
                </c:pt>
                <c:pt idx="853">
                  <c:v>-13.951575014098138</c:v>
                </c:pt>
                <c:pt idx="854">
                  <c:v>-13.96197077619189</c:v>
                </c:pt>
                <c:pt idx="855">
                  <c:v>-13.972366544034452</c:v>
                </c:pt>
                <c:pt idx="856">
                  <c:v>-13.98276231762563</c:v>
                </c:pt>
                <c:pt idx="857">
                  <c:v>-13.99315809696523</c:v>
                </c:pt>
                <c:pt idx="858">
                  <c:v>-14.003553882053057</c:v>
                </c:pt>
                <c:pt idx="859">
                  <c:v>-14.013949672888916</c:v>
                </c:pt>
                <c:pt idx="860">
                  <c:v>-14.024345469472616</c:v>
                </c:pt>
                <c:pt idx="861">
                  <c:v>-14.034741271803961</c:v>
                </c:pt>
                <c:pt idx="862">
                  <c:v>-14.045137079882759</c:v>
                </c:pt>
                <c:pt idx="863">
                  <c:v>-14.055532893708813</c:v>
                </c:pt>
                <c:pt idx="864">
                  <c:v>-14.065928713281931</c:v>
                </c:pt>
                <c:pt idx="865">
                  <c:v>-14.076324538601918</c:v>
                </c:pt>
                <c:pt idx="866">
                  <c:v>-14.086720369668582</c:v>
                </c:pt>
                <c:pt idx="867">
                  <c:v>-14.097116206481727</c:v>
                </c:pt>
                <c:pt idx="868">
                  <c:v>-14.107512049041162</c:v>
                </c:pt>
                <c:pt idx="869">
                  <c:v>-14.11790789734669</c:v>
                </c:pt>
                <c:pt idx="870">
                  <c:v>-14.128303751398118</c:v>
                </c:pt>
                <c:pt idx="871">
                  <c:v>-14.138699611195252</c:v>
                </c:pt>
                <c:pt idx="872">
                  <c:v>-14.149095476737898</c:v>
                </c:pt>
                <c:pt idx="873">
                  <c:v>-14.159491348025863</c:v>
                </c:pt>
                <c:pt idx="874">
                  <c:v>-14.169887225058954</c:v>
                </c:pt>
                <c:pt idx="875">
                  <c:v>-14.180283107836974</c:v>
                </c:pt>
                <c:pt idx="876">
                  <c:v>-14.190678996359731</c:v>
                </c:pt>
                <c:pt idx="877">
                  <c:v>-14.20107489062703</c:v>
                </c:pt>
                <c:pt idx="878">
                  <c:v>-14.211470790638678</c:v>
                </c:pt>
                <c:pt idx="879">
                  <c:v>-14.221866696394482</c:v>
                </c:pt>
                <c:pt idx="880">
                  <c:v>-14.232262607894247</c:v>
                </c:pt>
                <c:pt idx="881">
                  <c:v>-14.242658525137779</c:v>
                </c:pt>
                <c:pt idx="882">
                  <c:v>-14.253054448124885</c:v>
                </c:pt>
                <c:pt idx="883">
                  <c:v>-14.263450376855371</c:v>
                </c:pt>
                <c:pt idx="884">
                  <c:v>-14.273846311329041</c:v>
                </c:pt>
                <c:pt idx="885">
                  <c:v>-14.284242251545704</c:v>
                </c:pt>
                <c:pt idx="886">
                  <c:v>-14.294638197505165</c:v>
                </c:pt>
                <c:pt idx="887">
                  <c:v>-14.305034149207229</c:v>
                </c:pt>
                <c:pt idx="888">
                  <c:v>-14.315430106651704</c:v>
                </c:pt>
                <c:pt idx="889">
                  <c:v>-14.325826069838394</c:v>
                </c:pt>
                <c:pt idx="890">
                  <c:v>-14.336222038767106</c:v>
                </c:pt>
                <c:pt idx="891">
                  <c:v>-14.346618013437647</c:v>
                </c:pt>
                <c:pt idx="892">
                  <c:v>-14.357013993849822</c:v>
                </c:pt>
                <c:pt idx="893">
                  <c:v>-14.367409980003439</c:v>
                </c:pt>
                <c:pt idx="894">
                  <c:v>-14.377805971898303</c:v>
                </c:pt>
                <c:pt idx="895">
                  <c:v>-14.388201969534219</c:v>
                </c:pt>
                <c:pt idx="896">
                  <c:v>-14.398597972910995</c:v>
                </c:pt>
                <c:pt idx="897">
                  <c:v>-14.408993982028436</c:v>
                </c:pt>
                <c:pt idx="898">
                  <c:v>-14.419389996886348</c:v>
                </c:pt>
                <c:pt idx="899">
                  <c:v>-14.429786017484538</c:v>
                </c:pt>
                <c:pt idx="900">
                  <c:v>-14.440182043822812</c:v>
                </c:pt>
                <c:pt idx="901">
                  <c:v>-14.450578075900976</c:v>
                </c:pt>
                <c:pt idx="902">
                  <c:v>-14.460974113718837</c:v>
                </c:pt>
                <c:pt idx="903">
                  <c:v>-14.471370157276201</c:v>
                </c:pt>
                <c:pt idx="904">
                  <c:v>-14.481766206572873</c:v>
                </c:pt>
                <c:pt idx="905">
                  <c:v>-14.492162261608661</c:v>
                </c:pt>
                <c:pt idx="906">
                  <c:v>-14.502558322383369</c:v>
                </c:pt>
                <c:pt idx="907">
                  <c:v>-14.512954388896803</c:v>
                </c:pt>
                <c:pt idx="908">
                  <c:v>-14.523350461148771</c:v>
                </c:pt>
                <c:pt idx="909">
                  <c:v>-14.533746539139079</c:v>
                </c:pt>
                <c:pt idx="910">
                  <c:v>-14.544142622867533</c:v>
                </c:pt>
                <c:pt idx="911">
                  <c:v>-14.554538712333938</c:v>
                </c:pt>
                <c:pt idx="912">
                  <c:v>-14.564934807538101</c:v>
                </c:pt>
                <c:pt idx="913">
                  <c:v>-14.575330908479829</c:v>
                </c:pt>
                <c:pt idx="914">
                  <c:v>-14.585727015158929</c:v>
                </c:pt>
                <c:pt idx="915">
                  <c:v>-14.596123127575204</c:v>
                </c:pt>
                <c:pt idx="916">
                  <c:v>-14.606519245728462</c:v>
                </c:pt>
                <c:pt idx="917">
                  <c:v>-14.616915369618509</c:v>
                </c:pt>
                <c:pt idx="918">
                  <c:v>-14.627311499245153</c:v>
                </c:pt>
                <c:pt idx="919">
                  <c:v>-14.637707634608198</c:v>
                </c:pt>
                <c:pt idx="920">
                  <c:v>-14.648103775707451</c:v>
                </c:pt>
                <c:pt idx="921">
                  <c:v>-14.658499922542719</c:v>
                </c:pt>
                <c:pt idx="922">
                  <c:v>-14.668896075113805</c:v>
                </c:pt>
                <c:pt idx="923">
                  <c:v>-14.679292233420519</c:v>
                </c:pt>
                <c:pt idx="924">
                  <c:v>-14.689688397462666</c:v>
                </c:pt>
                <c:pt idx="925">
                  <c:v>-14.700084567240051</c:v>
                </c:pt>
                <c:pt idx="926">
                  <c:v>-14.710480742752482</c:v>
                </c:pt>
                <c:pt idx="927">
                  <c:v>-14.720876923999764</c:v>
                </c:pt>
                <c:pt idx="928">
                  <c:v>-14.731273110981704</c:v>
                </c:pt>
                <c:pt idx="929">
                  <c:v>-14.741669303698108</c:v>
                </c:pt>
                <c:pt idx="930">
                  <c:v>-14.752065502148783</c:v>
                </c:pt>
                <c:pt idx="931">
                  <c:v>-14.762461706333534</c:v>
                </c:pt>
                <c:pt idx="932">
                  <c:v>-14.772857916252168</c:v>
                </c:pt>
                <c:pt idx="933">
                  <c:v>-14.78325413190449</c:v>
                </c:pt>
                <c:pt idx="934">
                  <c:v>-14.793650353290309</c:v>
                </c:pt>
                <c:pt idx="935">
                  <c:v>-14.804046580409429</c:v>
                </c:pt>
                <c:pt idx="936">
                  <c:v>-14.814442813261657</c:v>
                </c:pt>
                <c:pt idx="937">
                  <c:v>-14.8248390518468</c:v>
                </c:pt>
                <c:pt idx="938">
                  <c:v>-14.835235296164662</c:v>
                </c:pt>
                <c:pt idx="939">
                  <c:v>-14.845631546215051</c:v>
                </c:pt>
                <c:pt idx="940">
                  <c:v>-14.856027801997774</c:v>
                </c:pt>
                <c:pt idx="941">
                  <c:v>-14.866424063512635</c:v>
                </c:pt>
                <c:pt idx="942">
                  <c:v>-14.876820330759443</c:v>
                </c:pt>
                <c:pt idx="943">
                  <c:v>-14.887216603738002</c:v>
                </c:pt>
                <c:pt idx="944">
                  <c:v>-14.89761288244812</c:v>
                </c:pt>
                <c:pt idx="945">
                  <c:v>-14.908009166889602</c:v>
                </c:pt>
                <c:pt idx="946">
                  <c:v>-14.918405457062255</c:v>
                </c:pt>
                <c:pt idx="947">
                  <c:v>-14.928801752965885</c:v>
                </c:pt>
                <c:pt idx="948">
                  <c:v>-14.939198054600299</c:v>
                </c:pt>
                <c:pt idx="949">
                  <c:v>-14.949594361965302</c:v>
                </c:pt>
                <c:pt idx="950">
                  <c:v>-14.9599906750607</c:v>
                </c:pt>
                <c:pt idx="951">
                  <c:v>-14.970386993886303</c:v>
                </c:pt>
                <c:pt idx="952">
                  <c:v>-14.980783318441913</c:v>
                </c:pt>
                <c:pt idx="953">
                  <c:v>-14.991179648727339</c:v>
                </c:pt>
                <c:pt idx="954">
                  <c:v>-15.001575984742386</c:v>
                </c:pt>
                <c:pt idx="955">
                  <c:v>-15.011972326486861</c:v>
                </c:pt>
                <c:pt idx="956">
                  <c:v>-15.022368673960569</c:v>
                </c:pt>
                <c:pt idx="957">
                  <c:v>-15.032765027163318</c:v>
                </c:pt>
                <c:pt idx="958">
                  <c:v>-15.043161386094914</c:v>
                </c:pt>
                <c:pt idx="959">
                  <c:v>-15.053557750755163</c:v>
                </c:pt>
                <c:pt idx="960">
                  <c:v>-15.063954121143871</c:v>
                </c:pt>
                <c:pt idx="961">
                  <c:v>-15.074350497260845</c:v>
                </c:pt>
                <c:pt idx="962">
                  <c:v>-15.084746879105891</c:v>
                </c:pt>
                <c:pt idx="963">
                  <c:v>-15.095143266678816</c:v>
                </c:pt>
                <c:pt idx="964">
                  <c:v>-15.105539659979424</c:v>
                </c:pt>
                <c:pt idx="965">
                  <c:v>-15.115936059007524</c:v>
                </c:pt>
                <c:pt idx="966">
                  <c:v>-15.126332463762921</c:v>
                </c:pt>
                <c:pt idx="967">
                  <c:v>-15.136728874245422</c:v>
                </c:pt>
                <c:pt idx="968">
                  <c:v>-15.147125290454834</c:v>
                </c:pt>
                <c:pt idx="969">
                  <c:v>-15.157521712390963</c:v>
                </c:pt>
                <c:pt idx="970">
                  <c:v>-15.167918140053615</c:v>
                </c:pt>
                <c:pt idx="971">
                  <c:v>-15.178314573442595</c:v>
                </c:pt>
                <c:pt idx="972">
                  <c:v>-15.188711012557711</c:v>
                </c:pt>
                <c:pt idx="973">
                  <c:v>-15.199107457398769</c:v>
                </c:pt>
                <c:pt idx="974">
                  <c:v>-15.209503907965576</c:v>
                </c:pt>
                <c:pt idx="975">
                  <c:v>-15.219900364257938</c:v>
                </c:pt>
                <c:pt idx="976">
                  <c:v>-15.230296826275662</c:v>
                </c:pt>
                <c:pt idx="977">
                  <c:v>-15.240693294018554</c:v>
                </c:pt>
                <c:pt idx="978">
                  <c:v>-15.25108976748642</c:v>
                </c:pt>
                <c:pt idx="979">
                  <c:v>-15.261486246679066</c:v>
                </c:pt>
                <c:pt idx="980">
                  <c:v>-15.271882731596298</c:v>
                </c:pt>
                <c:pt idx="981">
                  <c:v>-15.282279222237923</c:v>
                </c:pt>
                <c:pt idx="982">
                  <c:v>-15.292675718603748</c:v>
                </c:pt>
                <c:pt idx="983">
                  <c:v>-15.303072220693579</c:v>
                </c:pt>
                <c:pt idx="984">
                  <c:v>-15.313468728507223</c:v>
                </c:pt>
                <c:pt idx="985">
                  <c:v>-15.323865242044485</c:v>
                </c:pt>
                <c:pt idx="986">
                  <c:v>-15.334261761305173</c:v>
                </c:pt>
                <c:pt idx="987">
                  <c:v>-15.344658286289095</c:v>
                </c:pt>
                <c:pt idx="988">
                  <c:v>-15.355054816996054</c:v>
                </c:pt>
                <c:pt idx="989">
                  <c:v>-15.365451353425858</c:v>
                </c:pt>
                <c:pt idx="990">
                  <c:v>-15.375847895578312</c:v>
                </c:pt>
                <c:pt idx="991">
                  <c:v>-15.386244443453224</c:v>
                </c:pt>
                <c:pt idx="992">
                  <c:v>-15.396640997050399</c:v>
                </c:pt>
                <c:pt idx="993">
                  <c:v>-15.407037556369646</c:v>
                </c:pt>
                <c:pt idx="994">
                  <c:v>-15.41743412141077</c:v>
                </c:pt>
                <c:pt idx="995">
                  <c:v>-15.427830692173575</c:v>
                </c:pt>
                <c:pt idx="996">
                  <c:v>-15.438227268657872</c:v>
                </c:pt>
                <c:pt idx="997">
                  <c:v>-15.448623850863465</c:v>
                </c:pt>
                <c:pt idx="998">
                  <c:v>-15.45902043879016</c:v>
                </c:pt>
                <c:pt idx="999">
                  <c:v>-15.469417032437764</c:v>
                </c:pt>
                <c:pt idx="1000">
                  <c:v>-15.479813631806085</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131.1551130355156</c:v>
                </c:pt>
                <c:pt idx="1">
                  <c:v>131.54043629477366</c:v>
                </c:pt>
                <c:pt idx="2">
                  <c:v>131.92634189031048</c:v>
                </c:pt>
                <c:pt idx="3">
                  <c:v>132.31357209951508</c:v>
                </c:pt>
                <c:pt idx="4">
                  <c:v>132.70226168005766</c:v>
                </c:pt>
                <c:pt idx="5">
                  <c:v>133.09228165620732</c:v>
                </c:pt>
                <c:pt idx="6">
                  <c:v>133.48358339253065</c:v>
                </c:pt>
                <c:pt idx="7">
                  <c:v>133.87615843935444</c:v>
                </c:pt>
                <c:pt idx="8">
                  <c:v>134.26999834207857</c:v>
                </c:pt>
                <c:pt idx="9">
                  <c:v>134.66509464145443</c:v>
                </c:pt>
                <c:pt idx="10">
                  <c:v>135.06143887386077</c:v>
                </c:pt>
                <c:pt idx="11">
                  <c:v>135.45902257157638</c:v>
                </c:pt>
                <c:pt idx="12">
                  <c:v>135.85783726305027</c:v>
                </c:pt>
                <c:pt idx="13">
                  <c:v>136.25787447316884</c:v>
                </c:pt>
                <c:pt idx="14">
                  <c:v>136.65912572352019</c:v>
                </c:pt>
                <c:pt idx="15">
                  <c:v>137.06158253265576</c:v>
                </c:pt>
                <c:pt idx="16">
                  <c:v>137.46523641634906</c:v>
                </c:pt>
                <c:pt idx="17">
                  <c:v>137.87007888785169</c:v>
                </c:pt>
                <c:pt idx="18">
                  <c:v>138.27610145814651</c:v>
                </c:pt>
                <c:pt idx="19">
                  <c:v>138.68329563619804</c:v>
                </c:pt>
                <c:pt idx="20">
                  <c:v>139.09165292920008</c:v>
                </c:pt>
                <c:pt idx="21">
                  <c:v>139.50116484282066</c:v>
                </c:pt>
                <c:pt idx="22">
                  <c:v>139.91182288144415</c:v>
                </c:pt>
                <c:pt idx="23">
                  <c:v>140.32361854841065</c:v>
                </c:pt>
                <c:pt idx="24">
                  <c:v>140.7365433462526</c:v>
                </c:pt>
                <c:pt idx="25">
                  <c:v>141.1505887769288</c:v>
                </c:pt>
                <c:pt idx="26">
                  <c:v>141.56574634205555</c:v>
                </c:pt>
                <c:pt idx="27">
                  <c:v>141.98200754313515</c:v>
                </c:pt>
                <c:pt idx="28">
                  <c:v>142.39936388178182</c:v>
                </c:pt>
                <c:pt idx="29">
                  <c:v>142.81780685994465</c:v>
                </c:pt>
                <c:pt idx="30">
                  <c:v>143.23732798012816</c:v>
                </c:pt>
                <c:pt idx="31">
                  <c:v>143.65791874561</c:v>
                </c:pt>
                <c:pt idx="32">
                  <c:v>144.07957066065609</c:v>
                </c:pt>
                <c:pt idx="33">
                  <c:v>144.50227523073301</c:v>
                </c:pt>
                <c:pt idx="34">
                  <c:v>144.92602396271784</c:v>
                </c:pt>
                <c:pt idx="35">
                  <c:v>145.35080836510531</c:v>
                </c:pt>
                <c:pt idx="36">
                  <c:v>145.77661994821236</c:v>
                </c:pt>
                <c:pt idx="37">
                  <c:v>146.20345022438002</c:v>
                </c:pt>
                <c:pt idx="38">
                  <c:v>146.63129070817277</c:v>
                </c:pt>
                <c:pt idx="39">
                  <c:v>147.06013291657521</c:v>
                </c:pt>
                <c:pt idx="40">
                  <c:v>147.48996836918622</c:v>
                </c:pt>
                <c:pt idx="41">
                  <c:v>147.92078858841049</c:v>
                </c:pt>
                <c:pt idx="42">
                  <c:v>148.35258509964757</c:v>
                </c:pt>
                <c:pt idx="43">
                  <c:v>148.78534943147824</c:v>
                </c:pt>
                <c:pt idx="44">
                  <c:v>149.21907311584835</c:v>
                </c:pt>
                <c:pt idx="45">
                  <c:v>149.65374768825026</c:v>
                </c:pt>
                <c:pt idx="46">
                  <c:v>150.08936468790162</c:v>
                </c:pt>
                <c:pt idx="47">
                  <c:v>150.52591565792164</c:v>
                </c:pt>
                <c:pt idx="48">
                  <c:v>150.96339214550491</c:v>
                </c:pt>
                <c:pt idx="49">
                  <c:v>151.4017857020927</c:v>
                </c:pt>
                <c:pt idx="50">
                  <c:v>151.84108788354175</c:v>
                </c:pt>
                <c:pt idx="51">
                  <c:v>152.28129025029068</c:v>
                </c:pt>
                <c:pt idx="52">
                  <c:v>152.72238436752377</c:v>
                </c:pt>
                <c:pt idx="53">
                  <c:v>153.16436180533248</c:v>
                </c:pt>
                <c:pt idx="54">
                  <c:v>153.60721413887433</c:v>
                </c:pt>
                <c:pt idx="55">
                  <c:v>154.05093294852955</c:v>
                </c:pt>
                <c:pt idx="56">
                  <c:v>154.49550982005516</c:v>
                </c:pt>
                <c:pt idx="57">
                  <c:v>154.94093634473674</c:v>
                </c:pt>
                <c:pt idx="58">
                  <c:v>155.3872041195377</c:v>
                </c:pt>
                <c:pt idx="59">
                  <c:v>155.83430474724622</c:v>
                </c:pt>
                <c:pt idx="60">
                  <c:v>156.28222983661993</c:v>
                </c:pt>
                <c:pt idx="61">
                  <c:v>156.73097100252801</c:v>
                </c:pt>
                <c:pt idx="62">
                  <c:v>157.18051986609103</c:v>
                </c:pt>
                <c:pt idx="63">
                  <c:v>157.63086443437552</c:v>
                </c:pt>
                <c:pt idx="64">
                  <c:v>158.08198548044118</c:v>
                </c:pt>
                <c:pt idx="65">
                  <c:v>158.53386017078248</c:v>
                </c:pt>
                <c:pt idx="66">
                  <c:v>158.98646569261334</c:v>
                </c:pt>
                <c:pt idx="67">
                  <c:v>159.43977592798387</c:v>
                </c:pt>
                <c:pt idx="68">
                  <c:v>159.89375812859888</c:v>
                </c:pt>
                <c:pt idx="69">
                  <c:v>160.34837032671118</c:v>
                </c:pt>
                <c:pt idx="70">
                  <c:v>160.80355874742074</c:v>
                </c:pt>
                <c:pt idx="71">
                  <c:v>161.25926374615128</c:v>
                </c:pt>
                <c:pt idx="72">
                  <c:v>161.71542574494242</c:v>
                </c:pt>
                <c:pt idx="73">
                  <c:v>162.17198523478055</c:v>
                </c:pt>
                <c:pt idx="74">
                  <c:v>162.62888277783745</c:v>
                </c:pt>
                <c:pt idx="75">
                  <c:v>163.08605900961714</c:v>
                </c:pt>
                <c:pt idx="76">
                  <c:v>163.54345464101152</c:v>
                </c:pt>
                <c:pt idx="77">
                  <c:v>164.00101046026484</c:v>
                </c:pt>
                <c:pt idx="78">
                  <c:v>164.45866733484803</c:v>
                </c:pt>
                <c:pt idx="79">
                  <c:v>164.91636621324278</c:v>
                </c:pt>
                <c:pt idx="80">
                  <c:v>165.37404812663624</c:v>
                </c:pt>
                <c:pt idx="81">
                  <c:v>165.83166128373992</c:v>
                </c:pt>
                <c:pt idx="82">
                  <c:v>166.28916815926385</c:v>
                </c:pt>
                <c:pt idx="83">
                  <c:v>166.74653838015644</c:v>
                </c:pt>
                <c:pt idx="84">
                  <c:v>167.20374161745772</c:v>
                </c:pt>
                <c:pt idx="85">
                  <c:v>167.66074758647528</c:v>
                </c:pt>
                <c:pt idx="86">
                  <c:v>168.11752604693771</c:v>
                </c:pt>
                <c:pt idx="87">
                  <c:v>168.57404680312561</c:v>
                </c:pt>
                <c:pt idx="88">
                  <c:v>169.03027970398045</c:v>
                </c:pt>
                <c:pt idx="89">
                  <c:v>169.48619689431624</c:v>
                </c:pt>
                <c:pt idx="90">
                  <c:v>169.94177506373666</c:v>
                </c:pt>
                <c:pt idx="91">
                  <c:v>170.39699318826268</c:v>
                </c:pt>
                <c:pt idx="92">
                  <c:v>170.85183027415732</c:v>
                </c:pt>
                <c:pt idx="93">
                  <c:v>171.30626592194454</c:v>
                </c:pt>
                <c:pt idx="94">
                  <c:v>171.76028088982898</c:v>
                </c:pt>
                <c:pt idx="95">
                  <c:v>172.21385652760759</c:v>
                </c:pt>
                <c:pt idx="96">
                  <c:v>172.66697421115688</c:v>
                </c:pt>
                <c:pt idx="97">
                  <c:v>173.11961760401991</c:v>
                </c:pt>
                <c:pt idx="98">
                  <c:v>173.57177491656711</c:v>
                </c:pt>
                <c:pt idx="99">
                  <c:v>174.0234366366596</c:v>
                </c:pt>
                <c:pt idx="100">
                  <c:v>174.47459326274435</c:v>
                </c:pt>
                <c:pt idx="101">
                  <c:v>174.92523530372057</c:v>
                </c:pt>
                <c:pt idx="102">
                  <c:v>175.3753532788044</c:v>
                </c:pt>
                <c:pt idx="103">
                  <c:v>175.82493771739192</c:v>
                </c:pt>
                <c:pt idx="104">
                  <c:v>176.27397915892053</c:v>
                </c:pt>
                <c:pt idx="105">
                  <c:v>176.72246815272857</c:v>
                </c:pt>
                <c:pt idx="106">
                  <c:v>177.17039525791336</c:v>
                </c:pt>
                <c:pt idx="107">
                  <c:v>177.61775104318747</c:v>
                </c:pt>
                <c:pt idx="108">
                  <c:v>178.06452608673345</c:v>
                </c:pt>
                <c:pt idx="109">
                  <c:v>178.51071382264388</c:v>
                </c:pt>
                <c:pt idx="110">
                  <c:v>178.9563133843495</c:v>
                </c:pt>
                <c:pt idx="111">
                  <c:v>179.40132674870833</c:v>
                </c:pt>
                <c:pt idx="112">
                  <c:v>179.84575588320999</c:v>
                </c:pt>
                <c:pt idx="113">
                  <c:v>180.289602746036</c:v>
                </c:pt>
                <c:pt idx="114">
                  <c:v>180.73286928611941</c:v>
                </c:pt>
                <c:pt idx="115">
                  <c:v>181.17555744320416</c:v>
                </c:pt>
                <c:pt idx="116">
                  <c:v>181.6176691479038</c:v>
                </c:pt>
                <c:pt idx="117">
                  <c:v>182.05920632175983</c:v>
                </c:pt>
                <c:pt idx="118">
                  <c:v>182.50017087729955</c:v>
                </c:pt>
                <c:pt idx="119">
                  <c:v>182.94056471809341</c:v>
                </c:pt>
                <c:pt idx="120">
                  <c:v>183.38038973881203</c:v>
                </c:pt>
                <c:pt idx="121">
                  <c:v>183.81964782528254</c:v>
                </c:pt>
                <c:pt idx="122">
                  <c:v>184.2583408545448</c:v>
                </c:pt>
                <c:pt idx="123">
                  <c:v>184.69647069490674</c:v>
                </c:pt>
                <c:pt idx="124">
                  <c:v>185.13403920599976</c:v>
                </c:pt>
                <c:pt idx="125">
                  <c:v>185.57104823883321</c:v>
                </c:pt>
                <c:pt idx="126">
                  <c:v>186.00749963584889</c:v>
                </c:pt>
                <c:pt idx="127">
                  <c:v>186.44339523097469</c:v>
                </c:pt>
                <c:pt idx="128">
                  <c:v>186.87873684967818</c:v>
                </c:pt>
                <c:pt idx="129">
                  <c:v>187.31352630901949</c:v>
                </c:pt>
                <c:pt idx="130">
                  <c:v>187.74776541770402</c:v>
                </c:pt>
                <c:pt idx="131">
                  <c:v>188.18145597613454</c:v>
                </c:pt>
                <c:pt idx="132">
                  <c:v>188.614599776463</c:v>
                </c:pt>
                <c:pt idx="133">
                  <c:v>189.04719860264186</c:v>
                </c:pt>
                <c:pt idx="134">
                  <c:v>189.47925423047511</c:v>
                </c:pt>
                <c:pt idx="135">
                  <c:v>189.91076842766881</c:v>
                </c:pt>
                <c:pt idx="136">
                  <c:v>190.34174295388129</c:v>
                </c:pt>
                <c:pt idx="137">
                  <c:v>190.77217956077291</c:v>
                </c:pt>
                <c:pt idx="138">
                  <c:v>191.2020799920555</c:v>
                </c:pt>
                <c:pt idx="139">
                  <c:v>191.63144598354137</c:v>
                </c:pt>
                <c:pt idx="140">
                  <c:v>192.06027926319194</c:v>
                </c:pt>
                <c:pt idx="141">
                  <c:v>192.48858155116608</c:v>
                </c:pt>
                <c:pt idx="142">
                  <c:v>192.91635455986787</c:v>
                </c:pt>
                <c:pt idx="143">
                  <c:v>193.3435999939943</c:v>
                </c:pt>
                <c:pt idx="144">
                  <c:v>193.77031955058234</c:v>
                </c:pt>
                <c:pt idx="145">
                  <c:v>194.19651491905577</c:v>
                </c:pt>
                <c:pt idx="146">
                  <c:v>194.62218778127158</c:v>
                </c:pt>
                <c:pt idx="147">
                  <c:v>195.04733981156616</c:v>
                </c:pt>
                <c:pt idx="148">
                  <c:v>195.47197267680096</c:v>
                </c:pt>
                <c:pt idx="149">
                  <c:v>195.89608803640795</c:v>
                </c:pt>
                <c:pt idx="150">
                  <c:v>196.31968754243462</c:v>
                </c:pt>
                <c:pt idx="151">
                  <c:v>196.7427728395887</c:v>
                </c:pt>
                <c:pt idx="152">
                  <c:v>197.16534556528256</c:v>
                </c:pt>
                <c:pt idx="153">
                  <c:v>197.58740734967725</c:v>
                </c:pt>
                <c:pt idx="154">
                  <c:v>198.00895981572614</c:v>
                </c:pt>
                <c:pt idx="155">
                  <c:v>198.43000457921835</c:v>
                </c:pt>
                <c:pt idx="156">
                  <c:v>198.85054324882174</c:v>
                </c:pt>
                <c:pt idx="157">
                  <c:v>199.27057742612573</c:v>
                </c:pt>
                <c:pt idx="158">
                  <c:v>199.69010870568363</c:v>
                </c:pt>
                <c:pt idx="159">
                  <c:v>200.10913867505474</c:v>
                </c:pt>
                <c:pt idx="160">
                  <c:v>200.52766891484609</c:v>
                </c:pt>
                <c:pt idx="161">
                  <c:v>200.94570099875401</c:v>
                </c:pt>
                <c:pt idx="162">
                  <c:v>201.36323649360511</c:v>
                </c:pt>
                <c:pt idx="163">
                  <c:v>201.78027695939733</c:v>
                </c:pt>
                <c:pt idx="164">
                  <c:v>202.19682394934023</c:v>
                </c:pt>
                <c:pt idx="165">
                  <c:v>202.61287900989547</c:v>
                </c:pt>
                <c:pt idx="166">
                  <c:v>203.02844368081662</c:v>
                </c:pt>
                <c:pt idx="167">
                  <c:v>203.44351949518881</c:v>
                </c:pt>
                <c:pt idx="168">
                  <c:v>203.85810797946812</c:v>
                </c:pt>
                <c:pt idx="169">
                  <c:v>204.2722106535206</c:v>
                </c:pt>
                <c:pt idx="170">
                  <c:v>204.68582903066113</c:v>
                </c:pt>
                <c:pt idx="171">
                  <c:v>205.09896461769179</c:v>
                </c:pt>
                <c:pt idx="172">
                  <c:v>205.51161891494016</c:v>
                </c:pt>
                <c:pt idx="173">
                  <c:v>205.92379341629717</c:v>
                </c:pt>
                <c:pt idx="174">
                  <c:v>206.33548960925484</c:v>
                </c:pt>
                <c:pt idx="175">
                  <c:v>206.74670897494357</c:v>
                </c:pt>
                <c:pt idx="176">
                  <c:v>207.1574529881693</c:v>
                </c:pt>
                <c:pt idx="177">
                  <c:v>207.56772311745027</c:v>
                </c:pt>
                <c:pt idx="178">
                  <c:v>207.97752082505366</c:v>
                </c:pt>
                <c:pt idx="179">
                  <c:v>208.38684756703185</c:v>
                </c:pt>
                <c:pt idx="180">
                  <c:v>208.79570479325841</c:v>
                </c:pt>
                <c:pt idx="181">
                  <c:v>209.20409394746397</c:v>
                </c:pt>
                <c:pt idx="182">
                  <c:v>209.61201646727164</c:v>
                </c:pt>
                <c:pt idx="183">
                  <c:v>210.01947378423233</c:v>
                </c:pt>
                <c:pt idx="184">
                  <c:v>210.4264673238597</c:v>
                </c:pt>
                <c:pt idx="185">
                  <c:v>210.83299850566493</c:v>
                </c:pt>
                <c:pt idx="186">
                  <c:v>211.23906874319124</c:v>
                </c:pt>
                <c:pt idx="187">
                  <c:v>211.64467944404814</c:v>
                </c:pt>
                <c:pt idx="188">
                  <c:v>212.04983200994536</c:v>
                </c:pt>
                <c:pt idx="189">
                  <c:v>212.45452783672673</c:v>
                </c:pt>
                <c:pt idx="190">
                  <c:v>212.85876831440362</c:v>
                </c:pt>
                <c:pt idx="191">
                  <c:v>213.26255482718824</c:v>
                </c:pt>
                <c:pt idx="192">
                  <c:v>213.6658887535267</c:v>
                </c:pt>
                <c:pt idx="193">
                  <c:v>214.06877146613181</c:v>
                </c:pt>
                <c:pt idx="194">
                  <c:v>214.47120433201562</c:v>
                </c:pt>
                <c:pt idx="195">
                  <c:v>214.87318871252182</c:v>
                </c:pt>
                <c:pt idx="196">
                  <c:v>215.27472596335787</c:v>
                </c:pt>
                <c:pt idx="197">
                  <c:v>215.67581743462677</c:v>
                </c:pt>
                <c:pt idx="198">
                  <c:v>216.07646447085887</c:v>
                </c:pt>
                <c:pt idx="199">
                  <c:v>216.47666841104319</c:v>
                </c:pt>
                <c:pt idx="200">
                  <c:v>216.87643058865874</c:v>
                </c:pt>
                <c:pt idx="201">
                  <c:v>220.84985828205751</c:v>
                </c:pt>
                <c:pt idx="202">
                  <c:v>224.77996379349457</c:v>
                </c:pt>
                <c:pt idx="203">
                  <c:v>228.66803078942533</c:v>
                </c:pt>
                <c:pt idx="204">
                  <c:v>232.51529165971576</c:v>
                </c:pt>
                <c:pt idx="205">
                  <c:v>236.32293029398392</c:v>
                </c:pt>
                <c:pt idx="206">
                  <c:v>240.09208467203248</c:v>
                </c:pt>
                <c:pt idx="207">
                  <c:v>243.82384928317305</c:v>
                </c:pt>
                <c:pt idx="208">
                  <c:v>247.51927738788015</c:v>
                </c:pt>
                <c:pt idx="209">
                  <c:v>251.17938313399122</c:v>
                </c:pt>
                <c:pt idx="210">
                  <c:v>254.80514353857356</c:v>
                </c:pt>
                <c:pt idx="211">
                  <c:v>258.39750034559398</c:v>
                </c:pt>
                <c:pt idx="212">
                  <c:v>261.95736176864125</c:v>
                </c:pt>
                <c:pt idx="213">
                  <c:v>265.4856041271525</c:v>
                </c:pt>
                <c:pt idx="214">
                  <c:v>268.98307338387383</c:v>
                </c:pt>
                <c:pt idx="215">
                  <c:v>272.45058659063449</c:v>
                </c:pt>
                <c:pt idx="216">
                  <c:v>275.88893324892439</c:v>
                </c:pt>
                <c:pt idx="217">
                  <c:v>279.29887659123051</c:v>
                </c:pt>
                <c:pt idx="218">
                  <c:v>282.68115478860369</c:v>
                </c:pt>
                <c:pt idx="219">
                  <c:v>286.03648208948692</c:v>
                </c:pt>
                <c:pt idx="220">
                  <c:v>289.36554989443636</c:v>
                </c:pt>
                <c:pt idx="221">
                  <c:v>292.66902777100177</c:v>
                </c:pt>
                <c:pt idx="222">
                  <c:v>295.94756441270101</c:v>
                </c:pt>
                <c:pt idx="223">
                  <c:v>299.20178854571986</c:v>
                </c:pt>
                <c:pt idx="224">
                  <c:v>302.43230978669209</c:v>
                </c:pt>
                <c:pt idx="225">
                  <c:v>305.63971945466022</c:v>
                </c:pt>
                <c:pt idx="226">
                  <c:v>308.82459134008718</c:v>
                </c:pt>
                <c:pt idx="227">
                  <c:v>311.98748243357443</c:v>
                </c:pt>
                <c:pt idx="228">
                  <c:v>315.12893361674821</c:v>
                </c:pt>
                <c:pt idx="229">
                  <c:v>318.24947031759598</c:v>
                </c:pt>
                <c:pt idx="230">
                  <c:v>321.34960313236991</c:v>
                </c:pt>
                <c:pt idx="231">
                  <c:v>324.42982841602253</c:v>
                </c:pt>
                <c:pt idx="232">
                  <c:v>327.49062884299923</c:v>
                </c:pt>
                <c:pt idx="233">
                  <c:v>330.532473940084</c:v>
                </c:pt>
                <c:pt idx="234">
                  <c:v>333.55582059287389</c:v>
                </c:pt>
                <c:pt idx="235">
                  <c:v>336.56111352734831</c:v>
                </c:pt>
                <c:pt idx="236">
                  <c:v>339.54878576789639</c:v>
                </c:pt>
                <c:pt idx="237">
                  <c:v>342.51925907307049</c:v>
                </c:pt>
                <c:pt idx="238">
                  <c:v>345.47294435024565</c:v>
                </c:pt>
                <c:pt idx="239">
                  <c:v>348.41024205028333</c:v>
                </c:pt>
                <c:pt idx="240">
                  <c:v>351.33154254321988</c:v>
                </c:pt>
                <c:pt idx="241">
                  <c:v>354.23722647593019</c:v>
                </c:pt>
                <c:pt idx="242">
                  <c:v>357.12766511264891</c:v>
                </c:pt>
                <c:pt idx="243">
                  <c:v>360.00322065916993</c:v>
                </c:pt>
                <c:pt idx="244">
                  <c:v>362.86424657148524</c:v>
                </c:pt>
                <c:pt idx="245">
                  <c:v>365.71108784956959</c:v>
                </c:pt>
                <c:pt idx="246">
                  <c:v>368.54408131696476</c:v>
                </c:pt>
                <c:pt idx="247">
                  <c:v>371.36355588676787</c:v>
                </c:pt>
                <c:pt idx="248">
                  <c:v>374.16983281458158</c:v>
                </c:pt>
                <c:pt idx="249">
                  <c:v>376.9632259389391</c:v>
                </c:pt>
                <c:pt idx="250">
                  <c:v>379.74404190967499</c:v>
                </c:pt>
                <c:pt idx="251">
                  <c:v>382.51258040467081</c:v>
                </c:pt>
                <c:pt idx="252">
                  <c:v>385.26913433536726</c:v>
                </c:pt>
                <c:pt idx="253">
                  <c:v>388.01399004139478</c:v>
                </c:pt>
                <c:pt idx="254">
                  <c:v>390.74742747463966</c:v>
                </c:pt>
                <c:pt idx="255">
                  <c:v>393.46972037302601</c:v>
                </c:pt>
                <c:pt idx="256">
                  <c:v>396.18113642425948</c:v>
                </c:pt>
                <c:pt idx="257">
                  <c:v>398.88193741974561</c:v>
                </c:pt>
                <c:pt idx="258">
                  <c:v>401.57237939886045</c:v>
                </c:pt>
                <c:pt idx="259">
                  <c:v>404.25271278372014</c:v>
                </c:pt>
                <c:pt idx="260">
                  <c:v>406.92318250456202</c:v>
                </c:pt>
                <c:pt idx="261">
                  <c:v>409.58402811581902</c:v>
                </c:pt>
                <c:pt idx="262">
                  <c:v>412.23548390293587</c:v>
                </c:pt>
                <c:pt idx="263">
                  <c:v>414.87777897994528</c:v>
                </c:pt>
                <c:pt idx="264">
                  <c:v>417.51113737778991</c:v>
                </c:pt>
                <c:pt idx="265">
                  <c:v>420.13577812334614</c:v>
                </c:pt>
                <c:pt idx="266">
                  <c:v>422.75191530907466</c:v>
                </c:pt>
                <c:pt idx="267">
                  <c:v>425.35975815319381</c:v>
                </c:pt>
                <c:pt idx="268">
                  <c:v>427.95951105024386</c:v>
                </c:pt>
                <c:pt idx="269">
                  <c:v>430.55137361188326</c:v>
                </c:pt>
                <c:pt idx="270">
                  <c:v>433.13554069773443</c:v>
                </c:pt>
                <c:pt idx="271">
                  <c:v>435.7122024360749</c:v>
                </c:pt>
                <c:pt idx="272">
                  <c:v>438.2815442341531</c:v>
                </c:pt>
                <c:pt idx="273">
                  <c:v>440.84374677789566</c:v>
                </c:pt>
                <c:pt idx="274">
                  <c:v>443.39898602076806</c:v>
                </c:pt>
                <c:pt idx="275">
                  <c:v>445.94743316155399</c:v>
                </c:pt>
                <c:pt idx="276">
                  <c:v>448.48925461083144</c:v>
                </c:pt>
                <c:pt idx="277">
                  <c:v>451.02461194595071</c:v>
                </c:pt>
                <c:pt idx="278">
                  <c:v>453.55366185436094</c:v>
                </c:pt>
                <c:pt idx="279">
                  <c:v>456.07655606519205</c:v>
                </c:pt>
                <c:pt idx="280">
                  <c:v>458.59344126908104</c:v>
                </c:pt>
                <c:pt idx="281">
                  <c:v>461.10445902633813</c:v>
                </c:pt>
                <c:pt idx="282">
                  <c:v>463.60974566368446</c:v>
                </c:pt>
                <c:pt idx="283">
                  <c:v>466.10943215995832</c:v>
                </c:pt>
                <c:pt idx="284">
                  <c:v>468.60364402138953</c:v>
                </c:pt>
                <c:pt idx="285">
                  <c:v>471.0925011472757</c:v>
                </c:pt>
                <c:pt idx="286">
                  <c:v>473.57611768716703</c:v>
                </c:pt>
                <c:pt idx="287">
                  <c:v>476.05460189097113</c:v>
                </c:pt>
                <c:pt idx="288">
                  <c:v>478.52805595372172</c:v>
                </c:pt>
                <c:pt idx="289">
                  <c:v>480.996575857111</c:v>
                </c:pt>
                <c:pt idx="290">
                  <c:v>483.46025121024655</c:v>
                </c:pt>
                <c:pt idx="291">
                  <c:v>485.91916509245067</c:v>
                </c:pt>
                <c:pt idx="292">
                  <c:v>488.37339390124845</c:v>
                </c:pt>
                <c:pt idx="293">
                  <c:v>490.82300720896927</c:v>
                </c:pt>
                <c:pt idx="294">
                  <c:v>493.26806763159215</c:v>
                </c:pt>
                <c:pt idx="295">
                  <c:v>495.70863071356621</c:v>
                </c:pt>
                <c:pt idx="296">
                  <c:v>498.14474483232021</c:v>
                </c:pt>
                <c:pt idx="297">
                  <c:v>500.57645112601136</c:v>
                </c:pt>
                <c:pt idx="298">
                  <c:v>503.00378344775055</c:v>
                </c:pt>
                <c:pt idx="299">
                  <c:v>505.42676834907581</c:v>
                </c:pt>
                <c:pt idx="300">
                  <c:v>507.84542509483941</c:v>
                </c:pt>
                <c:pt idx="301">
                  <c:v>510.25976571095299</c:v>
                </c:pt>
                <c:pt idx="302">
                  <c:v>512.66979506563234</c:v>
                </c:pt>
                <c:pt idx="303">
                  <c:v>515.07551098394242</c:v>
                </c:pt>
                <c:pt idx="304">
                  <c:v>517.47690439461155</c:v>
                </c:pt>
                <c:pt idx="305">
                  <c:v>519.87395950730536</c:v>
                </c:pt>
                <c:pt idx="306">
                  <c:v>522.2666540178717</c:v>
                </c:pt>
                <c:pt idx="307">
                  <c:v>524.65495933851196</c:v>
                </c:pt>
                <c:pt idx="308">
                  <c:v>527.03884084943149</c:v>
                </c:pt>
                <c:pt idx="309">
                  <c:v>529.41825816827213</c:v>
                </c:pt>
                <c:pt idx="310">
                  <c:v>531.79316543353411</c:v>
                </c:pt>
                <c:pt idx="311">
                  <c:v>534.16351159824001</c:v>
                </c:pt>
                <c:pt idx="312">
                  <c:v>536.5292407302544</c:v>
                </c:pt>
                <c:pt idx="313">
                  <c:v>538.89029231592951</c:v>
                </c:pt>
                <c:pt idx="314">
                  <c:v>541.24660156406992</c:v>
                </c:pt>
                <c:pt idx="315">
                  <c:v>543.59809970757431</c:v>
                </c:pt>
                <c:pt idx="316">
                  <c:v>545.94471430049452</c:v>
                </c:pt>
                <c:pt idx="317">
                  <c:v>548.28636950863483</c:v>
                </c:pt>
                <c:pt idx="318">
                  <c:v>550.62298639218125</c:v>
                </c:pt>
                <c:pt idx="319">
                  <c:v>552.95448317919079</c:v>
                </c:pt>
                <c:pt idx="320">
                  <c:v>555.28077552907848</c:v>
                </c:pt>
                <c:pt idx="321">
                  <c:v>557.60177678550929</c:v>
                </c:pt>
                <c:pt idx="322">
                  <c:v>559.91739821833585</c:v>
                </c:pt>
                <c:pt idx="323">
                  <c:v>562.22754925441689</c:v>
                </c:pt>
                <c:pt idx="324">
                  <c:v>564.53213769731235</c:v>
                </c:pt>
                <c:pt idx="325">
                  <c:v>566.83106993598108</c:v>
                </c:pt>
                <c:pt idx="326">
                  <c:v>569.12425114270548</c:v>
                </c:pt>
                <c:pt idx="327">
                  <c:v>571.41158546054623</c:v>
                </c:pt>
                <c:pt idx="328">
                  <c:v>573.6929761806831</c:v>
                </c:pt>
                <c:pt idx="329">
                  <c:v>575.96832591003908</c:v>
                </c:pt>
                <c:pt idx="330">
                  <c:v>578.23753672960527</c:v>
                </c:pt>
                <c:pt idx="331">
                  <c:v>580.5005103438998</c:v>
                </c:pt>
                <c:pt idx="332">
                  <c:v>582.75714822199416</c:v>
                </c:pt>
                <c:pt idx="333">
                  <c:v>585.00735173053806</c:v>
                </c:pt>
                <c:pt idx="334">
                  <c:v>587.25102225920466</c:v>
                </c:pt>
                <c:pt idx="335">
                  <c:v>589.48806133896346</c:v>
                </c:pt>
                <c:pt idx="336">
                  <c:v>591.71837075357337</c:v>
                </c:pt>
                <c:pt idx="337">
                  <c:v>593.94185264466955</c:v>
                </c:pt>
                <c:pt idx="338">
                  <c:v>596.15840961079994</c:v>
                </c:pt>
                <c:pt idx="339">
                  <c:v>598.36794480074627</c:v>
                </c:pt>
                <c:pt idx="340">
                  <c:v>600.5703620014458</c:v>
                </c:pt>
                <c:pt idx="341">
                  <c:v>602.76556572081086</c:v>
                </c:pt>
                <c:pt idx="342">
                  <c:v>604.95346126572349</c:v>
                </c:pt>
                <c:pt idx="343">
                  <c:v>607.13395481546615</c:v>
                </c:pt>
                <c:pt idx="344">
                  <c:v>609.30695349083032</c:v>
                </c:pt>
                <c:pt idx="345">
                  <c:v>611.4723654191298</c:v>
                </c:pt>
                <c:pt idx="346">
                  <c:v>613.63009979533058</c:v>
                </c:pt>
                <c:pt idx="347">
                  <c:v>615.78006693949294</c:v>
                </c:pt>
                <c:pt idx="348">
                  <c:v>617.92217835071028</c:v>
                </c:pt>
                <c:pt idx="349">
                  <c:v>620.05634675771489</c:v>
                </c:pt>
                <c:pt idx="350">
                  <c:v>622.18248616631058</c:v>
                </c:pt>
                <c:pt idx="351">
                  <c:v>624.30051190378038</c:v>
                </c:pt>
                <c:pt idx="352">
                  <c:v>626.41034066040902</c:v>
                </c:pt>
                <c:pt idx="353">
                  <c:v>628.51189052824952</c:v>
                </c:pt>
                <c:pt idx="354">
                  <c:v>630.60508103725488</c:v>
                </c:pt>
                <c:pt idx="355">
                  <c:v>632.68983318888934</c:v>
                </c:pt>
                <c:pt idx="356">
                  <c:v>634.76606948732592</c:v>
                </c:pt>
                <c:pt idx="357">
                  <c:v>636.83371396832968</c:v>
                </c:pt>
                <c:pt idx="358">
                  <c:v>638.89269222592236</c:v>
                </c:pt>
                <c:pt idx="359">
                  <c:v>640.94293143691561</c:v>
                </c:pt>
                <c:pt idx="360">
                  <c:v>642.98436038339821</c:v>
                </c:pt>
                <c:pt idx="361">
                  <c:v>645.01690947325596</c:v>
                </c:pt>
                <c:pt idx="362">
                  <c:v>647.04051075879943</c:v>
                </c:pt>
                <c:pt idx="363">
                  <c:v>649.05509795357091</c:v>
                </c:pt>
                <c:pt idx="364">
                  <c:v>651.06060644739875</c:v>
                </c:pt>
                <c:pt idx="365">
                  <c:v>653.05697331976364</c:v>
                </c:pt>
                <c:pt idx="366">
                  <c:v>655.04413735153798</c:v>
                </c:pt>
                <c:pt idx="367">
                  <c:v>657.0220390351584</c:v>
                </c:pt>
                <c:pt idx="368">
                  <c:v>658.99062058328695</c:v>
                </c:pt>
                <c:pt idx="369">
                  <c:v>660.94982593601617</c:v>
                </c:pt>
                <c:pt idx="370">
                  <c:v>662.89960076666932</c:v>
                </c:pt>
                <c:pt idx="371">
                  <c:v>664.83989248624675</c:v>
                </c:pt>
                <c:pt idx="372">
                  <c:v>666.77065024656633</c:v>
                </c:pt>
                <c:pt idx="373">
                  <c:v>668.69182494214476</c:v>
                </c:pt>
                <c:pt idx="374">
                  <c:v>670.60336921086594</c:v>
                </c:pt>
                <c:pt idx="375">
                  <c:v>672.50523743347867</c:v>
                </c:pt>
                <c:pt idx="376">
                  <c:v>674.39738573196746</c:v>
                </c:pt>
                <c:pt idx="377">
                  <c:v>676.27977196683753</c:v>
                </c:pt>
                <c:pt idx="378">
                  <c:v>678.15235573335349</c:v>
                </c:pt>
                <c:pt idx="379">
                  <c:v>680.01509835677132</c:v>
                </c:pt>
                <c:pt idx="380">
                  <c:v>681.86796288660196</c:v>
                </c:pt>
                <c:pt idx="381">
                  <c:v>683.71091408994243</c:v>
                </c:pt>
                <c:pt idx="382">
                  <c:v>685.54391844391216</c:v>
                </c:pt>
                <c:pt idx="383">
                  <c:v>687.36694412722807</c:v>
                </c:pt>
                <c:pt idx="384">
                  <c:v>689.17996101095468</c:v>
                </c:pt>
                <c:pt idx="385">
                  <c:v>690.98294064846152</c:v>
                </c:pt>
                <c:pt idx="386">
                  <c:v>692.7758562646211</c:v>
                </c:pt>
                <c:pt idx="387">
                  <c:v>694.55868274428019</c:v>
                </c:pt>
                <c:pt idx="388">
                  <c:v>696.33139662003498</c:v>
                </c:pt>
                <c:pt idx="389">
                  <c:v>698.09397605934157</c:v>
                </c:pt>
                <c:pt idx="390">
                  <c:v>699.84640085099147</c:v>
                </c:pt>
                <c:pt idx="391">
                  <c:v>701.58865239098202</c:v>
                </c:pt>
                <c:pt idx="392">
                  <c:v>703.32071366780985</c:v>
                </c:pt>
                <c:pt idx="393">
                  <c:v>705.04256924721642</c:v>
                </c:pt>
                <c:pt idx="394">
                  <c:v>706.75420525641277</c:v>
                </c:pt>
                <c:pt idx="395">
                  <c:v>708.45560936781033</c:v>
                </c:pt>
                <c:pt idx="396">
                  <c:v>710.14677078228476</c:v>
                </c:pt>
                <c:pt idx="397">
                  <c:v>711.82768021199809</c:v>
                </c:pt>
                <c:pt idx="398">
                  <c:v>713.49832986280455</c:v>
                </c:pt>
                <c:pt idx="399">
                  <c:v>715.15871341626553</c:v>
                </c:pt>
                <c:pt idx="400">
                  <c:v>716.80882601129622</c:v>
                </c:pt>
                <c:pt idx="401">
                  <c:v>718.44866422546932</c:v>
                </c:pt>
                <c:pt idx="402">
                  <c:v>720.07822605599756</c:v>
                </c:pt>
                <c:pt idx="403">
                  <c:v>721.69751090041814</c:v>
                </c:pt>
                <c:pt idx="404">
                  <c:v>723.30651953700044</c:v>
                </c:pt>
                <c:pt idx="405">
                  <c:v>724.90525410489931</c:v>
                </c:pt>
                <c:pt idx="406">
                  <c:v>726.49371808407432</c:v>
                </c:pt>
                <c:pt idx="407">
                  <c:v>728.07191627499469</c:v>
                </c:pt>
                <c:pt idx="408">
                  <c:v>729.63985477815095</c:v>
                </c:pt>
                <c:pt idx="409">
                  <c:v>731.19754097339171</c:v>
                </c:pt>
                <c:pt idx="410">
                  <c:v>732.74498349910448</c:v>
                </c:pt>
                <c:pt idx="411">
                  <c:v>734.28219223125927</c:v>
                </c:pt>
                <c:pt idx="412">
                  <c:v>735.80917826233178</c:v>
                </c:pt>
                <c:pt idx="413">
                  <c:v>737.32595388012464</c:v>
                </c:pt>
                <c:pt idx="414">
                  <c:v>738.83253254650208</c:v>
                </c:pt>
                <c:pt idx="415">
                  <c:v>740.32892887605544</c:v>
                </c:pt>
                <c:pt idx="416">
                  <c:v>741.81515861471439</c:v>
                </c:pt>
                <c:pt idx="417">
                  <c:v>743.29123861831988</c:v>
                </c:pt>
                <c:pt idx="418">
                  <c:v>744.75718683117236</c:v>
                </c:pt>
                <c:pt idx="419">
                  <c:v>746.21302226457146</c:v>
                </c:pt>
                <c:pt idx="420">
                  <c:v>747.65876497535862</c:v>
                </c:pt>
                <c:pt idx="421">
                  <c:v>749.09443604447802</c:v>
                </c:pt>
                <c:pt idx="422">
                  <c:v>750.52005755556729</c:v>
                </c:pt>
                <c:pt idx="423">
                  <c:v>751.93565257359114</c:v>
                </c:pt>
                <c:pt idx="424">
                  <c:v>753.3412451235298</c:v>
                </c:pt>
                <c:pt idx="425">
                  <c:v>754.73686016913302</c:v>
                </c:pt>
                <c:pt idx="426">
                  <c:v>756.12252359175204</c:v>
                </c:pt>
                <c:pt idx="427">
                  <c:v>757.49826216925851</c:v>
                </c:pt>
                <c:pt idx="428">
                  <c:v>758.86410355506212</c:v>
                </c:pt>
                <c:pt idx="429">
                  <c:v>760.22007625723575</c:v>
                </c:pt>
                <c:pt idx="430">
                  <c:v>761.56620961775752</c:v>
                </c:pt>
                <c:pt idx="431">
                  <c:v>762.90253379187891</c:v>
                </c:pt>
                <c:pt idx="432">
                  <c:v>764.229079727628</c:v>
                </c:pt>
                <c:pt idx="433">
                  <c:v>765.54587914545482</c:v>
                </c:pt>
                <c:pt idx="434">
                  <c:v>766.85296451802742</c:v>
                </c:pt>
                <c:pt idx="435">
                  <c:v>768.15036905018587</c:v>
                </c:pt>
                <c:pt idx="436">
                  <c:v>769.43812665906125</c:v>
                </c:pt>
                <c:pt idx="437">
                  <c:v>770.71627195436599</c:v>
                </c:pt>
                <c:pt idx="438">
                  <c:v>771.98484021886202</c:v>
                </c:pt>
                <c:pt idx="439">
                  <c:v>773.24386738901285</c:v>
                </c:pt>
                <c:pt idx="440">
                  <c:v>774.49339003582509</c:v>
                </c:pt>
                <c:pt idx="441">
                  <c:v>775.73344534588421</c:v>
                </c:pt>
                <c:pt idx="442">
                  <c:v>776.96407110259065</c:v>
                </c:pt>
                <c:pt idx="443">
                  <c:v>778.18530566759921</c:v>
                </c:pt>
                <c:pt idx="444">
                  <c:v>779.39718796246768</c:v>
                </c:pt>
                <c:pt idx="445">
                  <c:v>780.59975745051781</c:v>
                </c:pt>
                <c:pt idx="446">
                  <c:v>781.79305411891255</c:v>
                </c:pt>
                <c:pt idx="447">
                  <c:v>782.97711846095319</c:v>
                </c:pt>
                <c:pt idx="448">
                  <c:v>784.1519914585989</c:v>
                </c:pt>
                <c:pt idx="449">
                  <c:v>785.3177145652129</c:v>
                </c:pt>
                <c:pt idx="450">
                  <c:v>786.47432968853616</c:v>
                </c:pt>
                <c:pt idx="451">
                  <c:v>787.62187917389258</c:v>
                </c:pt>
                <c:pt idx="452">
                  <c:v>788.76040578762695</c:v>
                </c:pt>
                <c:pt idx="453">
                  <c:v>789.88995270077737</c:v>
                </c:pt>
                <c:pt idx="454">
                  <c:v>791.01056347298493</c:v>
                </c:pt>
                <c:pt idx="455">
                  <c:v>792.12228203664029</c:v>
                </c:pt>
                <c:pt idx="456">
                  <c:v>793.22515268127074</c:v>
                </c:pt>
                <c:pt idx="457">
                  <c:v>794.31922003816635</c:v>
                </c:pt>
                <c:pt idx="458">
                  <c:v>795.40452906524763</c:v>
                </c:pt>
                <c:pt idx="459">
                  <c:v>796.48112503217487</c:v>
                </c:pt>
                <c:pt idx="460">
                  <c:v>797.54905350569948</c:v>
                </c:pt>
                <c:pt idx="461">
                  <c:v>798.60836033525743</c:v>
                </c:pt>
                <c:pt idx="462">
                  <c:v>799.65909163880565</c:v>
                </c:pt>
                <c:pt idx="463">
                  <c:v>800.70129378890033</c:v>
                </c:pt>
                <c:pt idx="464">
                  <c:v>801.73501339901736</c:v>
                </c:pt>
                <c:pt idx="465">
                  <c:v>802.76029731011465</c:v>
                </c:pt>
                <c:pt idx="466">
                  <c:v>803.77719257743559</c:v>
                </c:pt>
                <c:pt idx="467">
                  <c:v>804.78574645755293</c:v>
                </c:pt>
                <c:pt idx="468">
                  <c:v>805.78600639565218</c:v>
                </c:pt>
                <c:pt idx="469">
                  <c:v>806.77802001305406</c:v>
                </c:pt>
                <c:pt idx="470">
                  <c:v>807.76183509497446</c:v>
                </c:pt>
                <c:pt idx="471">
                  <c:v>808.73749957852044</c:v>
                </c:pt>
                <c:pt idx="472">
                  <c:v>809.70506154092232</c:v>
                </c:pt>
                <c:pt idx="473">
                  <c:v>810.6645691879985</c:v>
                </c:pt>
                <c:pt idx="474">
                  <c:v>811.61607084285345</c:v>
                </c:pt>
                <c:pt idx="475">
                  <c:v>812.55961493480561</c:v>
                </c:pt>
                <c:pt idx="476">
                  <c:v>813.49524998854497</c:v>
                </c:pt>
                <c:pt idx="477">
                  <c:v>814.4230246135171</c:v>
                </c:pt>
                <c:pt idx="478">
                  <c:v>815.34298749353309</c:v>
                </c:pt>
                <c:pt idx="479">
                  <c:v>816.25518737660298</c:v>
                </c:pt>
                <c:pt idx="480">
                  <c:v>817.15967306498987</c:v>
                </c:pt>
                <c:pt idx="481">
                  <c:v>818.05649340548416</c:v>
                </c:pt>
                <c:pt idx="482">
                  <c:v>818.94569727989472</c:v>
                </c:pt>
                <c:pt idx="483">
                  <c:v>819.82733359575491</c:v>
                </c:pt>
                <c:pt idx="484">
                  <c:v>820.70145127724174</c:v>
                </c:pt>
                <c:pt idx="485">
                  <c:v>821.56809925630512</c:v>
                </c:pt>
                <c:pt idx="486">
                  <c:v>822.42732646400566</c:v>
                </c:pt>
                <c:pt idx="487">
                  <c:v>823.27918182205792</c:v>
                </c:pt>
                <c:pt idx="488">
                  <c:v>824.12371423457705</c:v>
                </c:pt>
                <c:pt idx="489">
                  <c:v>824.96097258002669</c:v>
                </c:pt>
                <c:pt idx="490">
                  <c:v>825.79100570336459</c:v>
                </c:pt>
                <c:pt idx="491">
                  <c:v>826.61386240838476</c:v>
                </c:pt>
                <c:pt idx="492">
                  <c:v>827.42959145025247</c:v>
                </c:pt>
                <c:pt idx="493">
                  <c:v>828.23824152823045</c:v>
                </c:pt>
                <c:pt idx="494">
                  <c:v>829.03986127859275</c:v>
                </c:pt>
                <c:pt idx="495">
                  <c:v>829.8344992677246</c:v>
                </c:pt>
                <c:pt idx="496">
                  <c:v>830.62220398540489</c:v>
                </c:pt>
                <c:pt idx="497">
                  <c:v>831.40302383826929</c:v>
                </c:pt>
                <c:pt idx="498">
                  <c:v>832.17700714345062</c:v>
                </c:pt>
                <c:pt idx="499">
                  <c:v>832.94420212239459</c:v>
                </c:pt>
                <c:pt idx="500">
                  <c:v>833.70465689484763</c:v>
                </c:pt>
                <c:pt idx="501">
                  <c:v>834.4584194730146</c:v>
                </c:pt>
                <c:pt idx="502">
                  <c:v>835.20553775588337</c:v>
                </c:pt>
                <c:pt idx="503">
                  <c:v>835.94605952371376</c:v>
                </c:pt>
                <c:pt idx="504">
                  <c:v>836.68003243268845</c:v>
                </c:pt>
                <c:pt idx="505">
                  <c:v>837.4075040097224</c:v>
                </c:pt>
                <c:pt idx="506">
                  <c:v>837.4075040097224</c:v>
                </c:pt>
                <c:pt idx="507">
                  <c:v>837.4075040097224</c:v>
                </c:pt>
                <c:pt idx="508">
                  <c:v>837.4075040097224</c:v>
                </c:pt>
                <c:pt idx="509">
                  <c:v>837.4075040097224</c:v>
                </c:pt>
                <c:pt idx="510">
                  <c:v>837.4075040097224</c:v>
                </c:pt>
                <c:pt idx="511">
                  <c:v>837.4075040097224</c:v>
                </c:pt>
                <c:pt idx="512">
                  <c:v>837.4075040097224</c:v>
                </c:pt>
                <c:pt idx="513">
                  <c:v>837.4075040097224</c:v>
                </c:pt>
                <c:pt idx="514">
                  <c:v>837.4075040097224</c:v>
                </c:pt>
                <c:pt idx="515">
                  <c:v>837.4075040097224</c:v>
                </c:pt>
                <c:pt idx="516">
                  <c:v>837.4075040097224</c:v>
                </c:pt>
                <c:pt idx="517">
                  <c:v>837.4075040097224</c:v>
                </c:pt>
                <c:pt idx="518">
                  <c:v>837.4075040097224</c:v>
                </c:pt>
                <c:pt idx="519">
                  <c:v>837.4075040097224</c:v>
                </c:pt>
                <c:pt idx="520">
                  <c:v>837.4075040097224</c:v>
                </c:pt>
                <c:pt idx="521">
                  <c:v>837.4075040097224</c:v>
                </c:pt>
                <c:pt idx="522">
                  <c:v>837.4075040097224</c:v>
                </c:pt>
                <c:pt idx="523">
                  <c:v>837.4075040097224</c:v>
                </c:pt>
                <c:pt idx="524">
                  <c:v>837.4075040097224</c:v>
                </c:pt>
                <c:pt idx="525">
                  <c:v>837.4075040097224</c:v>
                </c:pt>
                <c:pt idx="526">
                  <c:v>837.4075040097224</c:v>
                </c:pt>
                <c:pt idx="527">
                  <c:v>837.4075040097224</c:v>
                </c:pt>
                <c:pt idx="528">
                  <c:v>837.4075040097224</c:v>
                </c:pt>
                <c:pt idx="529">
                  <c:v>837.4075040097224</c:v>
                </c:pt>
                <c:pt idx="530">
                  <c:v>837.4075040097224</c:v>
                </c:pt>
                <c:pt idx="531">
                  <c:v>837.4075040097224</c:v>
                </c:pt>
                <c:pt idx="532">
                  <c:v>837.4075040097224</c:v>
                </c:pt>
                <c:pt idx="533">
                  <c:v>837.4075040097224</c:v>
                </c:pt>
                <c:pt idx="534">
                  <c:v>837.4075040097224</c:v>
                </c:pt>
                <c:pt idx="535">
                  <c:v>837.4075040097224</c:v>
                </c:pt>
                <c:pt idx="536">
                  <c:v>837.4075040097224</c:v>
                </c:pt>
                <c:pt idx="537">
                  <c:v>837.4075040097224</c:v>
                </c:pt>
                <c:pt idx="538">
                  <c:v>837.4075040097224</c:v>
                </c:pt>
                <c:pt idx="539">
                  <c:v>837.4075040097224</c:v>
                </c:pt>
                <c:pt idx="540">
                  <c:v>837.4075040097224</c:v>
                </c:pt>
                <c:pt idx="541">
                  <c:v>837.4075040097224</c:v>
                </c:pt>
                <c:pt idx="542">
                  <c:v>837.4075040097224</c:v>
                </c:pt>
                <c:pt idx="543">
                  <c:v>837.4075040097224</c:v>
                </c:pt>
                <c:pt idx="544">
                  <c:v>837.4075040097224</c:v>
                </c:pt>
                <c:pt idx="545">
                  <c:v>837.4075040097224</c:v>
                </c:pt>
                <c:pt idx="546">
                  <c:v>837.4075040097224</c:v>
                </c:pt>
                <c:pt idx="547">
                  <c:v>837.4075040097224</c:v>
                </c:pt>
                <c:pt idx="548">
                  <c:v>837.4075040097224</c:v>
                </c:pt>
                <c:pt idx="549">
                  <c:v>837.4075040097224</c:v>
                </c:pt>
                <c:pt idx="550">
                  <c:v>837.4075040097224</c:v>
                </c:pt>
                <c:pt idx="551">
                  <c:v>837.4075040097224</c:v>
                </c:pt>
                <c:pt idx="552">
                  <c:v>837.4075040097224</c:v>
                </c:pt>
                <c:pt idx="553">
                  <c:v>837.4075040097224</c:v>
                </c:pt>
                <c:pt idx="554">
                  <c:v>837.4075040097224</c:v>
                </c:pt>
                <c:pt idx="555">
                  <c:v>837.4075040097224</c:v>
                </c:pt>
                <c:pt idx="556">
                  <c:v>837.4075040097224</c:v>
                </c:pt>
                <c:pt idx="557">
                  <c:v>837.4075040097224</c:v>
                </c:pt>
                <c:pt idx="558">
                  <c:v>837.4075040097224</c:v>
                </c:pt>
                <c:pt idx="559">
                  <c:v>837.4075040097224</c:v>
                </c:pt>
                <c:pt idx="560">
                  <c:v>837.4075040097224</c:v>
                </c:pt>
                <c:pt idx="561">
                  <c:v>837.4075040097224</c:v>
                </c:pt>
                <c:pt idx="562">
                  <c:v>837.4075040097224</c:v>
                </c:pt>
                <c:pt idx="563">
                  <c:v>837.4075040097224</c:v>
                </c:pt>
                <c:pt idx="564">
                  <c:v>837.4075040097224</c:v>
                </c:pt>
                <c:pt idx="565">
                  <c:v>837.4075040097224</c:v>
                </c:pt>
                <c:pt idx="566">
                  <c:v>837.4075040097224</c:v>
                </c:pt>
                <c:pt idx="567">
                  <c:v>837.4075040097224</c:v>
                </c:pt>
                <c:pt idx="568">
                  <c:v>837.4075040097224</c:v>
                </c:pt>
                <c:pt idx="569">
                  <c:v>837.4075040097224</c:v>
                </c:pt>
                <c:pt idx="570">
                  <c:v>837.4075040097224</c:v>
                </c:pt>
                <c:pt idx="571">
                  <c:v>837.4075040097224</c:v>
                </c:pt>
                <c:pt idx="572">
                  <c:v>837.4075040097224</c:v>
                </c:pt>
                <c:pt idx="573">
                  <c:v>837.4075040097224</c:v>
                </c:pt>
                <c:pt idx="574">
                  <c:v>837.4075040097224</c:v>
                </c:pt>
                <c:pt idx="575">
                  <c:v>837.4075040097224</c:v>
                </c:pt>
                <c:pt idx="576">
                  <c:v>837.4075040097224</c:v>
                </c:pt>
                <c:pt idx="577">
                  <c:v>837.4075040097224</c:v>
                </c:pt>
                <c:pt idx="578">
                  <c:v>837.4075040097224</c:v>
                </c:pt>
                <c:pt idx="579">
                  <c:v>837.4075040097224</c:v>
                </c:pt>
                <c:pt idx="580">
                  <c:v>837.4075040097224</c:v>
                </c:pt>
                <c:pt idx="581">
                  <c:v>837.4075040097224</c:v>
                </c:pt>
                <c:pt idx="582">
                  <c:v>837.4075040097224</c:v>
                </c:pt>
                <c:pt idx="583">
                  <c:v>837.4075040097224</c:v>
                </c:pt>
                <c:pt idx="584">
                  <c:v>837.4075040097224</c:v>
                </c:pt>
                <c:pt idx="585">
                  <c:v>837.4075040097224</c:v>
                </c:pt>
                <c:pt idx="586">
                  <c:v>837.4075040097224</c:v>
                </c:pt>
                <c:pt idx="587">
                  <c:v>837.4075040097224</c:v>
                </c:pt>
                <c:pt idx="588">
                  <c:v>837.4075040097224</c:v>
                </c:pt>
                <c:pt idx="589">
                  <c:v>837.4075040097224</c:v>
                </c:pt>
                <c:pt idx="590">
                  <c:v>837.4075040097224</c:v>
                </c:pt>
                <c:pt idx="591">
                  <c:v>837.4075040097224</c:v>
                </c:pt>
                <c:pt idx="592">
                  <c:v>837.4075040097224</c:v>
                </c:pt>
                <c:pt idx="593">
                  <c:v>837.4075040097224</c:v>
                </c:pt>
                <c:pt idx="594">
                  <c:v>837.4075040097224</c:v>
                </c:pt>
                <c:pt idx="595">
                  <c:v>837.4075040097224</c:v>
                </c:pt>
                <c:pt idx="596">
                  <c:v>837.4075040097224</c:v>
                </c:pt>
                <c:pt idx="597">
                  <c:v>837.4075040097224</c:v>
                </c:pt>
                <c:pt idx="598">
                  <c:v>837.4075040097224</c:v>
                </c:pt>
                <c:pt idx="599">
                  <c:v>837.4075040097224</c:v>
                </c:pt>
                <c:pt idx="600">
                  <c:v>837.4075040097224</c:v>
                </c:pt>
                <c:pt idx="601">
                  <c:v>837.4075040097224</c:v>
                </c:pt>
                <c:pt idx="602">
                  <c:v>837.4075040097224</c:v>
                </c:pt>
                <c:pt idx="603">
                  <c:v>837.4075040097224</c:v>
                </c:pt>
                <c:pt idx="604">
                  <c:v>837.4075040097224</c:v>
                </c:pt>
                <c:pt idx="605">
                  <c:v>837.4075040097224</c:v>
                </c:pt>
                <c:pt idx="606">
                  <c:v>837.4075040097224</c:v>
                </c:pt>
                <c:pt idx="607">
                  <c:v>837.4075040097224</c:v>
                </c:pt>
                <c:pt idx="608">
                  <c:v>837.4075040097224</c:v>
                </c:pt>
                <c:pt idx="609">
                  <c:v>837.4075040097224</c:v>
                </c:pt>
                <c:pt idx="610">
                  <c:v>837.4075040097224</c:v>
                </c:pt>
                <c:pt idx="611">
                  <c:v>837.4075040097224</c:v>
                </c:pt>
                <c:pt idx="612">
                  <c:v>837.4075040097224</c:v>
                </c:pt>
                <c:pt idx="613">
                  <c:v>837.4075040097224</c:v>
                </c:pt>
                <c:pt idx="614">
                  <c:v>837.4075040097224</c:v>
                </c:pt>
                <c:pt idx="615">
                  <c:v>837.4075040097224</c:v>
                </c:pt>
                <c:pt idx="616">
                  <c:v>837.4075040097224</c:v>
                </c:pt>
                <c:pt idx="617">
                  <c:v>837.4075040097224</c:v>
                </c:pt>
                <c:pt idx="618">
                  <c:v>837.4075040097224</c:v>
                </c:pt>
                <c:pt idx="619">
                  <c:v>837.4075040097224</c:v>
                </c:pt>
                <c:pt idx="620">
                  <c:v>837.4075040097224</c:v>
                </c:pt>
                <c:pt idx="621">
                  <c:v>837.4075040097224</c:v>
                </c:pt>
                <c:pt idx="622">
                  <c:v>837.4075040097224</c:v>
                </c:pt>
                <c:pt idx="623">
                  <c:v>837.4075040097224</c:v>
                </c:pt>
                <c:pt idx="624">
                  <c:v>837.4075040097224</c:v>
                </c:pt>
                <c:pt idx="625">
                  <c:v>837.4075040097224</c:v>
                </c:pt>
                <c:pt idx="626">
                  <c:v>837.4075040097224</c:v>
                </c:pt>
                <c:pt idx="627">
                  <c:v>837.4075040097224</c:v>
                </c:pt>
                <c:pt idx="628">
                  <c:v>837.4075040097224</c:v>
                </c:pt>
                <c:pt idx="629">
                  <c:v>837.4075040097224</c:v>
                </c:pt>
                <c:pt idx="630">
                  <c:v>837.4075040097224</c:v>
                </c:pt>
                <c:pt idx="631">
                  <c:v>837.4075040097224</c:v>
                </c:pt>
                <c:pt idx="632">
                  <c:v>837.4075040097224</c:v>
                </c:pt>
                <c:pt idx="633">
                  <c:v>837.4075040097224</c:v>
                </c:pt>
                <c:pt idx="634">
                  <c:v>837.4075040097224</c:v>
                </c:pt>
                <c:pt idx="635">
                  <c:v>837.4075040097224</c:v>
                </c:pt>
                <c:pt idx="636">
                  <c:v>837.4075040097224</c:v>
                </c:pt>
                <c:pt idx="637">
                  <c:v>837.4075040097224</c:v>
                </c:pt>
                <c:pt idx="638">
                  <c:v>837.4075040097224</c:v>
                </c:pt>
                <c:pt idx="639">
                  <c:v>837.4075040097224</c:v>
                </c:pt>
                <c:pt idx="640">
                  <c:v>837.4075040097224</c:v>
                </c:pt>
                <c:pt idx="641">
                  <c:v>837.4075040097224</c:v>
                </c:pt>
                <c:pt idx="642">
                  <c:v>837.4075040097224</c:v>
                </c:pt>
                <c:pt idx="643">
                  <c:v>837.4075040097224</c:v>
                </c:pt>
                <c:pt idx="644">
                  <c:v>837.4075040097224</c:v>
                </c:pt>
                <c:pt idx="645">
                  <c:v>837.4075040097224</c:v>
                </c:pt>
                <c:pt idx="646">
                  <c:v>837.4075040097224</c:v>
                </c:pt>
                <c:pt idx="647">
                  <c:v>837.4075040097224</c:v>
                </c:pt>
                <c:pt idx="648">
                  <c:v>837.4075040097224</c:v>
                </c:pt>
                <c:pt idx="649">
                  <c:v>837.4075040097224</c:v>
                </c:pt>
                <c:pt idx="650">
                  <c:v>837.4075040097224</c:v>
                </c:pt>
                <c:pt idx="651">
                  <c:v>837.4075040097224</c:v>
                </c:pt>
                <c:pt idx="652">
                  <c:v>837.4075040097224</c:v>
                </c:pt>
                <c:pt idx="653">
                  <c:v>837.4075040097224</c:v>
                </c:pt>
                <c:pt idx="654">
                  <c:v>837.4075040097224</c:v>
                </c:pt>
                <c:pt idx="655">
                  <c:v>837.4075040097224</c:v>
                </c:pt>
                <c:pt idx="656">
                  <c:v>837.4075040097224</c:v>
                </c:pt>
                <c:pt idx="657">
                  <c:v>837.4075040097224</c:v>
                </c:pt>
                <c:pt idx="658">
                  <c:v>837.4075040097224</c:v>
                </c:pt>
                <c:pt idx="659">
                  <c:v>837.4075040097224</c:v>
                </c:pt>
                <c:pt idx="660">
                  <c:v>837.4075040097224</c:v>
                </c:pt>
                <c:pt idx="661">
                  <c:v>837.4075040097224</c:v>
                </c:pt>
                <c:pt idx="662">
                  <c:v>837.4075040097224</c:v>
                </c:pt>
                <c:pt idx="663">
                  <c:v>837.4075040097224</c:v>
                </c:pt>
                <c:pt idx="664">
                  <c:v>837.4075040097224</c:v>
                </c:pt>
                <c:pt idx="665">
                  <c:v>837.4075040097224</c:v>
                </c:pt>
                <c:pt idx="666">
                  <c:v>837.4075040097224</c:v>
                </c:pt>
                <c:pt idx="667">
                  <c:v>837.4075040097224</c:v>
                </c:pt>
                <c:pt idx="668">
                  <c:v>837.4075040097224</c:v>
                </c:pt>
                <c:pt idx="669">
                  <c:v>837.4075040097224</c:v>
                </c:pt>
                <c:pt idx="670">
                  <c:v>837.4075040097224</c:v>
                </c:pt>
                <c:pt idx="671">
                  <c:v>837.4075040097224</c:v>
                </c:pt>
                <c:pt idx="672">
                  <c:v>837.4075040097224</c:v>
                </c:pt>
                <c:pt idx="673">
                  <c:v>837.4075040097224</c:v>
                </c:pt>
                <c:pt idx="674">
                  <c:v>837.4075040097224</c:v>
                </c:pt>
                <c:pt idx="675">
                  <c:v>837.4075040097224</c:v>
                </c:pt>
                <c:pt idx="676">
                  <c:v>837.4075040097224</c:v>
                </c:pt>
                <c:pt idx="677">
                  <c:v>837.4075040097224</c:v>
                </c:pt>
                <c:pt idx="678">
                  <c:v>837.4075040097224</c:v>
                </c:pt>
                <c:pt idx="679">
                  <c:v>837.4075040097224</c:v>
                </c:pt>
                <c:pt idx="680">
                  <c:v>837.4075040097224</c:v>
                </c:pt>
                <c:pt idx="681">
                  <c:v>837.4075040097224</c:v>
                </c:pt>
                <c:pt idx="682">
                  <c:v>837.4075040097224</c:v>
                </c:pt>
                <c:pt idx="683">
                  <c:v>837.4075040097224</c:v>
                </c:pt>
                <c:pt idx="684">
                  <c:v>837.4075040097224</c:v>
                </c:pt>
                <c:pt idx="685">
                  <c:v>837.4075040097224</c:v>
                </c:pt>
                <c:pt idx="686">
                  <c:v>837.4075040097224</c:v>
                </c:pt>
                <c:pt idx="687">
                  <c:v>837.4075040097224</c:v>
                </c:pt>
                <c:pt idx="688">
                  <c:v>837.4075040097224</c:v>
                </c:pt>
                <c:pt idx="689">
                  <c:v>837.4075040097224</c:v>
                </c:pt>
                <c:pt idx="690">
                  <c:v>837.4075040097224</c:v>
                </c:pt>
                <c:pt idx="691">
                  <c:v>837.4075040097224</c:v>
                </c:pt>
                <c:pt idx="692">
                  <c:v>837.4075040097224</c:v>
                </c:pt>
                <c:pt idx="693">
                  <c:v>837.4075040097224</c:v>
                </c:pt>
                <c:pt idx="694">
                  <c:v>837.4075040097224</c:v>
                </c:pt>
                <c:pt idx="695">
                  <c:v>837.4075040097224</c:v>
                </c:pt>
                <c:pt idx="696">
                  <c:v>837.4075040097224</c:v>
                </c:pt>
                <c:pt idx="697">
                  <c:v>837.4075040097224</c:v>
                </c:pt>
                <c:pt idx="698">
                  <c:v>837.4075040097224</c:v>
                </c:pt>
                <c:pt idx="699">
                  <c:v>837.4075040097224</c:v>
                </c:pt>
                <c:pt idx="700">
                  <c:v>837.4075040097224</c:v>
                </c:pt>
                <c:pt idx="701">
                  <c:v>837.4075040097224</c:v>
                </c:pt>
                <c:pt idx="702">
                  <c:v>837.4075040097224</c:v>
                </c:pt>
                <c:pt idx="703">
                  <c:v>837.4075040097224</c:v>
                </c:pt>
                <c:pt idx="704">
                  <c:v>837.4075040097224</c:v>
                </c:pt>
                <c:pt idx="705">
                  <c:v>837.4075040097224</c:v>
                </c:pt>
                <c:pt idx="706">
                  <c:v>837.4075040097224</c:v>
                </c:pt>
                <c:pt idx="707">
                  <c:v>837.4075040097224</c:v>
                </c:pt>
                <c:pt idx="708">
                  <c:v>837.4075040097224</c:v>
                </c:pt>
                <c:pt idx="709">
                  <c:v>837.4075040097224</c:v>
                </c:pt>
                <c:pt idx="710">
                  <c:v>837.4075040097224</c:v>
                </c:pt>
                <c:pt idx="711">
                  <c:v>837.4075040097224</c:v>
                </c:pt>
                <c:pt idx="712">
                  <c:v>837.4075040097224</c:v>
                </c:pt>
                <c:pt idx="713">
                  <c:v>837.4075040097224</c:v>
                </c:pt>
                <c:pt idx="714">
                  <c:v>837.4075040097224</c:v>
                </c:pt>
                <c:pt idx="715">
                  <c:v>837.4075040097224</c:v>
                </c:pt>
                <c:pt idx="716">
                  <c:v>837.4075040097224</c:v>
                </c:pt>
                <c:pt idx="717">
                  <c:v>837.4075040097224</c:v>
                </c:pt>
                <c:pt idx="718">
                  <c:v>837.4075040097224</c:v>
                </c:pt>
                <c:pt idx="719">
                  <c:v>837.4075040097224</c:v>
                </c:pt>
                <c:pt idx="720">
                  <c:v>837.4075040097224</c:v>
                </c:pt>
                <c:pt idx="721">
                  <c:v>837.4075040097224</c:v>
                </c:pt>
                <c:pt idx="722">
                  <c:v>837.4075040097224</c:v>
                </c:pt>
                <c:pt idx="723">
                  <c:v>837.4075040097224</c:v>
                </c:pt>
                <c:pt idx="724">
                  <c:v>837.4075040097224</c:v>
                </c:pt>
                <c:pt idx="725">
                  <c:v>837.4075040097224</c:v>
                </c:pt>
                <c:pt idx="726">
                  <c:v>837.4075040097224</c:v>
                </c:pt>
                <c:pt idx="727">
                  <c:v>837.4075040097224</c:v>
                </c:pt>
                <c:pt idx="728">
                  <c:v>837.4075040097224</c:v>
                </c:pt>
                <c:pt idx="729">
                  <c:v>837.4075040097224</c:v>
                </c:pt>
                <c:pt idx="730">
                  <c:v>837.4075040097224</c:v>
                </c:pt>
                <c:pt idx="731">
                  <c:v>837.4075040097224</c:v>
                </c:pt>
                <c:pt idx="732">
                  <c:v>837.4075040097224</c:v>
                </c:pt>
                <c:pt idx="733">
                  <c:v>837.4075040097224</c:v>
                </c:pt>
                <c:pt idx="734">
                  <c:v>837.4075040097224</c:v>
                </c:pt>
                <c:pt idx="735">
                  <c:v>837.4075040097224</c:v>
                </c:pt>
                <c:pt idx="736">
                  <c:v>837.4075040097224</c:v>
                </c:pt>
                <c:pt idx="737">
                  <c:v>837.4075040097224</c:v>
                </c:pt>
                <c:pt idx="738">
                  <c:v>837.4075040097224</c:v>
                </c:pt>
                <c:pt idx="739">
                  <c:v>837.4075040097224</c:v>
                </c:pt>
                <c:pt idx="740">
                  <c:v>837.4075040097224</c:v>
                </c:pt>
                <c:pt idx="741">
                  <c:v>837.4075040097224</c:v>
                </c:pt>
                <c:pt idx="742">
                  <c:v>837.4075040097224</c:v>
                </c:pt>
                <c:pt idx="743">
                  <c:v>837.4075040097224</c:v>
                </c:pt>
                <c:pt idx="744">
                  <c:v>837.4075040097224</c:v>
                </c:pt>
                <c:pt idx="745">
                  <c:v>837.4075040097224</c:v>
                </c:pt>
                <c:pt idx="746">
                  <c:v>837.4075040097224</c:v>
                </c:pt>
                <c:pt idx="747">
                  <c:v>837.4075040097224</c:v>
                </c:pt>
                <c:pt idx="748">
                  <c:v>837.4075040097224</c:v>
                </c:pt>
                <c:pt idx="749">
                  <c:v>837.4075040097224</c:v>
                </c:pt>
                <c:pt idx="750">
                  <c:v>837.4075040097224</c:v>
                </c:pt>
                <c:pt idx="751">
                  <c:v>837.4075040097224</c:v>
                </c:pt>
                <c:pt idx="752">
                  <c:v>837.4075040097224</c:v>
                </c:pt>
                <c:pt idx="753">
                  <c:v>837.4075040097224</c:v>
                </c:pt>
                <c:pt idx="754">
                  <c:v>837.4075040097224</c:v>
                </c:pt>
                <c:pt idx="755">
                  <c:v>837.4075040097224</c:v>
                </c:pt>
                <c:pt idx="756">
                  <c:v>837.4075040097224</c:v>
                </c:pt>
                <c:pt idx="757">
                  <c:v>837.4075040097224</c:v>
                </c:pt>
                <c:pt idx="758">
                  <c:v>837.4075040097224</c:v>
                </c:pt>
                <c:pt idx="759">
                  <c:v>837.4075040097224</c:v>
                </c:pt>
                <c:pt idx="760">
                  <c:v>837.4075040097224</c:v>
                </c:pt>
                <c:pt idx="761">
                  <c:v>837.4075040097224</c:v>
                </c:pt>
                <c:pt idx="762">
                  <c:v>837.4075040097224</c:v>
                </c:pt>
                <c:pt idx="763">
                  <c:v>837.4075040097224</c:v>
                </c:pt>
                <c:pt idx="764">
                  <c:v>837.4075040097224</c:v>
                </c:pt>
                <c:pt idx="765">
                  <c:v>837.4075040097224</c:v>
                </c:pt>
                <c:pt idx="766">
                  <c:v>837.4075040097224</c:v>
                </c:pt>
                <c:pt idx="767">
                  <c:v>837.4075040097224</c:v>
                </c:pt>
                <c:pt idx="768">
                  <c:v>837.4075040097224</c:v>
                </c:pt>
                <c:pt idx="769">
                  <c:v>837.4075040097224</c:v>
                </c:pt>
                <c:pt idx="770">
                  <c:v>837.4075040097224</c:v>
                </c:pt>
                <c:pt idx="771">
                  <c:v>837.4075040097224</c:v>
                </c:pt>
                <c:pt idx="772">
                  <c:v>837.4075040097224</c:v>
                </c:pt>
                <c:pt idx="773">
                  <c:v>837.4075040097224</c:v>
                </c:pt>
                <c:pt idx="774">
                  <c:v>837.4075040097224</c:v>
                </c:pt>
                <c:pt idx="775">
                  <c:v>837.4075040097224</c:v>
                </c:pt>
                <c:pt idx="776">
                  <c:v>837.4075040097224</c:v>
                </c:pt>
                <c:pt idx="777">
                  <c:v>837.4075040097224</c:v>
                </c:pt>
                <c:pt idx="778">
                  <c:v>837.4075040097224</c:v>
                </c:pt>
                <c:pt idx="779">
                  <c:v>837.4075040097224</c:v>
                </c:pt>
                <c:pt idx="780">
                  <c:v>837.4075040097224</c:v>
                </c:pt>
                <c:pt idx="781">
                  <c:v>837.4075040097224</c:v>
                </c:pt>
                <c:pt idx="782">
                  <c:v>837.4075040097224</c:v>
                </c:pt>
                <c:pt idx="783">
                  <c:v>837.4075040097224</c:v>
                </c:pt>
                <c:pt idx="784">
                  <c:v>837.4075040097224</c:v>
                </c:pt>
                <c:pt idx="785">
                  <c:v>837.4075040097224</c:v>
                </c:pt>
                <c:pt idx="786">
                  <c:v>837.4075040097224</c:v>
                </c:pt>
                <c:pt idx="787">
                  <c:v>837.4075040097224</c:v>
                </c:pt>
                <c:pt idx="788">
                  <c:v>837.4075040097224</c:v>
                </c:pt>
                <c:pt idx="789">
                  <c:v>837.4075040097224</c:v>
                </c:pt>
                <c:pt idx="790">
                  <c:v>837.4075040097224</c:v>
                </c:pt>
                <c:pt idx="791">
                  <c:v>837.4075040097224</c:v>
                </c:pt>
                <c:pt idx="792">
                  <c:v>837.4075040097224</c:v>
                </c:pt>
                <c:pt idx="793">
                  <c:v>837.4075040097224</c:v>
                </c:pt>
                <c:pt idx="794">
                  <c:v>837.4075040097224</c:v>
                </c:pt>
                <c:pt idx="795">
                  <c:v>837.4075040097224</c:v>
                </c:pt>
                <c:pt idx="796">
                  <c:v>837.4075040097224</c:v>
                </c:pt>
                <c:pt idx="797">
                  <c:v>837.4075040097224</c:v>
                </c:pt>
                <c:pt idx="798">
                  <c:v>837.4075040097224</c:v>
                </c:pt>
                <c:pt idx="799">
                  <c:v>837.4075040097224</c:v>
                </c:pt>
                <c:pt idx="800">
                  <c:v>837.4075040097224</c:v>
                </c:pt>
                <c:pt idx="801">
                  <c:v>837.4075040097224</c:v>
                </c:pt>
                <c:pt idx="802">
                  <c:v>837.4075040097224</c:v>
                </c:pt>
                <c:pt idx="803">
                  <c:v>837.4075040097224</c:v>
                </c:pt>
                <c:pt idx="804">
                  <c:v>837.4075040097224</c:v>
                </c:pt>
                <c:pt idx="805">
                  <c:v>837.4075040097224</c:v>
                </c:pt>
                <c:pt idx="806">
                  <c:v>837.4075040097224</c:v>
                </c:pt>
                <c:pt idx="807">
                  <c:v>837.4075040097224</c:v>
                </c:pt>
                <c:pt idx="808">
                  <c:v>837.4075040097224</c:v>
                </c:pt>
                <c:pt idx="809">
                  <c:v>837.4075040097224</c:v>
                </c:pt>
                <c:pt idx="810">
                  <c:v>837.4075040097224</c:v>
                </c:pt>
                <c:pt idx="811">
                  <c:v>837.4075040097224</c:v>
                </c:pt>
                <c:pt idx="812">
                  <c:v>837.4075040097224</c:v>
                </c:pt>
                <c:pt idx="813">
                  <c:v>837.4075040097224</c:v>
                </c:pt>
                <c:pt idx="814">
                  <c:v>837.4075040097224</c:v>
                </c:pt>
                <c:pt idx="815">
                  <c:v>837.4075040097224</c:v>
                </c:pt>
                <c:pt idx="816">
                  <c:v>837.4075040097224</c:v>
                </c:pt>
                <c:pt idx="817">
                  <c:v>837.4075040097224</c:v>
                </c:pt>
                <c:pt idx="818">
                  <c:v>837.4075040097224</c:v>
                </c:pt>
                <c:pt idx="819">
                  <c:v>837.4075040097224</c:v>
                </c:pt>
                <c:pt idx="820">
                  <c:v>837.4075040097224</c:v>
                </c:pt>
                <c:pt idx="821">
                  <c:v>837.4075040097224</c:v>
                </c:pt>
                <c:pt idx="822">
                  <c:v>837.4075040097224</c:v>
                </c:pt>
                <c:pt idx="823">
                  <c:v>837.4075040097224</c:v>
                </c:pt>
                <c:pt idx="824">
                  <c:v>837.4075040097224</c:v>
                </c:pt>
                <c:pt idx="825">
                  <c:v>837.4075040097224</c:v>
                </c:pt>
                <c:pt idx="826">
                  <c:v>837.4075040097224</c:v>
                </c:pt>
                <c:pt idx="827">
                  <c:v>837.4075040097224</c:v>
                </c:pt>
                <c:pt idx="828">
                  <c:v>837.4075040097224</c:v>
                </c:pt>
                <c:pt idx="829">
                  <c:v>837.4075040097224</c:v>
                </c:pt>
                <c:pt idx="830">
                  <c:v>837.4075040097224</c:v>
                </c:pt>
                <c:pt idx="831">
                  <c:v>837.4075040097224</c:v>
                </c:pt>
                <c:pt idx="832">
                  <c:v>837.4075040097224</c:v>
                </c:pt>
                <c:pt idx="833">
                  <c:v>837.4075040097224</c:v>
                </c:pt>
                <c:pt idx="834">
                  <c:v>837.4075040097224</c:v>
                </c:pt>
                <c:pt idx="835">
                  <c:v>837.4075040097224</c:v>
                </c:pt>
                <c:pt idx="836">
                  <c:v>837.4075040097224</c:v>
                </c:pt>
                <c:pt idx="837">
                  <c:v>837.4075040097224</c:v>
                </c:pt>
                <c:pt idx="838">
                  <c:v>837.4075040097224</c:v>
                </c:pt>
                <c:pt idx="839">
                  <c:v>837.4075040097224</c:v>
                </c:pt>
                <c:pt idx="840">
                  <c:v>837.4075040097224</c:v>
                </c:pt>
                <c:pt idx="841">
                  <c:v>837.4075040097224</c:v>
                </c:pt>
                <c:pt idx="842">
                  <c:v>837.4075040097224</c:v>
                </c:pt>
                <c:pt idx="843">
                  <c:v>837.4075040097224</c:v>
                </c:pt>
                <c:pt idx="844">
                  <c:v>837.4075040097224</c:v>
                </c:pt>
                <c:pt idx="845">
                  <c:v>837.4075040097224</c:v>
                </c:pt>
                <c:pt idx="846">
                  <c:v>837.4075040097224</c:v>
                </c:pt>
                <c:pt idx="847">
                  <c:v>837.4075040097224</c:v>
                </c:pt>
                <c:pt idx="848">
                  <c:v>837.4075040097224</c:v>
                </c:pt>
                <c:pt idx="849">
                  <c:v>837.4075040097224</c:v>
                </c:pt>
                <c:pt idx="850">
                  <c:v>837.4075040097224</c:v>
                </c:pt>
                <c:pt idx="851">
                  <c:v>837.4075040097224</c:v>
                </c:pt>
                <c:pt idx="852">
                  <c:v>837.4075040097224</c:v>
                </c:pt>
                <c:pt idx="853">
                  <c:v>837.4075040097224</c:v>
                </c:pt>
                <c:pt idx="854">
                  <c:v>837.4075040097224</c:v>
                </c:pt>
                <c:pt idx="855">
                  <c:v>837.4075040097224</c:v>
                </c:pt>
                <c:pt idx="856">
                  <c:v>837.4075040097224</c:v>
                </c:pt>
                <c:pt idx="857">
                  <c:v>837.4075040097224</c:v>
                </c:pt>
                <c:pt idx="858">
                  <c:v>837.4075040097224</c:v>
                </c:pt>
                <c:pt idx="859">
                  <c:v>837.4075040097224</c:v>
                </c:pt>
                <c:pt idx="860">
                  <c:v>837.4075040097224</c:v>
                </c:pt>
                <c:pt idx="861">
                  <c:v>837.4075040097224</c:v>
                </c:pt>
                <c:pt idx="862">
                  <c:v>837.4075040097224</c:v>
                </c:pt>
                <c:pt idx="863">
                  <c:v>837.4075040097224</c:v>
                </c:pt>
                <c:pt idx="864">
                  <c:v>837.4075040097224</c:v>
                </c:pt>
                <c:pt idx="865">
                  <c:v>837.4075040097224</c:v>
                </c:pt>
                <c:pt idx="866">
                  <c:v>837.4075040097224</c:v>
                </c:pt>
                <c:pt idx="867">
                  <c:v>837.4075040097224</c:v>
                </c:pt>
                <c:pt idx="868">
                  <c:v>837.4075040097224</c:v>
                </c:pt>
                <c:pt idx="869">
                  <c:v>837.4075040097224</c:v>
                </c:pt>
                <c:pt idx="870">
                  <c:v>837.4075040097224</c:v>
                </c:pt>
                <c:pt idx="871">
                  <c:v>837.4075040097224</c:v>
                </c:pt>
                <c:pt idx="872">
                  <c:v>837.4075040097224</c:v>
                </c:pt>
                <c:pt idx="873">
                  <c:v>837.4075040097224</c:v>
                </c:pt>
                <c:pt idx="874">
                  <c:v>837.4075040097224</c:v>
                </c:pt>
                <c:pt idx="875">
                  <c:v>837.4075040097224</c:v>
                </c:pt>
                <c:pt idx="876">
                  <c:v>837.4075040097224</c:v>
                </c:pt>
                <c:pt idx="877">
                  <c:v>837.4075040097224</c:v>
                </c:pt>
                <c:pt idx="878">
                  <c:v>837.4075040097224</c:v>
                </c:pt>
                <c:pt idx="879">
                  <c:v>837.4075040097224</c:v>
                </c:pt>
                <c:pt idx="880">
                  <c:v>837.4075040097224</c:v>
                </c:pt>
                <c:pt idx="881">
                  <c:v>837.4075040097224</c:v>
                </c:pt>
                <c:pt idx="882">
                  <c:v>837.4075040097224</c:v>
                </c:pt>
                <c:pt idx="883">
                  <c:v>837.4075040097224</c:v>
                </c:pt>
                <c:pt idx="884">
                  <c:v>837.4075040097224</c:v>
                </c:pt>
                <c:pt idx="885">
                  <c:v>837.4075040097224</c:v>
                </c:pt>
                <c:pt idx="886">
                  <c:v>837.4075040097224</c:v>
                </c:pt>
                <c:pt idx="887">
                  <c:v>837.4075040097224</c:v>
                </c:pt>
                <c:pt idx="888">
                  <c:v>837.4075040097224</c:v>
                </c:pt>
                <c:pt idx="889">
                  <c:v>837.4075040097224</c:v>
                </c:pt>
                <c:pt idx="890">
                  <c:v>837.4075040097224</c:v>
                </c:pt>
                <c:pt idx="891">
                  <c:v>837.4075040097224</c:v>
                </c:pt>
                <c:pt idx="892">
                  <c:v>837.4075040097224</c:v>
                </c:pt>
                <c:pt idx="893">
                  <c:v>837.4075040097224</c:v>
                </c:pt>
                <c:pt idx="894">
                  <c:v>837.4075040097224</c:v>
                </c:pt>
                <c:pt idx="895">
                  <c:v>837.4075040097224</c:v>
                </c:pt>
                <c:pt idx="896">
                  <c:v>837.4075040097224</c:v>
                </c:pt>
                <c:pt idx="897">
                  <c:v>837.4075040097224</c:v>
                </c:pt>
                <c:pt idx="898">
                  <c:v>837.4075040097224</c:v>
                </c:pt>
                <c:pt idx="899">
                  <c:v>837.4075040097224</c:v>
                </c:pt>
                <c:pt idx="900">
                  <c:v>837.4075040097224</c:v>
                </c:pt>
                <c:pt idx="901">
                  <c:v>837.4075040097224</c:v>
                </c:pt>
                <c:pt idx="902">
                  <c:v>837.4075040097224</c:v>
                </c:pt>
                <c:pt idx="903">
                  <c:v>837.4075040097224</c:v>
                </c:pt>
                <c:pt idx="904">
                  <c:v>837.4075040097224</c:v>
                </c:pt>
                <c:pt idx="905">
                  <c:v>837.4075040097224</c:v>
                </c:pt>
                <c:pt idx="906">
                  <c:v>837.4075040097224</c:v>
                </c:pt>
                <c:pt idx="907">
                  <c:v>837.4075040097224</c:v>
                </c:pt>
                <c:pt idx="908">
                  <c:v>837.4075040097224</c:v>
                </c:pt>
                <c:pt idx="909">
                  <c:v>837.4075040097224</c:v>
                </c:pt>
                <c:pt idx="910">
                  <c:v>837.4075040097224</c:v>
                </c:pt>
                <c:pt idx="911">
                  <c:v>837.4075040097224</c:v>
                </c:pt>
                <c:pt idx="912">
                  <c:v>837.4075040097224</c:v>
                </c:pt>
                <c:pt idx="913">
                  <c:v>837.4075040097224</c:v>
                </c:pt>
                <c:pt idx="914">
                  <c:v>837.4075040097224</c:v>
                </c:pt>
                <c:pt idx="915">
                  <c:v>837.4075040097224</c:v>
                </c:pt>
                <c:pt idx="916">
                  <c:v>837.4075040097224</c:v>
                </c:pt>
                <c:pt idx="917">
                  <c:v>837.4075040097224</c:v>
                </c:pt>
                <c:pt idx="918">
                  <c:v>837.4075040097224</c:v>
                </c:pt>
                <c:pt idx="919">
                  <c:v>837.4075040097224</c:v>
                </c:pt>
                <c:pt idx="920">
                  <c:v>837.4075040097224</c:v>
                </c:pt>
                <c:pt idx="921">
                  <c:v>837.4075040097224</c:v>
                </c:pt>
                <c:pt idx="922">
                  <c:v>837.4075040097224</c:v>
                </c:pt>
                <c:pt idx="923">
                  <c:v>837.4075040097224</c:v>
                </c:pt>
                <c:pt idx="924">
                  <c:v>837.4075040097224</c:v>
                </c:pt>
                <c:pt idx="925">
                  <c:v>837.4075040097224</c:v>
                </c:pt>
                <c:pt idx="926">
                  <c:v>837.4075040097224</c:v>
                </c:pt>
                <c:pt idx="927">
                  <c:v>837.4075040097224</c:v>
                </c:pt>
                <c:pt idx="928">
                  <c:v>837.4075040097224</c:v>
                </c:pt>
                <c:pt idx="929">
                  <c:v>837.4075040097224</c:v>
                </c:pt>
                <c:pt idx="930">
                  <c:v>837.4075040097224</c:v>
                </c:pt>
                <c:pt idx="931">
                  <c:v>837.4075040097224</c:v>
                </c:pt>
                <c:pt idx="932">
                  <c:v>837.4075040097224</c:v>
                </c:pt>
                <c:pt idx="933">
                  <c:v>837.4075040097224</c:v>
                </c:pt>
                <c:pt idx="934">
                  <c:v>837.4075040097224</c:v>
                </c:pt>
                <c:pt idx="935">
                  <c:v>837.4075040097224</c:v>
                </c:pt>
                <c:pt idx="936">
                  <c:v>837.4075040097224</c:v>
                </c:pt>
                <c:pt idx="937">
                  <c:v>837.4075040097224</c:v>
                </c:pt>
                <c:pt idx="938">
                  <c:v>837.4075040097224</c:v>
                </c:pt>
                <c:pt idx="939">
                  <c:v>837.4075040097224</c:v>
                </c:pt>
                <c:pt idx="940">
                  <c:v>837.4075040097224</c:v>
                </c:pt>
                <c:pt idx="941">
                  <c:v>837.4075040097224</c:v>
                </c:pt>
                <c:pt idx="942">
                  <c:v>837.4075040097224</c:v>
                </c:pt>
                <c:pt idx="943">
                  <c:v>837.4075040097224</c:v>
                </c:pt>
                <c:pt idx="944">
                  <c:v>837.4075040097224</c:v>
                </c:pt>
                <c:pt idx="945">
                  <c:v>837.4075040097224</c:v>
                </c:pt>
                <c:pt idx="946">
                  <c:v>837.4075040097224</c:v>
                </c:pt>
                <c:pt idx="947">
                  <c:v>837.4075040097224</c:v>
                </c:pt>
                <c:pt idx="948">
                  <c:v>837.4075040097224</c:v>
                </c:pt>
                <c:pt idx="949">
                  <c:v>837.4075040097224</c:v>
                </c:pt>
                <c:pt idx="950">
                  <c:v>837.4075040097224</c:v>
                </c:pt>
                <c:pt idx="951">
                  <c:v>837.4075040097224</c:v>
                </c:pt>
                <c:pt idx="952">
                  <c:v>837.4075040097224</c:v>
                </c:pt>
                <c:pt idx="953">
                  <c:v>837.4075040097224</c:v>
                </c:pt>
                <c:pt idx="954">
                  <c:v>837.4075040097224</c:v>
                </c:pt>
                <c:pt idx="955">
                  <c:v>837.4075040097224</c:v>
                </c:pt>
                <c:pt idx="956">
                  <c:v>837.4075040097224</c:v>
                </c:pt>
                <c:pt idx="957">
                  <c:v>837.4075040097224</c:v>
                </c:pt>
                <c:pt idx="958">
                  <c:v>837.4075040097224</c:v>
                </c:pt>
                <c:pt idx="959">
                  <c:v>837.4075040097224</c:v>
                </c:pt>
                <c:pt idx="960">
                  <c:v>837.4075040097224</c:v>
                </c:pt>
                <c:pt idx="961">
                  <c:v>837.4075040097224</c:v>
                </c:pt>
                <c:pt idx="962">
                  <c:v>837.4075040097224</c:v>
                </c:pt>
                <c:pt idx="963">
                  <c:v>837.4075040097224</c:v>
                </c:pt>
                <c:pt idx="964">
                  <c:v>837.4075040097224</c:v>
                </c:pt>
                <c:pt idx="965">
                  <c:v>837.4075040097224</c:v>
                </c:pt>
                <c:pt idx="966">
                  <c:v>837.4075040097224</c:v>
                </c:pt>
                <c:pt idx="967">
                  <c:v>837.4075040097224</c:v>
                </c:pt>
                <c:pt idx="968">
                  <c:v>837.4075040097224</c:v>
                </c:pt>
                <c:pt idx="969">
                  <c:v>837.4075040097224</c:v>
                </c:pt>
                <c:pt idx="970">
                  <c:v>837.4075040097224</c:v>
                </c:pt>
                <c:pt idx="971">
                  <c:v>837.4075040097224</c:v>
                </c:pt>
                <c:pt idx="972">
                  <c:v>837.4075040097224</c:v>
                </c:pt>
                <c:pt idx="973">
                  <c:v>837.4075040097224</c:v>
                </c:pt>
                <c:pt idx="974">
                  <c:v>837.4075040097224</c:v>
                </c:pt>
                <c:pt idx="975">
                  <c:v>837.4075040097224</c:v>
                </c:pt>
                <c:pt idx="976">
                  <c:v>837.4075040097224</c:v>
                </c:pt>
                <c:pt idx="977">
                  <c:v>837.4075040097224</c:v>
                </c:pt>
                <c:pt idx="978">
                  <c:v>837.4075040097224</c:v>
                </c:pt>
                <c:pt idx="979">
                  <c:v>837.4075040097224</c:v>
                </c:pt>
                <c:pt idx="980">
                  <c:v>837.4075040097224</c:v>
                </c:pt>
                <c:pt idx="981">
                  <c:v>837.4075040097224</c:v>
                </c:pt>
                <c:pt idx="982">
                  <c:v>837.4075040097224</c:v>
                </c:pt>
                <c:pt idx="983">
                  <c:v>837.4075040097224</c:v>
                </c:pt>
                <c:pt idx="984">
                  <c:v>837.4075040097224</c:v>
                </c:pt>
                <c:pt idx="985">
                  <c:v>837.4075040097224</c:v>
                </c:pt>
                <c:pt idx="986">
                  <c:v>837.4075040097224</c:v>
                </c:pt>
                <c:pt idx="987">
                  <c:v>837.4075040097224</c:v>
                </c:pt>
                <c:pt idx="988">
                  <c:v>837.4075040097224</c:v>
                </c:pt>
                <c:pt idx="989">
                  <c:v>837.4075040097224</c:v>
                </c:pt>
                <c:pt idx="990">
                  <c:v>837.4075040097224</c:v>
                </c:pt>
                <c:pt idx="991">
                  <c:v>837.4075040097224</c:v>
                </c:pt>
                <c:pt idx="992">
                  <c:v>837.4075040097224</c:v>
                </c:pt>
                <c:pt idx="993">
                  <c:v>837.4075040097224</c:v>
                </c:pt>
                <c:pt idx="994">
                  <c:v>837.4075040097224</c:v>
                </c:pt>
                <c:pt idx="995">
                  <c:v>837.4075040097224</c:v>
                </c:pt>
                <c:pt idx="996">
                  <c:v>837.4075040097224</c:v>
                </c:pt>
                <c:pt idx="997">
                  <c:v>837.4075040097224</c:v>
                </c:pt>
                <c:pt idx="998">
                  <c:v>837.4075040097224</c:v>
                </c:pt>
                <c:pt idx="999">
                  <c:v>837.4075040097224</c:v>
                </c:pt>
                <c:pt idx="1000">
                  <c:v>837.4075040097224</c:v>
                </c:pt>
              </c:numCache>
            </c:numRef>
          </c:xVal>
          <c:yVal>
            <c:numRef>
              <c:f>Calculs!$K$4:$K$1004</c:f>
              <c:numCache>
                <c:formatCode>0.00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1438.172866697847</c:v>
                </c:pt>
                <c:pt idx="300">
                  <c:v>1438.0767119267175</c:v>
                </c:pt>
                <c:pt idx="301">
                  <c:v>1437.8826287380009</c:v>
                </c:pt>
                <c:pt idx="302">
                  <c:v>1437.5907921864218</c:v>
                </c:pt>
                <c:pt idx="303">
                  <c:v>1437.2013780960326</c:v>
                </c:pt>
                <c:pt idx="304">
                  <c:v>1436.7145638979523</c:v>
                </c:pt>
                <c:pt idx="305">
                  <c:v>1436.130529441567</c:v>
                </c:pt>
                <c:pt idx="306">
                  <c:v>1435.4494577734949</c:v>
                </c:pt>
                <c:pt idx="307">
                  <c:v>1434.6715358793581</c:v>
                </c:pt>
                <c:pt idx="308">
                  <c:v>1433.7969553842604</c:v>
                </c:pt>
                <c:pt idx="309">
                  <c:v>1432.8259132087915</c:v>
                </c:pt>
                <c:pt idx="310">
                  <c:v>1431.7586121783017</c:v>
                </c:pt>
                <c:pt idx="311">
                  <c:v>1430.5952615841022</c:v>
                </c:pt>
                <c:pt idx="312">
                  <c:v>1429.3360776960706</c:v>
                </c:pt>
                <c:pt idx="313">
                  <c:v>1427.9812842268909</c:v>
                </c:pt>
                <c:pt idx="314">
                  <c:v>1426.531112748788</c:v>
                </c:pt>
                <c:pt idx="315">
                  <c:v>1424.9858030641353</c:v>
                </c:pt>
                <c:pt idx="316">
                  <c:v>1423.3456035317236</c:v>
                </c:pt>
                <c:pt idx="317">
                  <c:v>1421.6107713507683</c:v>
                </c:pt>
                <c:pt idx="318">
                  <c:v>1419.7815728049438</c:v>
                </c:pt>
                <c:pt idx="319">
                  <c:v>1417.8582834688364</c:v>
                </c:pt>
                <c:pt idx="320">
                  <c:v>1415.8411883792644</c:v>
                </c:pt>
                <c:pt idx="321">
                  <c:v>1413.7305821738946</c:v>
                </c:pt>
                <c:pt idx="322">
                  <c:v>1411.5267691995355</c:v>
                </c:pt>
                <c:pt idx="323">
                  <c:v>1409.2300635923946</c:v>
                </c:pt>
                <c:pt idx="324">
                  <c:v>1406.840789332482</c:v>
                </c:pt>
                <c:pt idx="325">
                  <c:v>1404.359280274216</c:v>
                </c:pt>
                <c:pt idx="326">
                  <c:v>1401.7858801551538</c:v>
                </c:pt>
                <c:pt idx="327">
                  <c:v>1399.1209425846375</c:v>
                </c:pt>
                <c:pt idx="328">
                  <c:v>1396.3648310140113</c:v>
                </c:pt>
                <c:pt idx="329">
                  <c:v>1393.5179186899352</c:v>
                </c:pt>
                <c:pt idx="330">
                  <c:v>1390.5805885922011</c:v>
                </c:pt>
                <c:pt idx="331">
                  <c:v>1387.5532333573371</c:v>
                </c:pt>
                <c:pt idx="332">
                  <c:v>1384.4362551891802</c:v>
                </c:pt>
                <c:pt idx="333">
                  <c:v>1381.2300657574979</c:v>
                </c:pt>
                <c:pt idx="334">
                  <c:v>1377.9350860856496</c:v>
                </c:pt>
                <c:pt idx="335">
                  <c:v>1374.5517464281907</c:v>
                </c:pt>
                <c:pt idx="336">
                  <c:v>1371.080486139253</c:v>
                </c:pt>
                <c:pt idx="337">
                  <c:v>1367.5217535324641</c:v>
                </c:pt>
                <c:pt idx="338">
                  <c:v>1363.8760057331049</c:v>
                </c:pt>
                <c:pt idx="339">
                  <c:v>1360.1437085231535</c:v>
                </c:pt>
                <c:pt idx="340">
                  <c:v>1356.3253361798122</c:v>
                </c:pt>
                <c:pt idx="341">
                  <c:v>1352.4213713080683</c:v>
                </c:pt>
                <c:pt idx="342">
                  <c:v>1348.4323046678016</c:v>
                </c:pt>
                <c:pt idx="343">
                  <c:v>1344.358634995916</c:v>
                </c:pt>
                <c:pt idx="344">
                  <c:v>1340.2008688239362</c:v>
                </c:pt>
                <c:pt idx="345">
                  <c:v>1335.9595202914907</c:v>
                </c:pt>
                <c:pt idx="346">
                  <c:v>1331.635110956064</c:v>
                </c:pt>
                <c:pt idx="347">
                  <c:v>1327.2281695993895</c:v>
                </c:pt>
                <c:pt idx="348">
                  <c:v>1322.7392320308247</c:v>
                </c:pt>
                <c:pt idx="349">
                  <c:v>1318.1688408880361</c:v>
                </c:pt>
                <c:pt idx="350">
                  <c:v>1313.5175454353023</c:v>
                </c:pt>
                <c:pt idx="351">
                  <c:v>1308.7859013597276</c:v>
                </c:pt>
                <c:pt idx="352">
                  <c:v>1303.9744705656447</c:v>
                </c:pt>
                <c:pt idx="353">
                  <c:v>1299.0838209674714</c:v>
                </c:pt>
                <c:pt idx="354">
                  <c:v>1294.1145262812745</c:v>
                </c:pt>
                <c:pt idx="355">
                  <c:v>1289.0671658152817</c:v>
                </c:pt>
                <c:pt idx="356">
                  <c:v>1283.9423242595742</c:v>
                </c:pt>
                <c:pt idx="357">
                  <c:v>1278.7405914751796</c:v>
                </c:pt>
                <c:pt idx="358">
                  <c:v>1273.4625622827773</c:v>
                </c:pt>
                <c:pt idx="359">
                  <c:v>1268.1088362512221</c:v>
                </c:pt>
                <c:pt idx="360">
                  <c:v>1262.6800174860789</c:v>
                </c:pt>
                <c:pt idx="361">
                  <c:v>1257.1767144183573</c:v>
                </c:pt>
                <c:pt idx="362">
                  <c:v>1251.5995395936259</c:v>
                </c:pt>
                <c:pt idx="363">
                  <c:v>1245.9491094616801</c:v>
                </c:pt>
                <c:pt idx="364">
                  <c:v>1240.2260441669289</c:v>
                </c:pt>
                <c:pt idx="365">
                  <c:v>1234.4309673396617</c:v>
                </c:pt>
                <c:pt idx="366">
                  <c:v>1228.5645058883467</c:v>
                </c:pt>
                <c:pt idx="367">
                  <c:v>1222.6272897931099</c:v>
                </c:pt>
                <c:pt idx="368">
                  <c:v>1216.6199519005359</c:v>
                </c:pt>
                <c:pt idx="369">
                  <c:v>1210.5431277199248</c:v>
                </c:pt>
                <c:pt idx="370">
                  <c:v>1204.3974552211364</c:v>
                </c:pt>
                <c:pt idx="371">
                  <c:v>1198.1835746341451</c:v>
                </c:pt>
                <c:pt idx="372">
                  <c:v>1191.9021282504248</c:v>
                </c:pt>
                <c:pt idx="373">
                  <c:v>1185.5537602262771</c:v>
                </c:pt>
                <c:pt idx="374">
                  <c:v>1179.1391163882111</c:v>
                </c:pt>
                <c:pt idx="375">
                  <c:v>1172.6588440404776</c:v>
                </c:pt>
                <c:pt idx="376">
                  <c:v>1166.1135917748568</c:v>
                </c:pt>
                <c:pt idx="377">
                  <c:v>1159.5040092827908</c:v>
                </c:pt>
                <c:pt idx="378">
                  <c:v>1152.8307471699504</c:v>
                </c:pt>
                <c:pt idx="379">
                  <c:v>1146.0944567733197</c:v>
                </c:pt>
                <c:pt idx="380">
                  <c:v>1139.2957899808757</c:v>
                </c:pt>
                <c:pt idx="381">
                  <c:v>1132.4353990539387</c:v>
                </c:pt>
                <c:pt idx="382">
                  <c:v>1125.5139364522611</c:v>
                </c:pt>
                <c:pt idx="383">
                  <c:v>1118.5320546619214</c:v>
                </c:pt>
                <c:pt idx="384">
                  <c:v>1111.4904060260812</c:v>
                </c:pt>
                <c:pt idx="385">
                  <c:v>1104.3896425786652</c:v>
                </c:pt>
                <c:pt idx="386">
                  <c:v>1097.2304158810111</c:v>
                </c:pt>
                <c:pt idx="387">
                  <c:v>1090.0133768615424</c:v>
                </c:pt>
                <c:pt idx="388">
                  <c:v>1082.7391756585027</c:v>
                </c:pt>
                <c:pt idx="389">
                  <c:v>1075.4084614657957</c:v>
                </c:pt>
                <c:pt idx="390">
                  <c:v>1068.0218823819619</c:v>
                </c:pt>
                <c:pt idx="391">
                  <c:v>1060.5800852623283</c:v>
                </c:pt>
                <c:pt idx="392">
                  <c:v>1053.0837155743554</c:v>
                </c:pt>
                <c:pt idx="393">
                  <c:v>1045.5334172562084</c:v>
                </c:pt>
                <c:pt idx="394">
                  <c:v>1037.9298325785714</c:v>
                </c:pt>
                <c:pt idx="395">
                  <c:v>1030.2736020097252</c:v>
                </c:pt>
                <c:pt idx="396">
                  <c:v>1022.565364083897</c:v>
                </c:pt>
                <c:pt idx="397">
                  <c:v>1014.8057552728993</c:v>
                </c:pt>
                <c:pt idx="398">
                  <c:v>1006.9954098610605</c:v>
                </c:pt>
                <c:pt idx="399">
                  <c:v>999.13495982345273</c:v>
                </c:pt>
                <c:pt idx="400">
                  <c:v>991.22503470741992</c:v>
                </c:pt>
                <c:pt idx="401">
                  <c:v>983.26626151740197</c:v>
                </c:pt>
                <c:pt idx="402">
                  <c:v>975.25926460305243</c:v>
                </c:pt>
                <c:pt idx="403">
                  <c:v>967.20466555064149</c:v>
                </c:pt>
                <c:pt idx="404">
                  <c:v>959.10308307773505</c:v>
                </c:pt>
                <c:pt idx="405">
                  <c:v>950.95513293113675</c:v>
                </c:pt>
                <c:pt idx="406">
                  <c:v>942.761427788079</c:v>
                </c:pt>
                <c:pt idx="407">
                  <c:v>934.52257716064548</c:v>
                </c:pt>
                <c:pt idx="408">
                  <c:v>926.23918730340574</c:v>
                </c:pt>
                <c:pt idx="409">
                  <c:v>917.91186112424009</c:v>
                </c:pt>
                <c:pt idx="410">
                  <c:v>909.54119809833173</c:v>
                </c:pt>
                <c:pt idx="411">
                  <c:v>901.12779418529999</c:v>
                </c:pt>
                <c:pt idx="412">
                  <c:v>892.67224174944761</c:v>
                </c:pt>
                <c:pt idx="413">
                  <c:v>884.17512948309286</c:v>
                </c:pt>
                <c:pt idx="414">
                  <c:v>875.63704233295482</c:v>
                </c:pt>
                <c:pt idx="415">
                  <c:v>867.05856142956043</c:v>
                </c:pt>
                <c:pt idx="416">
                  <c:v>858.44026401963845</c:v>
                </c:pt>
                <c:pt idx="417">
                  <c:v>849.78272340146509</c:v>
                </c:pt>
                <c:pt idx="418">
                  <c:v>841.08650886312466</c:v>
                </c:pt>
                <c:pt idx="419">
                  <c:v>832.35218562364673</c:v>
                </c:pt>
                <c:pt idx="420">
                  <c:v>823.58031477698114</c:v>
                </c:pt>
                <c:pt idx="421">
                  <c:v>814.77145323876982</c:v>
                </c:pt>
                <c:pt idx="422">
                  <c:v>805.92615369587509</c:v>
                </c:pt>
                <c:pt idx="423">
                  <c:v>797.04496455862079</c:v>
                </c:pt>
                <c:pt idx="424">
                  <c:v>788.12842991570403</c:v>
                </c:pt>
                <c:pt idx="425">
                  <c:v>779.17708949173357</c:v>
                </c:pt>
                <c:pt idx="426">
                  <c:v>770.19147860734972</c:v>
                </c:pt>
                <c:pt idx="427">
                  <c:v>761.17212814188099</c:v>
                </c:pt>
                <c:pt idx="428">
                  <c:v>752.11956449849094</c:v>
                </c:pt>
                <c:pt idx="429">
                  <c:v>743.0343095717692</c:v>
                </c:pt>
                <c:pt idx="430">
                  <c:v>733.91688071772035</c:v>
                </c:pt>
                <c:pt idx="431">
                  <c:v>724.76779072610213</c:v>
                </c:pt>
                <c:pt idx="432">
                  <c:v>715.58754779506694</c:v>
                </c:pt>
                <c:pt idx="433">
                  <c:v>706.37665550805741</c:v>
                </c:pt>
                <c:pt idx="434">
                  <c:v>697.13561281290913</c:v>
                </c:pt>
                <c:pt idx="435">
                  <c:v>687.86491400311161</c:v>
                </c:pt>
                <c:pt idx="436">
                  <c:v>678.56504870117988</c:v>
                </c:pt>
                <c:pt idx="437">
                  <c:v>669.23650184408723</c:v>
                </c:pt>
                <c:pt idx="438">
                  <c:v>659.8797536707126</c:v>
                </c:pt>
                <c:pt idx="439">
                  <c:v>650.49527971125212</c:v>
                </c:pt>
                <c:pt idx="440">
                  <c:v>641.0835507785489</c:v>
                </c:pt>
                <c:pt idx="441">
                  <c:v>631.64503296129067</c:v>
                </c:pt>
                <c:pt idx="442">
                  <c:v>622.18018761902954</c:v>
                </c:pt>
                <c:pt idx="443">
                  <c:v>612.68947137897487</c:v>
                </c:pt>
                <c:pt idx="444">
                  <c:v>603.17333613451194</c:v>
                </c:pt>
                <c:pt idx="445">
                  <c:v>593.63222904539987</c:v>
                </c:pt>
                <c:pt idx="446">
                  <c:v>584.06659253960152</c:v>
                </c:pt>
                <c:pt idx="447">
                  <c:v>574.47686431669877</c:v>
                </c:pt>
                <c:pt idx="448">
                  <c:v>564.86347735284778</c:v>
                </c:pt>
                <c:pt idx="449">
                  <c:v>555.22685990722789</c:v>
                </c:pt>
                <c:pt idx="450">
                  <c:v>545.56743552993896</c:v>
                </c:pt>
                <c:pt idx="451">
                  <c:v>535.88562307130258</c:v>
                </c:pt>
                <c:pt idx="452">
                  <c:v>526.18183669252312</c:v>
                </c:pt>
                <c:pt idx="453">
                  <c:v>516.45648587766448</c:v>
                </c:pt>
                <c:pt idx="454">
                  <c:v>506.70997544689885</c:v>
                </c:pt>
                <c:pt idx="455">
                  <c:v>496.94270557098611</c:v>
                </c:pt>
                <c:pt idx="456">
                  <c:v>487.15507178694014</c:v>
                </c:pt>
                <c:pt idx="457">
                  <c:v>477.34746501484176</c:v>
                </c:pt>
                <c:pt idx="458">
                  <c:v>467.52027157575657</c:v>
                </c:pt>
                <c:pt idx="459">
                  <c:v>457.67387321071777</c:v>
                </c:pt>
                <c:pt idx="460">
                  <c:v>447.80864710073394</c:v>
                </c:pt>
                <c:pt idx="461">
                  <c:v>437.92496588778283</c:v>
                </c:pt>
                <c:pt idx="462">
                  <c:v>428.02319769675302</c:v>
                </c:pt>
                <c:pt idx="463">
                  <c:v>418.10370615829493</c:v>
                </c:pt>
                <c:pt idx="464">
                  <c:v>408.16685043254466</c:v>
                </c:pt>
                <c:pt idx="465">
                  <c:v>398.21298523368432</c:v>
                </c:pt>
                <c:pt idx="466">
                  <c:v>388.24246085530223</c:v>
                </c:pt>
                <c:pt idx="467">
                  <c:v>378.25562319651902</c:v>
                </c:pt>
                <c:pt idx="468">
                  <c:v>368.25281378884426</c:v>
                </c:pt>
                <c:pt idx="469">
                  <c:v>358.23436982373033</c:v>
                </c:pt>
                <c:pt idx="470">
                  <c:v>348.20062418079067</c:v>
                </c:pt>
                <c:pt idx="471">
                  <c:v>338.15190545664939</c:v>
                </c:pt>
                <c:pt idx="472">
                  <c:v>328.08853799439152</c:v>
                </c:pt>
                <c:pt idx="473">
                  <c:v>318.01084191358194</c:v>
                </c:pt>
                <c:pt idx="474">
                  <c:v>307.91913314082353</c:v>
                </c:pt>
                <c:pt idx="475">
                  <c:v>297.81372344082445</c:v>
                </c:pt>
                <c:pt idx="476">
                  <c:v>287.69492044794578</c:v>
                </c:pt>
                <c:pt idx="477">
                  <c:v>277.56302769820138</c:v>
                </c:pt>
                <c:pt idx="478">
                  <c:v>267.41834466168228</c:v>
                </c:pt>
                <c:pt idx="479">
                  <c:v>257.26116677537902</c:v>
                </c:pt>
                <c:pt idx="480">
                  <c:v>247.09178547637524</c:v>
                </c:pt>
                <c:pt idx="481">
                  <c:v>236.91048823538736</c:v>
                </c:pt>
                <c:pt idx="482">
                  <c:v>226.71755859062563</c:v>
                </c:pt>
                <c:pt idx="483">
                  <c:v>216.51327618195171</c:v>
                </c:pt>
                <c:pt idx="484">
                  <c:v>206.29791678530995</c:v>
                </c:pt>
                <c:pt idx="485">
                  <c:v>196.07175234740882</c:v>
                </c:pt>
                <c:pt idx="486">
                  <c:v>185.83505102063063</c:v>
                </c:pt>
                <c:pt idx="487">
                  <c:v>175.58807719814769</c:v>
                </c:pt>
                <c:pt idx="488">
                  <c:v>165.33109154922377</c:v>
                </c:pt>
                <c:pt idx="489">
                  <c:v>155.06435105468066</c:v>
                </c:pt>
                <c:pt idx="490">
                  <c:v>144.7881090425098</c:v>
                </c:pt>
                <c:pt idx="491">
                  <c:v>134.50261522360992</c:v>
                </c:pt>
                <c:pt idx="492">
                  <c:v>124.20811572763181</c:v>
                </c:pt>
                <c:pt idx="493">
                  <c:v>113.90485313891234</c:v>
                </c:pt>
                <c:pt idx="494">
                  <c:v>103.59306653248024</c:v>
                </c:pt>
                <c:pt idx="495">
                  <c:v>93.272991510116469</c:v>
                </c:pt>
                <c:pt idx="496">
                  <c:v>82.94486023645311</c:v>
                </c:pt>
                <c:pt idx="497">
                  <c:v>72.608901475094655</c:v>
                </c:pt>
                <c:pt idx="498">
                  <c:v>62.265340624746507</c:v>
                </c:pt>
                <c:pt idx="499">
                  <c:v>51.914399755335907</c:v>
                </c:pt>
                <c:pt idx="500">
                  <c:v>41.556297644110948</c:v>
                </c:pt>
                <c:pt idx="501">
                  <c:v>31.191249811703891</c:v>
                </c:pt>
                <c:pt idx="502">
                  <c:v>20.819468558145587</c:v>
                </c:pt>
                <c:pt idx="503">
                  <c:v>10.441162998818086</c:v>
                </c:pt>
                <c:pt idx="504">
                  <c:v>5.6539100333203862E-2</c:v>
                </c:pt>
                <c:pt idx="505">
                  <c:v>-10.334200283674891</c:v>
                </c:pt>
                <c:pt idx="506">
                  <c:v>-10.344594033383434</c:v>
                </c:pt>
                <c:pt idx="507">
                  <c:v>-10.354987788908463</c:v>
                </c:pt>
                <c:pt idx="508">
                  <c:v>-10.365381550249786</c:v>
                </c:pt>
                <c:pt idx="509">
                  <c:v>-10.375775317407209</c:v>
                </c:pt>
                <c:pt idx="510">
                  <c:v>-10.386169090380534</c:v>
                </c:pt>
                <c:pt idx="511">
                  <c:v>-10.396562869169568</c:v>
                </c:pt>
                <c:pt idx="512">
                  <c:v>-10.406956653774115</c:v>
                </c:pt>
                <c:pt idx="513">
                  <c:v>-10.41735044419398</c:v>
                </c:pt>
                <c:pt idx="514">
                  <c:v>-10.42774424042897</c:v>
                </c:pt>
                <c:pt idx="515">
                  <c:v>-10.438138042478888</c:v>
                </c:pt>
                <c:pt idx="516">
                  <c:v>-10.44853185034354</c:v>
                </c:pt>
                <c:pt idx="517">
                  <c:v>-10.458925664022731</c:v>
                </c:pt>
                <c:pt idx="518">
                  <c:v>-10.469319483516264</c:v>
                </c:pt>
                <c:pt idx="519">
                  <c:v>-10.479713308823946</c:v>
                </c:pt>
                <c:pt idx="520">
                  <c:v>-10.490107139945582</c:v>
                </c:pt>
                <c:pt idx="521">
                  <c:v>-10.500500976880977</c:v>
                </c:pt>
                <c:pt idx="522">
                  <c:v>-10.510894819629934</c:v>
                </c:pt>
                <c:pt idx="523">
                  <c:v>-10.521288668192261</c:v>
                </c:pt>
                <c:pt idx="524">
                  <c:v>-10.531682522567761</c:v>
                </c:pt>
                <c:pt idx="525">
                  <c:v>-10.542076382756241</c:v>
                </c:pt>
                <c:pt idx="526">
                  <c:v>-10.552470248757505</c:v>
                </c:pt>
                <c:pt idx="527">
                  <c:v>-10.562864120571357</c:v>
                </c:pt>
                <c:pt idx="528">
                  <c:v>-10.573257998197603</c:v>
                </c:pt>
                <c:pt idx="529">
                  <c:v>-10.583651881636049</c:v>
                </c:pt>
                <c:pt idx="530">
                  <c:v>-10.594045770886499</c:v>
                </c:pt>
                <c:pt idx="531">
                  <c:v>-10.604439665948759</c:v>
                </c:pt>
                <c:pt idx="532">
                  <c:v>-10.614833566822632</c:v>
                </c:pt>
                <c:pt idx="533">
                  <c:v>-10.625227473507925</c:v>
                </c:pt>
                <c:pt idx="534">
                  <c:v>-10.635621386004443</c:v>
                </c:pt>
                <c:pt idx="535">
                  <c:v>-10.646015304311991</c:v>
                </c:pt>
                <c:pt idx="536">
                  <c:v>-10.656409228430373</c:v>
                </c:pt>
                <c:pt idx="537">
                  <c:v>-10.666803158359395</c:v>
                </c:pt>
                <c:pt idx="538">
                  <c:v>-10.677197094098862</c:v>
                </c:pt>
                <c:pt idx="539">
                  <c:v>-10.687591035648579</c:v>
                </c:pt>
                <c:pt idx="540">
                  <c:v>-10.69798498300835</c:v>
                </c:pt>
                <c:pt idx="541">
                  <c:v>-10.708378936177983</c:v>
                </c:pt>
                <c:pt idx="542">
                  <c:v>-10.718772895157279</c:v>
                </c:pt>
                <c:pt idx="543">
                  <c:v>-10.729166859946048</c:v>
                </c:pt>
                <c:pt idx="544">
                  <c:v>-10.739560830544091</c:v>
                </c:pt>
                <c:pt idx="545">
                  <c:v>-10.749954806951216</c:v>
                </c:pt>
                <c:pt idx="546">
                  <c:v>-10.760348789167226</c:v>
                </c:pt>
                <c:pt idx="547">
                  <c:v>-10.770742777191927</c:v>
                </c:pt>
                <c:pt idx="548">
                  <c:v>-10.781136771025123</c:v>
                </c:pt>
                <c:pt idx="549">
                  <c:v>-10.79153077066662</c:v>
                </c:pt>
                <c:pt idx="550">
                  <c:v>-10.801924776116223</c:v>
                </c:pt>
                <c:pt idx="551">
                  <c:v>-10.812318787373739</c:v>
                </c:pt>
                <c:pt idx="552">
                  <c:v>-10.822712804438972</c:v>
                </c:pt>
                <c:pt idx="553">
                  <c:v>-10.833106827311726</c:v>
                </c:pt>
                <c:pt idx="554">
                  <c:v>-10.843500855991806</c:v>
                </c:pt>
                <c:pt idx="555">
                  <c:v>-10.853894890479019</c:v>
                </c:pt>
                <c:pt idx="556">
                  <c:v>-10.864288930773169</c:v>
                </c:pt>
                <c:pt idx="557">
                  <c:v>-10.874682976874061</c:v>
                </c:pt>
                <c:pt idx="558">
                  <c:v>-10.885077028781499</c:v>
                </c:pt>
                <c:pt idx="559">
                  <c:v>-10.89547108649529</c:v>
                </c:pt>
                <c:pt idx="560">
                  <c:v>-10.90586515001524</c:v>
                </c:pt>
                <c:pt idx="561">
                  <c:v>-10.916259219341152</c:v>
                </c:pt>
                <c:pt idx="562">
                  <c:v>-10.926653294472832</c:v>
                </c:pt>
                <c:pt idx="563">
                  <c:v>-10.937047375410085</c:v>
                </c:pt>
                <c:pt idx="564">
                  <c:v>-10.947441462152717</c:v>
                </c:pt>
                <c:pt idx="565">
                  <c:v>-10.957835554700532</c:v>
                </c:pt>
                <c:pt idx="566">
                  <c:v>-10.968229653053337</c:v>
                </c:pt>
                <c:pt idx="567">
                  <c:v>-10.978623757210935</c:v>
                </c:pt>
                <c:pt idx="568">
                  <c:v>-10.989017867173132</c:v>
                </c:pt>
                <c:pt idx="569">
                  <c:v>-10.999411982939733</c:v>
                </c:pt>
                <c:pt idx="570">
                  <c:v>-11.009806104510544</c:v>
                </c:pt>
                <c:pt idx="571">
                  <c:v>-11.020200231885369</c:v>
                </c:pt>
                <c:pt idx="572">
                  <c:v>-11.030594365064013</c:v>
                </c:pt>
                <c:pt idx="573">
                  <c:v>-11.040988504046284</c:v>
                </c:pt>
                <c:pt idx="574">
                  <c:v>-11.051382648831986</c:v>
                </c:pt>
                <c:pt idx="575">
                  <c:v>-11.061776799420922</c:v>
                </c:pt>
                <c:pt idx="576">
                  <c:v>-11.072170955812899</c:v>
                </c:pt>
                <c:pt idx="577">
                  <c:v>-11.082565118007722</c:v>
                </c:pt>
                <c:pt idx="578">
                  <c:v>-11.092959286005195</c:v>
                </c:pt>
                <c:pt idx="579">
                  <c:v>-11.103353459805126</c:v>
                </c:pt>
                <c:pt idx="580">
                  <c:v>-11.113747639407316</c:v>
                </c:pt>
                <c:pt idx="581">
                  <c:v>-11.124141824811575</c:v>
                </c:pt>
                <c:pt idx="582">
                  <c:v>-11.134536016017705</c:v>
                </c:pt>
                <c:pt idx="583">
                  <c:v>-11.144930213025512</c:v>
                </c:pt>
                <c:pt idx="584">
                  <c:v>-11.155324415834801</c:v>
                </c:pt>
                <c:pt idx="585">
                  <c:v>-11.165718624445379</c:v>
                </c:pt>
                <c:pt idx="586">
                  <c:v>-11.176112838857049</c:v>
                </c:pt>
                <c:pt idx="587">
                  <c:v>-11.186507059069617</c:v>
                </c:pt>
                <c:pt idx="588">
                  <c:v>-11.196901285082889</c:v>
                </c:pt>
                <c:pt idx="589">
                  <c:v>-11.20729551689667</c:v>
                </c:pt>
                <c:pt idx="590">
                  <c:v>-11.217689754510763</c:v>
                </c:pt>
                <c:pt idx="591">
                  <c:v>-11.228083997924976</c:v>
                </c:pt>
                <c:pt idx="592">
                  <c:v>-11.238478247139113</c:v>
                </c:pt>
                <c:pt idx="593">
                  <c:v>-11.248872502152981</c:v>
                </c:pt>
                <c:pt idx="594">
                  <c:v>-11.259266762966384</c:v>
                </c:pt>
                <c:pt idx="595">
                  <c:v>-11.269661029579126</c:v>
                </c:pt>
                <c:pt idx="596">
                  <c:v>-11.280055301991014</c:v>
                </c:pt>
                <c:pt idx="597">
                  <c:v>-11.290449580201853</c:v>
                </c:pt>
                <c:pt idx="598">
                  <c:v>-11.300843864211448</c:v>
                </c:pt>
                <c:pt idx="599">
                  <c:v>-11.311238154019604</c:v>
                </c:pt>
                <c:pt idx="600">
                  <c:v>-11.321632449626126</c:v>
                </c:pt>
                <c:pt idx="601">
                  <c:v>-11.332026751030821</c:v>
                </c:pt>
                <c:pt idx="602">
                  <c:v>-11.342421058233493</c:v>
                </c:pt>
                <c:pt idx="603">
                  <c:v>-11.352815371233946</c:v>
                </c:pt>
                <c:pt idx="604">
                  <c:v>-11.363209690031988</c:v>
                </c:pt>
                <c:pt idx="605">
                  <c:v>-11.373604014627423</c:v>
                </c:pt>
                <c:pt idx="606">
                  <c:v>-11.383998345020055</c:v>
                </c:pt>
                <c:pt idx="607">
                  <c:v>-11.394392681209691</c:v>
                </c:pt>
                <c:pt idx="608">
                  <c:v>-11.404787023196135</c:v>
                </c:pt>
                <c:pt idx="609">
                  <c:v>-11.415181370979194</c:v>
                </c:pt>
                <c:pt idx="610">
                  <c:v>-11.425575724558673</c:v>
                </c:pt>
                <c:pt idx="611">
                  <c:v>-11.435970083934377</c:v>
                </c:pt>
                <c:pt idx="612">
                  <c:v>-11.44636444910611</c:v>
                </c:pt>
                <c:pt idx="613">
                  <c:v>-11.456758820073679</c:v>
                </c:pt>
                <c:pt idx="614">
                  <c:v>-11.467153196836888</c:v>
                </c:pt>
                <c:pt idx="615">
                  <c:v>-11.477547579395543</c:v>
                </c:pt>
                <c:pt idx="616">
                  <c:v>-11.48794196774945</c:v>
                </c:pt>
                <c:pt idx="617">
                  <c:v>-11.498336361898414</c:v>
                </c:pt>
                <c:pt idx="618">
                  <c:v>-11.508730761842239</c:v>
                </c:pt>
                <c:pt idx="619">
                  <c:v>-11.519125167580732</c:v>
                </c:pt>
                <c:pt idx="620">
                  <c:v>-11.529519579113698</c:v>
                </c:pt>
                <c:pt idx="621">
                  <c:v>-11.539913996440943</c:v>
                </c:pt>
                <c:pt idx="622">
                  <c:v>-11.550308419562271</c:v>
                </c:pt>
                <c:pt idx="623">
                  <c:v>-11.560702848477487</c:v>
                </c:pt>
                <c:pt idx="624">
                  <c:v>-11.571097283186397</c:v>
                </c:pt>
                <c:pt idx="625">
                  <c:v>-11.581491723688806</c:v>
                </c:pt>
                <c:pt idx="626">
                  <c:v>-11.591886169984521</c:v>
                </c:pt>
                <c:pt idx="627">
                  <c:v>-11.602280622073346</c:v>
                </c:pt>
                <c:pt idx="628">
                  <c:v>-11.612675079955086</c:v>
                </c:pt>
                <c:pt idx="629">
                  <c:v>-11.623069543629546</c:v>
                </c:pt>
                <c:pt idx="630">
                  <c:v>-11.633464013096534</c:v>
                </c:pt>
                <c:pt idx="631">
                  <c:v>-11.643858488355852</c:v>
                </c:pt>
                <c:pt idx="632">
                  <c:v>-11.654252969407308</c:v>
                </c:pt>
                <c:pt idx="633">
                  <c:v>-11.664647456250705</c:v>
                </c:pt>
                <c:pt idx="634">
                  <c:v>-11.675041948885852</c:v>
                </c:pt>
                <c:pt idx="635">
                  <c:v>-11.685436447312551</c:v>
                </c:pt>
                <c:pt idx="636">
                  <c:v>-11.695830951530608</c:v>
                </c:pt>
                <c:pt idx="637">
                  <c:v>-11.70622546153983</c:v>
                </c:pt>
                <c:pt idx="638">
                  <c:v>-11.71661997734002</c:v>
                </c:pt>
                <c:pt idx="639">
                  <c:v>-11.727014498930986</c:v>
                </c:pt>
                <c:pt idx="640">
                  <c:v>-11.737409026312532</c:v>
                </c:pt>
                <c:pt idx="641">
                  <c:v>-11.747803559484463</c:v>
                </c:pt>
                <c:pt idx="642">
                  <c:v>-11.758198098446584</c:v>
                </c:pt>
                <c:pt idx="643">
                  <c:v>-11.768592643198703</c:v>
                </c:pt>
                <c:pt idx="644">
                  <c:v>-11.778987193740623</c:v>
                </c:pt>
                <c:pt idx="645">
                  <c:v>-11.789381750072149</c:v>
                </c:pt>
                <c:pt idx="646">
                  <c:v>-11.799776312193089</c:v>
                </c:pt>
                <c:pt idx="647">
                  <c:v>-11.810170880103247</c:v>
                </c:pt>
                <c:pt idx="648">
                  <c:v>-11.820565453802427</c:v>
                </c:pt>
                <c:pt idx="649">
                  <c:v>-11.830960033290436</c:v>
                </c:pt>
                <c:pt idx="650">
                  <c:v>-11.841354618567079</c:v>
                </c:pt>
                <c:pt idx="651">
                  <c:v>-11.851749209632162</c:v>
                </c:pt>
                <c:pt idx="652">
                  <c:v>-11.862143806485491</c:v>
                </c:pt>
                <c:pt idx="653">
                  <c:v>-11.87253840912687</c:v>
                </c:pt>
                <c:pt idx="654">
                  <c:v>-11.882933017556105</c:v>
                </c:pt>
                <c:pt idx="655">
                  <c:v>-11.893327631773001</c:v>
                </c:pt>
                <c:pt idx="656">
                  <c:v>-11.903722251777364</c:v>
                </c:pt>
                <c:pt idx="657">
                  <c:v>-11.914116877568999</c:v>
                </c:pt>
                <c:pt idx="658">
                  <c:v>-11.924511509147711</c:v>
                </c:pt>
                <c:pt idx="659">
                  <c:v>-11.934906146513308</c:v>
                </c:pt>
                <c:pt idx="660">
                  <c:v>-11.945300789665593</c:v>
                </c:pt>
                <c:pt idx="661">
                  <c:v>-11.955695438604373</c:v>
                </c:pt>
                <c:pt idx="662">
                  <c:v>-11.966090093329452</c:v>
                </c:pt>
                <c:pt idx="663">
                  <c:v>-11.976484753840635</c:v>
                </c:pt>
                <c:pt idx="664">
                  <c:v>-11.986879420137729</c:v>
                </c:pt>
                <c:pt idx="665">
                  <c:v>-11.99727409222054</c:v>
                </c:pt>
                <c:pt idx="666">
                  <c:v>-12.007668770088872</c:v>
                </c:pt>
                <c:pt idx="667">
                  <c:v>-12.018063453742529</c:v>
                </c:pt>
                <c:pt idx="668">
                  <c:v>-12.02845814318132</c:v>
                </c:pt>
                <c:pt idx="669">
                  <c:v>-12.038852838405049</c:v>
                </c:pt>
                <c:pt idx="670">
                  <c:v>-12.049247539413521</c:v>
                </c:pt>
                <c:pt idx="671">
                  <c:v>-12.059642246206542</c:v>
                </c:pt>
                <c:pt idx="672">
                  <c:v>-12.070036958783916</c:v>
                </c:pt>
                <c:pt idx="673">
                  <c:v>-12.080431677145452</c:v>
                </c:pt>
                <c:pt idx="674">
                  <c:v>-12.090826401290952</c:v>
                </c:pt>
                <c:pt idx="675">
                  <c:v>-12.101221131220223</c:v>
                </c:pt>
                <c:pt idx="676">
                  <c:v>-12.11161586693307</c:v>
                </c:pt>
                <c:pt idx="677">
                  <c:v>-12.122010608429299</c:v>
                </c:pt>
                <c:pt idx="678">
                  <c:v>-12.132405355708716</c:v>
                </c:pt>
                <c:pt idx="679">
                  <c:v>-12.142800108771127</c:v>
                </c:pt>
                <c:pt idx="680">
                  <c:v>-12.153194867616335</c:v>
                </c:pt>
                <c:pt idx="681">
                  <c:v>-12.163589632244147</c:v>
                </c:pt>
                <c:pt idx="682">
                  <c:v>-12.173984402654368</c:v>
                </c:pt>
                <c:pt idx="683">
                  <c:v>-12.184379178846804</c:v>
                </c:pt>
                <c:pt idx="684">
                  <c:v>-12.19477396082126</c:v>
                </c:pt>
                <c:pt idx="685">
                  <c:v>-12.205168748577544</c:v>
                </c:pt>
                <c:pt idx="686">
                  <c:v>-12.215563542115458</c:v>
                </c:pt>
                <c:pt idx="687">
                  <c:v>-12.22595834143481</c:v>
                </c:pt>
                <c:pt idx="688">
                  <c:v>-12.236353146535404</c:v>
                </c:pt>
                <c:pt idx="689">
                  <c:v>-12.246747957417046</c:v>
                </c:pt>
                <c:pt idx="690">
                  <c:v>-12.257142774079542</c:v>
                </c:pt>
                <c:pt idx="691">
                  <c:v>-12.267537596522697</c:v>
                </c:pt>
                <c:pt idx="692">
                  <c:v>-12.277932424746318</c:v>
                </c:pt>
                <c:pt idx="693">
                  <c:v>-12.288327258750208</c:v>
                </c:pt>
                <c:pt idx="694">
                  <c:v>-12.298722098534174</c:v>
                </c:pt>
                <c:pt idx="695">
                  <c:v>-12.309116944098022</c:v>
                </c:pt>
                <c:pt idx="696">
                  <c:v>-12.319511795441558</c:v>
                </c:pt>
                <c:pt idx="697">
                  <c:v>-12.329906652564587</c:v>
                </c:pt>
                <c:pt idx="698">
                  <c:v>-12.340301515466912</c:v>
                </c:pt>
                <c:pt idx="699">
                  <c:v>-12.350696384148341</c:v>
                </c:pt>
                <c:pt idx="700">
                  <c:v>-12.361091258608679</c:v>
                </c:pt>
                <c:pt idx="701">
                  <c:v>-12.371486138847732</c:v>
                </c:pt>
                <c:pt idx="702">
                  <c:v>-12.381881024865306</c:v>
                </c:pt>
                <c:pt idx="703">
                  <c:v>-12.392275916661207</c:v>
                </c:pt>
                <c:pt idx="704">
                  <c:v>-12.40267081423524</c:v>
                </c:pt>
                <c:pt idx="705">
                  <c:v>-12.413065717587209</c:v>
                </c:pt>
                <c:pt idx="706">
                  <c:v>-12.423460626716921</c:v>
                </c:pt>
                <c:pt idx="707">
                  <c:v>-12.433855541624181</c:v>
                </c:pt>
                <c:pt idx="708">
                  <c:v>-12.444250462308796</c:v>
                </c:pt>
                <c:pt idx="709">
                  <c:v>-12.454645388770571</c:v>
                </c:pt>
                <c:pt idx="710">
                  <c:v>-12.46504032100931</c:v>
                </c:pt>
                <c:pt idx="711">
                  <c:v>-12.47543525902482</c:v>
                </c:pt>
                <c:pt idx="712">
                  <c:v>-12.485830202816906</c:v>
                </c:pt>
                <c:pt idx="713">
                  <c:v>-12.496225152385374</c:v>
                </c:pt>
                <c:pt idx="714">
                  <c:v>-12.506620107730031</c:v>
                </c:pt>
                <c:pt idx="715">
                  <c:v>-12.51701506885068</c:v>
                </c:pt>
                <c:pt idx="716">
                  <c:v>-12.527410035747129</c:v>
                </c:pt>
                <c:pt idx="717">
                  <c:v>-12.537805008419182</c:v>
                </c:pt>
                <c:pt idx="718">
                  <c:v>-12.548199986866646</c:v>
                </c:pt>
                <c:pt idx="719">
                  <c:v>-12.558594971089326</c:v>
                </c:pt>
                <c:pt idx="720">
                  <c:v>-12.568989961087027</c:v>
                </c:pt>
                <c:pt idx="721">
                  <c:v>-12.579384956859554</c:v>
                </c:pt>
                <c:pt idx="722">
                  <c:v>-12.589779958406716</c:v>
                </c:pt>
                <c:pt idx="723">
                  <c:v>-12.600174965728314</c:v>
                </c:pt>
                <c:pt idx="724">
                  <c:v>-12.610569978824158</c:v>
                </c:pt>
                <c:pt idx="725">
                  <c:v>-12.620964997694051</c:v>
                </c:pt>
                <c:pt idx="726">
                  <c:v>-12.631360022337798</c:v>
                </c:pt>
                <c:pt idx="727">
                  <c:v>-12.641755052755206</c:v>
                </c:pt>
                <c:pt idx="728">
                  <c:v>-12.652150088946081</c:v>
                </c:pt>
                <c:pt idx="729">
                  <c:v>-12.66254513091023</c:v>
                </c:pt>
                <c:pt idx="730">
                  <c:v>-12.672940178647456</c:v>
                </c:pt>
                <c:pt idx="731">
                  <c:v>-12.683335232157566</c:v>
                </c:pt>
                <c:pt idx="732">
                  <c:v>-12.693730291440364</c:v>
                </c:pt>
                <c:pt idx="733">
                  <c:v>-12.704125356495657</c:v>
                </c:pt>
                <c:pt idx="734">
                  <c:v>-12.714520427323251</c:v>
                </c:pt>
                <c:pt idx="735">
                  <c:v>-12.724915503922951</c:v>
                </c:pt>
                <c:pt idx="736">
                  <c:v>-12.735310586294563</c:v>
                </c:pt>
                <c:pt idx="737">
                  <c:v>-12.745705674437893</c:v>
                </c:pt>
                <c:pt idx="738">
                  <c:v>-12.756100768352747</c:v>
                </c:pt>
                <c:pt idx="739">
                  <c:v>-12.76649586803893</c:v>
                </c:pt>
                <c:pt idx="740">
                  <c:v>-12.776890973496249</c:v>
                </c:pt>
                <c:pt idx="741">
                  <c:v>-12.787286084724506</c:v>
                </c:pt>
                <c:pt idx="742">
                  <c:v>-12.797681201723512</c:v>
                </c:pt>
                <c:pt idx="743">
                  <c:v>-12.808076324493067</c:v>
                </c:pt>
                <c:pt idx="744">
                  <c:v>-12.818471453032981</c:v>
                </c:pt>
                <c:pt idx="745">
                  <c:v>-12.828866587343057</c:v>
                </c:pt>
                <c:pt idx="746">
                  <c:v>-12.839261727423104</c:v>
                </c:pt>
                <c:pt idx="747">
                  <c:v>-12.849656873272924</c:v>
                </c:pt>
                <c:pt idx="748">
                  <c:v>-12.860052024892324</c:v>
                </c:pt>
                <c:pt idx="749">
                  <c:v>-12.870447182281112</c:v>
                </c:pt>
                <c:pt idx="750">
                  <c:v>-12.88084234543909</c:v>
                </c:pt>
                <c:pt idx="751">
                  <c:v>-12.891237514366066</c:v>
                </c:pt>
                <c:pt idx="752">
                  <c:v>-12.901632689061847</c:v>
                </c:pt>
                <c:pt idx="753">
                  <c:v>-12.912027869526236</c:v>
                </c:pt>
                <c:pt idx="754">
                  <c:v>-12.92242305575904</c:v>
                </c:pt>
                <c:pt idx="755">
                  <c:v>-12.932818247760064</c:v>
                </c:pt>
                <c:pt idx="756">
                  <c:v>-12.943213445529114</c:v>
                </c:pt>
                <c:pt idx="757">
                  <c:v>-12.953608649065997</c:v>
                </c:pt>
                <c:pt idx="758">
                  <c:v>-12.964003858370516</c:v>
                </c:pt>
                <c:pt idx="759">
                  <c:v>-12.974399073442481</c:v>
                </c:pt>
                <c:pt idx="760">
                  <c:v>-12.984794294281693</c:v>
                </c:pt>
                <c:pt idx="761">
                  <c:v>-12.995189520887962</c:v>
                </c:pt>
                <c:pt idx="762">
                  <c:v>-13.005584753261092</c:v>
                </c:pt>
                <c:pt idx="763">
                  <c:v>-13.015979991400886</c:v>
                </c:pt>
                <c:pt idx="764">
                  <c:v>-13.026375235307155</c:v>
                </c:pt>
                <c:pt idx="765">
                  <c:v>-13.036770484979701</c:v>
                </c:pt>
                <c:pt idx="766">
                  <c:v>-13.047165740418331</c:v>
                </c:pt>
                <c:pt idx="767">
                  <c:v>-13.057561001622849</c:v>
                </c:pt>
                <c:pt idx="768">
                  <c:v>-13.067956268593063</c:v>
                </c:pt>
                <c:pt idx="769">
                  <c:v>-13.078351541328779</c:v>
                </c:pt>
                <c:pt idx="770">
                  <c:v>-13.088746819829801</c:v>
                </c:pt>
                <c:pt idx="771">
                  <c:v>-13.099142104095936</c:v>
                </c:pt>
                <c:pt idx="772">
                  <c:v>-13.10953739412699</c:v>
                </c:pt>
                <c:pt idx="773">
                  <c:v>-13.119932689922768</c:v>
                </c:pt>
                <c:pt idx="774">
                  <c:v>-13.130327991483076</c:v>
                </c:pt>
                <c:pt idx="775">
                  <c:v>-13.140723298807721</c:v>
                </c:pt>
                <c:pt idx="776">
                  <c:v>-13.151118611896507</c:v>
                </c:pt>
                <c:pt idx="777">
                  <c:v>-13.161513930749241</c:v>
                </c:pt>
                <c:pt idx="778">
                  <c:v>-13.171909255365728</c:v>
                </c:pt>
                <c:pt idx="779">
                  <c:v>-13.182304585745774</c:v>
                </c:pt>
                <c:pt idx="780">
                  <c:v>-13.192699921889185</c:v>
                </c:pt>
                <c:pt idx="781">
                  <c:v>-13.203095263795767</c:v>
                </c:pt>
                <c:pt idx="782">
                  <c:v>-13.213490611465325</c:v>
                </c:pt>
                <c:pt idx="783">
                  <c:v>-13.223885964897665</c:v>
                </c:pt>
                <c:pt idx="784">
                  <c:v>-13.234281324092594</c:v>
                </c:pt>
                <c:pt idx="785">
                  <c:v>-13.244676689049916</c:v>
                </c:pt>
                <c:pt idx="786">
                  <c:v>-13.255072059769439</c:v>
                </c:pt>
                <c:pt idx="787">
                  <c:v>-13.265467436250967</c:v>
                </c:pt>
                <c:pt idx="788">
                  <c:v>-13.275862818494307</c:v>
                </c:pt>
                <c:pt idx="789">
                  <c:v>-13.286258206499264</c:v>
                </c:pt>
                <c:pt idx="790">
                  <c:v>-13.296653600265644</c:v>
                </c:pt>
                <c:pt idx="791">
                  <c:v>-13.307048999793254</c:v>
                </c:pt>
                <c:pt idx="792">
                  <c:v>-13.317444405081899</c:v>
                </c:pt>
                <c:pt idx="793">
                  <c:v>-13.327839816131384</c:v>
                </c:pt>
                <c:pt idx="794">
                  <c:v>-13.338235232941516</c:v>
                </c:pt>
                <c:pt idx="795">
                  <c:v>-13.3486306555121</c:v>
                </c:pt>
                <c:pt idx="796">
                  <c:v>-13.359026083842942</c:v>
                </c:pt>
                <c:pt idx="797">
                  <c:v>-13.369421517933848</c:v>
                </c:pt>
                <c:pt idx="798">
                  <c:v>-13.379816957784625</c:v>
                </c:pt>
                <c:pt idx="799">
                  <c:v>-13.390212403395077</c:v>
                </c:pt>
                <c:pt idx="800">
                  <c:v>-13.400607854765012</c:v>
                </c:pt>
                <c:pt idx="801">
                  <c:v>-13.411003311894234</c:v>
                </c:pt>
                <c:pt idx="802">
                  <c:v>-13.421398774782549</c:v>
                </c:pt>
                <c:pt idx="803">
                  <c:v>-13.431794243429765</c:v>
                </c:pt>
                <c:pt idx="804">
                  <c:v>-13.442189717835685</c:v>
                </c:pt>
                <c:pt idx="805">
                  <c:v>-13.452585198000117</c:v>
                </c:pt>
                <c:pt idx="806">
                  <c:v>-13.462980683922865</c:v>
                </c:pt>
                <c:pt idx="807">
                  <c:v>-13.473376175603738</c:v>
                </c:pt>
                <c:pt idx="808">
                  <c:v>-13.483771673042538</c:v>
                </c:pt>
                <c:pt idx="809">
                  <c:v>-13.494167176239074</c:v>
                </c:pt>
                <c:pt idx="810">
                  <c:v>-13.50456268519315</c:v>
                </c:pt>
                <c:pt idx="811">
                  <c:v>-13.514958199904573</c:v>
                </c:pt>
                <c:pt idx="812">
                  <c:v>-13.525353720373149</c:v>
                </c:pt>
                <c:pt idx="813">
                  <c:v>-13.535749246598682</c:v>
                </c:pt>
                <c:pt idx="814">
                  <c:v>-13.546144778580979</c:v>
                </c:pt>
                <c:pt idx="815">
                  <c:v>-13.556540316319847</c:v>
                </c:pt>
                <c:pt idx="816">
                  <c:v>-13.566935859815091</c:v>
                </c:pt>
                <c:pt idx="817">
                  <c:v>-13.577331409066518</c:v>
                </c:pt>
                <c:pt idx="818">
                  <c:v>-13.587726964073934</c:v>
                </c:pt>
                <c:pt idx="819">
                  <c:v>-13.598122524837143</c:v>
                </c:pt>
                <c:pt idx="820">
                  <c:v>-13.60851809135595</c:v>
                </c:pt>
                <c:pt idx="821">
                  <c:v>-13.618913663630165</c:v>
                </c:pt>
                <c:pt idx="822">
                  <c:v>-13.629309241659591</c:v>
                </c:pt>
                <c:pt idx="823">
                  <c:v>-13.639704825444035</c:v>
                </c:pt>
                <c:pt idx="824">
                  <c:v>-13.650100414983303</c:v>
                </c:pt>
                <c:pt idx="825">
                  <c:v>-13.6604960102772</c:v>
                </c:pt>
                <c:pt idx="826">
                  <c:v>-13.670891611325532</c:v>
                </c:pt>
                <c:pt idx="827">
                  <c:v>-13.681287218128105</c:v>
                </c:pt>
                <c:pt idx="828">
                  <c:v>-13.691682830684726</c:v>
                </c:pt>
                <c:pt idx="829">
                  <c:v>-13.7020784489952</c:v>
                </c:pt>
                <c:pt idx="830">
                  <c:v>-13.712474073059335</c:v>
                </c:pt>
                <c:pt idx="831">
                  <c:v>-13.722869702876935</c:v>
                </c:pt>
                <c:pt idx="832">
                  <c:v>-13.733265338447804</c:v>
                </c:pt>
                <c:pt idx="833">
                  <c:v>-13.743660979771752</c:v>
                </c:pt>
                <c:pt idx="834">
                  <c:v>-13.754056626848582</c:v>
                </c:pt>
                <c:pt idx="835">
                  <c:v>-13.764452279678101</c:v>
                </c:pt>
                <c:pt idx="836">
                  <c:v>-13.774847938260116</c:v>
                </c:pt>
                <c:pt idx="837">
                  <c:v>-13.785243602594432</c:v>
                </c:pt>
                <c:pt idx="838">
                  <c:v>-13.795639272680855</c:v>
                </c:pt>
                <c:pt idx="839">
                  <c:v>-13.806034948519192</c:v>
                </c:pt>
                <c:pt idx="840">
                  <c:v>-13.816430630109249</c:v>
                </c:pt>
                <c:pt idx="841">
                  <c:v>-13.826826317450829</c:v>
                </c:pt>
                <c:pt idx="842">
                  <c:v>-13.837222010543741</c:v>
                </c:pt>
                <c:pt idx="843">
                  <c:v>-13.847617709387789</c:v>
                </c:pt>
                <c:pt idx="844">
                  <c:v>-13.85801341398278</c:v>
                </c:pt>
                <c:pt idx="845">
                  <c:v>-13.868409124328521</c:v>
                </c:pt>
                <c:pt idx="846">
                  <c:v>-13.878804840424817</c:v>
                </c:pt>
                <c:pt idx="847">
                  <c:v>-13.889200562271474</c:v>
                </c:pt>
                <c:pt idx="848">
                  <c:v>-13.899596289868299</c:v>
                </c:pt>
                <c:pt idx="849">
                  <c:v>-13.909992023215096</c:v>
                </c:pt>
                <c:pt idx="850">
                  <c:v>-13.920387762311673</c:v>
                </c:pt>
                <c:pt idx="851">
                  <c:v>-13.930783507157836</c:v>
                </c:pt>
                <c:pt idx="852">
                  <c:v>-13.941179257753388</c:v>
                </c:pt>
                <c:pt idx="853">
                  <c:v>-13.951575014098138</c:v>
                </c:pt>
                <c:pt idx="854">
                  <c:v>-13.96197077619189</c:v>
                </c:pt>
                <c:pt idx="855">
                  <c:v>-13.972366544034452</c:v>
                </c:pt>
                <c:pt idx="856">
                  <c:v>-13.98276231762563</c:v>
                </c:pt>
                <c:pt idx="857">
                  <c:v>-13.99315809696523</c:v>
                </c:pt>
                <c:pt idx="858">
                  <c:v>-14.003553882053057</c:v>
                </c:pt>
                <c:pt idx="859">
                  <c:v>-14.013949672888916</c:v>
                </c:pt>
                <c:pt idx="860">
                  <c:v>-14.024345469472616</c:v>
                </c:pt>
                <c:pt idx="861">
                  <c:v>-14.034741271803961</c:v>
                </c:pt>
                <c:pt idx="862">
                  <c:v>-14.045137079882759</c:v>
                </c:pt>
                <c:pt idx="863">
                  <c:v>-14.055532893708813</c:v>
                </c:pt>
                <c:pt idx="864">
                  <c:v>-14.065928713281931</c:v>
                </c:pt>
                <c:pt idx="865">
                  <c:v>-14.076324538601918</c:v>
                </c:pt>
                <c:pt idx="866">
                  <c:v>-14.086720369668582</c:v>
                </c:pt>
                <c:pt idx="867">
                  <c:v>-14.097116206481727</c:v>
                </c:pt>
                <c:pt idx="868">
                  <c:v>-14.107512049041162</c:v>
                </c:pt>
                <c:pt idx="869">
                  <c:v>-14.11790789734669</c:v>
                </c:pt>
                <c:pt idx="870">
                  <c:v>-14.128303751398118</c:v>
                </c:pt>
                <c:pt idx="871">
                  <c:v>-14.138699611195252</c:v>
                </c:pt>
                <c:pt idx="872">
                  <c:v>-14.149095476737898</c:v>
                </c:pt>
                <c:pt idx="873">
                  <c:v>-14.159491348025863</c:v>
                </c:pt>
                <c:pt idx="874">
                  <c:v>-14.169887225058954</c:v>
                </c:pt>
                <c:pt idx="875">
                  <c:v>-14.180283107836974</c:v>
                </c:pt>
                <c:pt idx="876">
                  <c:v>-14.190678996359731</c:v>
                </c:pt>
                <c:pt idx="877">
                  <c:v>-14.20107489062703</c:v>
                </c:pt>
                <c:pt idx="878">
                  <c:v>-14.211470790638678</c:v>
                </c:pt>
                <c:pt idx="879">
                  <c:v>-14.221866696394482</c:v>
                </c:pt>
                <c:pt idx="880">
                  <c:v>-14.232262607894247</c:v>
                </c:pt>
                <c:pt idx="881">
                  <c:v>-14.242658525137779</c:v>
                </c:pt>
                <c:pt idx="882">
                  <c:v>-14.253054448124885</c:v>
                </c:pt>
                <c:pt idx="883">
                  <c:v>-14.263450376855371</c:v>
                </c:pt>
                <c:pt idx="884">
                  <c:v>-14.273846311329041</c:v>
                </c:pt>
                <c:pt idx="885">
                  <c:v>-14.284242251545704</c:v>
                </c:pt>
                <c:pt idx="886">
                  <c:v>-14.294638197505165</c:v>
                </c:pt>
                <c:pt idx="887">
                  <c:v>-14.305034149207229</c:v>
                </c:pt>
                <c:pt idx="888">
                  <c:v>-14.315430106651704</c:v>
                </c:pt>
                <c:pt idx="889">
                  <c:v>-14.325826069838394</c:v>
                </c:pt>
                <c:pt idx="890">
                  <c:v>-14.336222038767106</c:v>
                </c:pt>
                <c:pt idx="891">
                  <c:v>-14.346618013437647</c:v>
                </c:pt>
                <c:pt idx="892">
                  <c:v>-14.357013993849822</c:v>
                </c:pt>
                <c:pt idx="893">
                  <c:v>-14.367409980003439</c:v>
                </c:pt>
                <c:pt idx="894">
                  <c:v>-14.377805971898303</c:v>
                </c:pt>
                <c:pt idx="895">
                  <c:v>-14.388201969534219</c:v>
                </c:pt>
                <c:pt idx="896">
                  <c:v>-14.398597972910995</c:v>
                </c:pt>
                <c:pt idx="897">
                  <c:v>-14.408993982028436</c:v>
                </c:pt>
                <c:pt idx="898">
                  <c:v>-14.419389996886348</c:v>
                </c:pt>
                <c:pt idx="899">
                  <c:v>-14.429786017484538</c:v>
                </c:pt>
                <c:pt idx="900">
                  <c:v>-14.440182043822812</c:v>
                </c:pt>
                <c:pt idx="901">
                  <c:v>-14.450578075900976</c:v>
                </c:pt>
                <c:pt idx="902">
                  <c:v>-14.460974113718837</c:v>
                </c:pt>
                <c:pt idx="903">
                  <c:v>-14.471370157276201</c:v>
                </c:pt>
                <c:pt idx="904">
                  <c:v>-14.481766206572873</c:v>
                </c:pt>
                <c:pt idx="905">
                  <c:v>-14.492162261608661</c:v>
                </c:pt>
                <c:pt idx="906">
                  <c:v>-14.502558322383369</c:v>
                </c:pt>
                <c:pt idx="907">
                  <c:v>-14.512954388896803</c:v>
                </c:pt>
                <c:pt idx="908">
                  <c:v>-14.523350461148771</c:v>
                </c:pt>
                <c:pt idx="909">
                  <c:v>-14.533746539139079</c:v>
                </c:pt>
                <c:pt idx="910">
                  <c:v>-14.544142622867533</c:v>
                </c:pt>
                <c:pt idx="911">
                  <c:v>-14.554538712333938</c:v>
                </c:pt>
                <c:pt idx="912">
                  <c:v>-14.564934807538101</c:v>
                </c:pt>
                <c:pt idx="913">
                  <c:v>-14.575330908479829</c:v>
                </c:pt>
                <c:pt idx="914">
                  <c:v>-14.585727015158929</c:v>
                </c:pt>
                <c:pt idx="915">
                  <c:v>-14.596123127575204</c:v>
                </c:pt>
                <c:pt idx="916">
                  <c:v>-14.606519245728462</c:v>
                </c:pt>
                <c:pt idx="917">
                  <c:v>-14.616915369618509</c:v>
                </c:pt>
                <c:pt idx="918">
                  <c:v>-14.627311499245153</c:v>
                </c:pt>
                <c:pt idx="919">
                  <c:v>-14.637707634608198</c:v>
                </c:pt>
                <c:pt idx="920">
                  <c:v>-14.648103775707451</c:v>
                </c:pt>
                <c:pt idx="921">
                  <c:v>-14.658499922542719</c:v>
                </c:pt>
                <c:pt idx="922">
                  <c:v>-14.668896075113805</c:v>
                </c:pt>
                <c:pt idx="923">
                  <c:v>-14.679292233420519</c:v>
                </c:pt>
                <c:pt idx="924">
                  <c:v>-14.689688397462666</c:v>
                </c:pt>
                <c:pt idx="925">
                  <c:v>-14.700084567240051</c:v>
                </c:pt>
                <c:pt idx="926">
                  <c:v>-14.710480742752482</c:v>
                </c:pt>
                <c:pt idx="927">
                  <c:v>-14.720876923999764</c:v>
                </c:pt>
                <c:pt idx="928">
                  <c:v>-14.731273110981704</c:v>
                </c:pt>
                <c:pt idx="929">
                  <c:v>-14.741669303698108</c:v>
                </c:pt>
                <c:pt idx="930">
                  <c:v>-14.752065502148783</c:v>
                </c:pt>
                <c:pt idx="931">
                  <c:v>-14.762461706333534</c:v>
                </c:pt>
                <c:pt idx="932">
                  <c:v>-14.772857916252168</c:v>
                </c:pt>
                <c:pt idx="933">
                  <c:v>-14.78325413190449</c:v>
                </c:pt>
                <c:pt idx="934">
                  <c:v>-14.793650353290309</c:v>
                </c:pt>
                <c:pt idx="935">
                  <c:v>-14.804046580409429</c:v>
                </c:pt>
                <c:pt idx="936">
                  <c:v>-14.814442813261657</c:v>
                </c:pt>
                <c:pt idx="937">
                  <c:v>-14.8248390518468</c:v>
                </c:pt>
                <c:pt idx="938">
                  <c:v>-14.835235296164662</c:v>
                </c:pt>
                <c:pt idx="939">
                  <c:v>-14.845631546215051</c:v>
                </c:pt>
                <c:pt idx="940">
                  <c:v>-14.856027801997774</c:v>
                </c:pt>
                <c:pt idx="941">
                  <c:v>-14.866424063512635</c:v>
                </c:pt>
                <c:pt idx="942">
                  <c:v>-14.876820330759443</c:v>
                </c:pt>
                <c:pt idx="943">
                  <c:v>-14.887216603738002</c:v>
                </c:pt>
                <c:pt idx="944">
                  <c:v>-14.89761288244812</c:v>
                </c:pt>
                <c:pt idx="945">
                  <c:v>-14.908009166889602</c:v>
                </c:pt>
                <c:pt idx="946">
                  <c:v>-14.918405457062255</c:v>
                </c:pt>
                <c:pt idx="947">
                  <c:v>-14.928801752965885</c:v>
                </c:pt>
                <c:pt idx="948">
                  <c:v>-14.939198054600299</c:v>
                </c:pt>
                <c:pt idx="949">
                  <c:v>-14.949594361965302</c:v>
                </c:pt>
                <c:pt idx="950">
                  <c:v>-14.9599906750607</c:v>
                </c:pt>
                <c:pt idx="951">
                  <c:v>-14.970386993886303</c:v>
                </c:pt>
                <c:pt idx="952">
                  <c:v>-14.980783318441913</c:v>
                </c:pt>
                <c:pt idx="953">
                  <c:v>-14.991179648727339</c:v>
                </c:pt>
                <c:pt idx="954">
                  <c:v>-15.001575984742386</c:v>
                </c:pt>
                <c:pt idx="955">
                  <c:v>-15.011972326486861</c:v>
                </c:pt>
                <c:pt idx="956">
                  <c:v>-15.022368673960569</c:v>
                </c:pt>
                <c:pt idx="957">
                  <c:v>-15.032765027163318</c:v>
                </c:pt>
                <c:pt idx="958">
                  <c:v>-15.043161386094914</c:v>
                </c:pt>
                <c:pt idx="959">
                  <c:v>-15.053557750755163</c:v>
                </c:pt>
                <c:pt idx="960">
                  <c:v>-15.063954121143871</c:v>
                </c:pt>
                <c:pt idx="961">
                  <c:v>-15.074350497260845</c:v>
                </c:pt>
                <c:pt idx="962">
                  <c:v>-15.084746879105891</c:v>
                </c:pt>
                <c:pt idx="963">
                  <c:v>-15.095143266678816</c:v>
                </c:pt>
                <c:pt idx="964">
                  <c:v>-15.105539659979424</c:v>
                </c:pt>
                <c:pt idx="965">
                  <c:v>-15.115936059007524</c:v>
                </c:pt>
                <c:pt idx="966">
                  <c:v>-15.126332463762921</c:v>
                </c:pt>
                <c:pt idx="967">
                  <c:v>-15.136728874245422</c:v>
                </c:pt>
                <c:pt idx="968">
                  <c:v>-15.147125290454834</c:v>
                </c:pt>
                <c:pt idx="969">
                  <c:v>-15.157521712390963</c:v>
                </c:pt>
                <c:pt idx="970">
                  <c:v>-15.167918140053615</c:v>
                </c:pt>
                <c:pt idx="971">
                  <c:v>-15.178314573442595</c:v>
                </c:pt>
                <c:pt idx="972">
                  <c:v>-15.188711012557711</c:v>
                </c:pt>
                <c:pt idx="973">
                  <c:v>-15.199107457398769</c:v>
                </c:pt>
                <c:pt idx="974">
                  <c:v>-15.209503907965576</c:v>
                </c:pt>
                <c:pt idx="975">
                  <c:v>-15.219900364257938</c:v>
                </c:pt>
                <c:pt idx="976">
                  <c:v>-15.230296826275662</c:v>
                </c:pt>
                <c:pt idx="977">
                  <c:v>-15.240693294018554</c:v>
                </c:pt>
                <c:pt idx="978">
                  <c:v>-15.25108976748642</c:v>
                </c:pt>
                <c:pt idx="979">
                  <c:v>-15.261486246679066</c:v>
                </c:pt>
                <c:pt idx="980">
                  <c:v>-15.271882731596298</c:v>
                </c:pt>
                <c:pt idx="981">
                  <c:v>-15.282279222237923</c:v>
                </c:pt>
                <c:pt idx="982">
                  <c:v>-15.292675718603748</c:v>
                </c:pt>
                <c:pt idx="983">
                  <c:v>-15.303072220693579</c:v>
                </c:pt>
                <c:pt idx="984">
                  <c:v>-15.313468728507223</c:v>
                </c:pt>
                <c:pt idx="985">
                  <c:v>-15.323865242044485</c:v>
                </c:pt>
                <c:pt idx="986">
                  <c:v>-15.334261761305173</c:v>
                </c:pt>
                <c:pt idx="987">
                  <c:v>-15.344658286289095</c:v>
                </c:pt>
                <c:pt idx="988">
                  <c:v>-15.355054816996054</c:v>
                </c:pt>
                <c:pt idx="989">
                  <c:v>-15.365451353425858</c:v>
                </c:pt>
                <c:pt idx="990">
                  <c:v>-15.375847895578312</c:v>
                </c:pt>
                <c:pt idx="991">
                  <c:v>-15.386244443453224</c:v>
                </c:pt>
                <c:pt idx="992">
                  <c:v>-15.396640997050399</c:v>
                </c:pt>
                <c:pt idx="993">
                  <c:v>-15.407037556369646</c:v>
                </c:pt>
                <c:pt idx="994">
                  <c:v>-15.41743412141077</c:v>
                </c:pt>
                <c:pt idx="995">
                  <c:v>-15.427830692173575</c:v>
                </c:pt>
                <c:pt idx="996">
                  <c:v>-15.438227268657872</c:v>
                </c:pt>
                <c:pt idx="997">
                  <c:v>-15.448623850863465</c:v>
                </c:pt>
                <c:pt idx="998">
                  <c:v>-15.45902043879016</c:v>
                </c:pt>
                <c:pt idx="999">
                  <c:v>-15.469417032437764</c:v>
                </c:pt>
                <c:pt idx="1000">
                  <c:v>-15.479813631806085</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0</c:v>
                </c:pt>
                <c:pt idx="1">
                  <c:v>0</c:v>
                </c:pt>
                <c:pt idx="2">
                  <c:v>0</c:v>
                </c:pt>
                <c:pt idx="3">
                  <c:v>0</c:v>
                </c:pt>
                <c:pt idx="4">
                  <c:v>0</c:v>
                </c:pt>
                <c:pt idx="5">
                  <c:v>0</c:v>
                </c:pt>
                <c:pt idx="6">
                  <c:v>0</c:v>
                </c:pt>
              </c:numCache>
            </c:numRef>
          </c:xVal>
          <c:yVal>
            <c:numRef>
              <c:f>Trajecto!$C$141:$C$147</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131.1551130355156</c:v>
                </c:pt>
                <c:pt idx="1">
                  <c:v>131.54043629477366</c:v>
                </c:pt>
                <c:pt idx="2">
                  <c:v>131.92634189031048</c:v>
                </c:pt>
                <c:pt idx="3">
                  <c:v>132.31357209951508</c:v>
                </c:pt>
                <c:pt idx="4">
                  <c:v>132.70226168005766</c:v>
                </c:pt>
                <c:pt idx="5">
                  <c:v>133.09228165620732</c:v>
                </c:pt>
                <c:pt idx="6">
                  <c:v>133.48358339253065</c:v>
                </c:pt>
                <c:pt idx="7">
                  <c:v>133.87615843935444</c:v>
                </c:pt>
                <c:pt idx="8">
                  <c:v>134.26999834207857</c:v>
                </c:pt>
                <c:pt idx="9">
                  <c:v>134.66509464145443</c:v>
                </c:pt>
                <c:pt idx="10">
                  <c:v>135.06143887386077</c:v>
                </c:pt>
                <c:pt idx="11">
                  <c:v>135.45902257157638</c:v>
                </c:pt>
                <c:pt idx="12">
                  <c:v>135.85783726305027</c:v>
                </c:pt>
                <c:pt idx="13">
                  <c:v>136.25787447316884</c:v>
                </c:pt>
                <c:pt idx="14">
                  <c:v>136.65912572352019</c:v>
                </c:pt>
                <c:pt idx="15">
                  <c:v>137.06158253265576</c:v>
                </c:pt>
                <c:pt idx="16">
                  <c:v>137.46523641634906</c:v>
                </c:pt>
                <c:pt idx="17">
                  <c:v>137.87007888785169</c:v>
                </c:pt>
                <c:pt idx="18">
                  <c:v>138.27610145814651</c:v>
                </c:pt>
                <c:pt idx="19">
                  <c:v>138.68329563619804</c:v>
                </c:pt>
                <c:pt idx="20">
                  <c:v>139.09165292920008</c:v>
                </c:pt>
                <c:pt idx="21">
                  <c:v>139.50116484282066</c:v>
                </c:pt>
                <c:pt idx="22">
                  <c:v>139.91182288144415</c:v>
                </c:pt>
                <c:pt idx="23">
                  <c:v>140.32361854841065</c:v>
                </c:pt>
                <c:pt idx="24">
                  <c:v>140.7365433462526</c:v>
                </c:pt>
                <c:pt idx="25">
                  <c:v>141.1505887769288</c:v>
                </c:pt>
                <c:pt idx="26">
                  <c:v>141.56574634205555</c:v>
                </c:pt>
                <c:pt idx="27">
                  <c:v>141.98200754313515</c:v>
                </c:pt>
                <c:pt idx="28">
                  <c:v>142.39936388178182</c:v>
                </c:pt>
                <c:pt idx="29">
                  <c:v>142.81780685994465</c:v>
                </c:pt>
                <c:pt idx="30">
                  <c:v>143.23732798012816</c:v>
                </c:pt>
                <c:pt idx="31">
                  <c:v>143.65791874561</c:v>
                </c:pt>
                <c:pt idx="32">
                  <c:v>144.07957066065609</c:v>
                </c:pt>
                <c:pt idx="33">
                  <c:v>144.50227523073301</c:v>
                </c:pt>
                <c:pt idx="34">
                  <c:v>144.92602396271784</c:v>
                </c:pt>
                <c:pt idx="35">
                  <c:v>145.35080836510531</c:v>
                </c:pt>
                <c:pt idx="36">
                  <c:v>145.77661994821236</c:v>
                </c:pt>
                <c:pt idx="37">
                  <c:v>146.20345022438002</c:v>
                </c:pt>
                <c:pt idx="38">
                  <c:v>146.63129070817277</c:v>
                </c:pt>
                <c:pt idx="39">
                  <c:v>147.06013291657521</c:v>
                </c:pt>
                <c:pt idx="40">
                  <c:v>147.48996836918622</c:v>
                </c:pt>
                <c:pt idx="41">
                  <c:v>147.92078858841049</c:v>
                </c:pt>
                <c:pt idx="42">
                  <c:v>148.35258509964757</c:v>
                </c:pt>
                <c:pt idx="43">
                  <c:v>148.78534943147824</c:v>
                </c:pt>
                <c:pt idx="44">
                  <c:v>149.21907311584835</c:v>
                </c:pt>
                <c:pt idx="45">
                  <c:v>149.65374768825026</c:v>
                </c:pt>
                <c:pt idx="46">
                  <c:v>150.08936468790162</c:v>
                </c:pt>
                <c:pt idx="47">
                  <c:v>150.52591565792164</c:v>
                </c:pt>
                <c:pt idx="48">
                  <c:v>150.96339214550491</c:v>
                </c:pt>
                <c:pt idx="49">
                  <c:v>151.4017857020927</c:v>
                </c:pt>
                <c:pt idx="50">
                  <c:v>151.84108788354175</c:v>
                </c:pt>
                <c:pt idx="51">
                  <c:v>152.28129025029068</c:v>
                </c:pt>
                <c:pt idx="52">
                  <c:v>152.72238436752377</c:v>
                </c:pt>
                <c:pt idx="53">
                  <c:v>153.16436180533248</c:v>
                </c:pt>
                <c:pt idx="54">
                  <c:v>153.60721413887433</c:v>
                </c:pt>
                <c:pt idx="55">
                  <c:v>154.05093294852955</c:v>
                </c:pt>
                <c:pt idx="56">
                  <c:v>154.49550982005516</c:v>
                </c:pt>
                <c:pt idx="57">
                  <c:v>154.94093634473674</c:v>
                </c:pt>
                <c:pt idx="58">
                  <c:v>155.3872041195377</c:v>
                </c:pt>
                <c:pt idx="59">
                  <c:v>155.83430474724622</c:v>
                </c:pt>
                <c:pt idx="60">
                  <c:v>156.28222983661993</c:v>
                </c:pt>
                <c:pt idx="61">
                  <c:v>156.73097100252801</c:v>
                </c:pt>
                <c:pt idx="62">
                  <c:v>157.18051986609103</c:v>
                </c:pt>
                <c:pt idx="63">
                  <c:v>157.63086443437552</c:v>
                </c:pt>
                <c:pt idx="64">
                  <c:v>158.08198548044118</c:v>
                </c:pt>
                <c:pt idx="65">
                  <c:v>158.53386017078248</c:v>
                </c:pt>
                <c:pt idx="66">
                  <c:v>158.98646569261334</c:v>
                </c:pt>
                <c:pt idx="67">
                  <c:v>159.43977592798387</c:v>
                </c:pt>
                <c:pt idx="68">
                  <c:v>159.89375812859888</c:v>
                </c:pt>
                <c:pt idx="69">
                  <c:v>160.34837032671118</c:v>
                </c:pt>
                <c:pt idx="70">
                  <c:v>160.80355874742074</c:v>
                </c:pt>
                <c:pt idx="71">
                  <c:v>161.25926374615128</c:v>
                </c:pt>
                <c:pt idx="72">
                  <c:v>161.71542574494242</c:v>
                </c:pt>
                <c:pt idx="73">
                  <c:v>162.17198523478055</c:v>
                </c:pt>
                <c:pt idx="74">
                  <c:v>162.62888277783745</c:v>
                </c:pt>
                <c:pt idx="75">
                  <c:v>163.08605900961714</c:v>
                </c:pt>
                <c:pt idx="76">
                  <c:v>163.54345464101152</c:v>
                </c:pt>
                <c:pt idx="77">
                  <c:v>164.00101046026484</c:v>
                </c:pt>
                <c:pt idx="78">
                  <c:v>164.45866733484803</c:v>
                </c:pt>
                <c:pt idx="79">
                  <c:v>164.91636621324278</c:v>
                </c:pt>
                <c:pt idx="80">
                  <c:v>165.37404812663624</c:v>
                </c:pt>
                <c:pt idx="81">
                  <c:v>165.83166128373992</c:v>
                </c:pt>
                <c:pt idx="82">
                  <c:v>166.28916815926385</c:v>
                </c:pt>
                <c:pt idx="83">
                  <c:v>166.74653838015644</c:v>
                </c:pt>
                <c:pt idx="84">
                  <c:v>167.20374161745772</c:v>
                </c:pt>
                <c:pt idx="85">
                  <c:v>167.66074758647528</c:v>
                </c:pt>
                <c:pt idx="86">
                  <c:v>168.11752604693771</c:v>
                </c:pt>
                <c:pt idx="87">
                  <c:v>168.57404680312561</c:v>
                </c:pt>
                <c:pt idx="88">
                  <c:v>169.03027970398045</c:v>
                </c:pt>
                <c:pt idx="89">
                  <c:v>169.48619689431624</c:v>
                </c:pt>
                <c:pt idx="90">
                  <c:v>169.94177506373666</c:v>
                </c:pt>
                <c:pt idx="91">
                  <c:v>170.39699318826268</c:v>
                </c:pt>
                <c:pt idx="92">
                  <c:v>170.85183027415732</c:v>
                </c:pt>
                <c:pt idx="93">
                  <c:v>171.30626592194454</c:v>
                </c:pt>
                <c:pt idx="94">
                  <c:v>171.76028088982898</c:v>
                </c:pt>
                <c:pt idx="95">
                  <c:v>172.21385652760759</c:v>
                </c:pt>
                <c:pt idx="96">
                  <c:v>172.66697421115688</c:v>
                </c:pt>
                <c:pt idx="97">
                  <c:v>173.11961760401991</c:v>
                </c:pt>
                <c:pt idx="98">
                  <c:v>173.57177491656711</c:v>
                </c:pt>
                <c:pt idx="99">
                  <c:v>174.0234366366596</c:v>
                </c:pt>
                <c:pt idx="100">
                  <c:v>174.47459326274435</c:v>
                </c:pt>
                <c:pt idx="101">
                  <c:v>174.92523530372057</c:v>
                </c:pt>
                <c:pt idx="102">
                  <c:v>175.3753532788044</c:v>
                </c:pt>
                <c:pt idx="103">
                  <c:v>175.82493771739192</c:v>
                </c:pt>
                <c:pt idx="104">
                  <c:v>176.27397915892053</c:v>
                </c:pt>
                <c:pt idx="105">
                  <c:v>176.72246815272857</c:v>
                </c:pt>
                <c:pt idx="106">
                  <c:v>177.17039525791336</c:v>
                </c:pt>
                <c:pt idx="107">
                  <c:v>177.61775104318747</c:v>
                </c:pt>
                <c:pt idx="108">
                  <c:v>178.06452608673345</c:v>
                </c:pt>
                <c:pt idx="109">
                  <c:v>178.51071382264388</c:v>
                </c:pt>
                <c:pt idx="110">
                  <c:v>178.9563133843495</c:v>
                </c:pt>
                <c:pt idx="111">
                  <c:v>179.40132674870833</c:v>
                </c:pt>
                <c:pt idx="112">
                  <c:v>179.84575588320999</c:v>
                </c:pt>
                <c:pt idx="113">
                  <c:v>180.289602746036</c:v>
                </c:pt>
                <c:pt idx="114">
                  <c:v>180.73286928611941</c:v>
                </c:pt>
                <c:pt idx="115">
                  <c:v>181.17555744320416</c:v>
                </c:pt>
                <c:pt idx="116">
                  <c:v>181.6176691479038</c:v>
                </c:pt>
                <c:pt idx="117">
                  <c:v>182.05920632175983</c:v>
                </c:pt>
                <c:pt idx="118">
                  <c:v>182.50017087729955</c:v>
                </c:pt>
                <c:pt idx="119">
                  <c:v>182.94056471809341</c:v>
                </c:pt>
                <c:pt idx="120">
                  <c:v>183.38038973881203</c:v>
                </c:pt>
                <c:pt idx="121">
                  <c:v>183.81964782528254</c:v>
                </c:pt>
                <c:pt idx="122">
                  <c:v>184.2583408545448</c:v>
                </c:pt>
                <c:pt idx="123">
                  <c:v>184.69647069490674</c:v>
                </c:pt>
                <c:pt idx="124">
                  <c:v>185.13403920599976</c:v>
                </c:pt>
                <c:pt idx="125">
                  <c:v>185.57104823883321</c:v>
                </c:pt>
                <c:pt idx="126">
                  <c:v>186.00749963584889</c:v>
                </c:pt>
                <c:pt idx="127">
                  <c:v>186.44339523097469</c:v>
                </c:pt>
                <c:pt idx="128">
                  <c:v>186.87873684967818</c:v>
                </c:pt>
                <c:pt idx="129">
                  <c:v>187.31352630901949</c:v>
                </c:pt>
                <c:pt idx="130">
                  <c:v>187.74776541770402</c:v>
                </c:pt>
                <c:pt idx="131">
                  <c:v>188.18145597613454</c:v>
                </c:pt>
                <c:pt idx="132">
                  <c:v>188.614599776463</c:v>
                </c:pt>
                <c:pt idx="133">
                  <c:v>189.04719860264186</c:v>
                </c:pt>
                <c:pt idx="134">
                  <c:v>189.47925423047511</c:v>
                </c:pt>
                <c:pt idx="135">
                  <c:v>189.91076842766881</c:v>
                </c:pt>
                <c:pt idx="136">
                  <c:v>190.34174295388129</c:v>
                </c:pt>
                <c:pt idx="137">
                  <c:v>190.77217956077291</c:v>
                </c:pt>
                <c:pt idx="138">
                  <c:v>191.2020799920555</c:v>
                </c:pt>
                <c:pt idx="139">
                  <c:v>191.63144598354137</c:v>
                </c:pt>
                <c:pt idx="140">
                  <c:v>192.06027926319194</c:v>
                </c:pt>
                <c:pt idx="141">
                  <c:v>192.48858155116608</c:v>
                </c:pt>
                <c:pt idx="142">
                  <c:v>192.91635455986787</c:v>
                </c:pt>
                <c:pt idx="143">
                  <c:v>193.3435999939943</c:v>
                </c:pt>
                <c:pt idx="144">
                  <c:v>193.77031955058234</c:v>
                </c:pt>
                <c:pt idx="145">
                  <c:v>194.19651491905577</c:v>
                </c:pt>
                <c:pt idx="146">
                  <c:v>194.62218778127158</c:v>
                </c:pt>
                <c:pt idx="147">
                  <c:v>195.04733981156616</c:v>
                </c:pt>
                <c:pt idx="148">
                  <c:v>195.47197267680096</c:v>
                </c:pt>
                <c:pt idx="149">
                  <c:v>195.89608803640795</c:v>
                </c:pt>
                <c:pt idx="150">
                  <c:v>196.31968754243462</c:v>
                </c:pt>
                <c:pt idx="151">
                  <c:v>196.7427728395887</c:v>
                </c:pt>
                <c:pt idx="152">
                  <c:v>197.16534556528256</c:v>
                </c:pt>
                <c:pt idx="153">
                  <c:v>197.58740734967725</c:v>
                </c:pt>
                <c:pt idx="154">
                  <c:v>198.00895981572614</c:v>
                </c:pt>
                <c:pt idx="155">
                  <c:v>198.43000457921835</c:v>
                </c:pt>
                <c:pt idx="156">
                  <c:v>198.85054324882174</c:v>
                </c:pt>
                <c:pt idx="157">
                  <c:v>199.27057742612573</c:v>
                </c:pt>
                <c:pt idx="158">
                  <c:v>199.69010870568363</c:v>
                </c:pt>
                <c:pt idx="159">
                  <c:v>200.10913867505474</c:v>
                </c:pt>
                <c:pt idx="160">
                  <c:v>200.52766891484609</c:v>
                </c:pt>
                <c:pt idx="161">
                  <c:v>200.94570099875401</c:v>
                </c:pt>
                <c:pt idx="162">
                  <c:v>201.36323649360511</c:v>
                </c:pt>
                <c:pt idx="163">
                  <c:v>201.78027695939733</c:v>
                </c:pt>
                <c:pt idx="164">
                  <c:v>202.19682394934023</c:v>
                </c:pt>
                <c:pt idx="165">
                  <c:v>202.61287900989547</c:v>
                </c:pt>
                <c:pt idx="166">
                  <c:v>203.02844368081662</c:v>
                </c:pt>
                <c:pt idx="167">
                  <c:v>203.44351949518881</c:v>
                </c:pt>
                <c:pt idx="168">
                  <c:v>203.85810797946812</c:v>
                </c:pt>
                <c:pt idx="169">
                  <c:v>204.2722106535206</c:v>
                </c:pt>
                <c:pt idx="170">
                  <c:v>204.68582903066113</c:v>
                </c:pt>
                <c:pt idx="171">
                  <c:v>205.09896461769179</c:v>
                </c:pt>
                <c:pt idx="172">
                  <c:v>205.51161891494016</c:v>
                </c:pt>
                <c:pt idx="173">
                  <c:v>205.92379341629717</c:v>
                </c:pt>
                <c:pt idx="174">
                  <c:v>206.33548960925484</c:v>
                </c:pt>
                <c:pt idx="175">
                  <c:v>206.74670897494357</c:v>
                </c:pt>
                <c:pt idx="176">
                  <c:v>207.1574529881693</c:v>
                </c:pt>
                <c:pt idx="177">
                  <c:v>207.56772311745027</c:v>
                </c:pt>
                <c:pt idx="178">
                  <c:v>207.97752082505366</c:v>
                </c:pt>
                <c:pt idx="179">
                  <c:v>208.38684756703185</c:v>
                </c:pt>
                <c:pt idx="180">
                  <c:v>208.79570479325841</c:v>
                </c:pt>
                <c:pt idx="181">
                  <c:v>209.20409394746397</c:v>
                </c:pt>
                <c:pt idx="182">
                  <c:v>209.61201646727164</c:v>
                </c:pt>
                <c:pt idx="183">
                  <c:v>210.01947378423233</c:v>
                </c:pt>
                <c:pt idx="184">
                  <c:v>210.4264673238597</c:v>
                </c:pt>
                <c:pt idx="185">
                  <c:v>210.83299850566493</c:v>
                </c:pt>
                <c:pt idx="186">
                  <c:v>211.23906874319124</c:v>
                </c:pt>
                <c:pt idx="187">
                  <c:v>211.64467944404814</c:v>
                </c:pt>
                <c:pt idx="188">
                  <c:v>212.04983200994536</c:v>
                </c:pt>
                <c:pt idx="189">
                  <c:v>212.45452783672673</c:v>
                </c:pt>
                <c:pt idx="190">
                  <c:v>212.85876831440362</c:v>
                </c:pt>
                <c:pt idx="191">
                  <c:v>213.26255482718824</c:v>
                </c:pt>
                <c:pt idx="192">
                  <c:v>213.6658887535267</c:v>
                </c:pt>
                <c:pt idx="193">
                  <c:v>214.06877146613181</c:v>
                </c:pt>
                <c:pt idx="194">
                  <c:v>214.47120433201562</c:v>
                </c:pt>
                <c:pt idx="195">
                  <c:v>214.87318871252182</c:v>
                </c:pt>
                <c:pt idx="196">
                  <c:v>215.27472596335787</c:v>
                </c:pt>
                <c:pt idx="197">
                  <c:v>215.67581743462677</c:v>
                </c:pt>
                <c:pt idx="198">
                  <c:v>216.07646447085887</c:v>
                </c:pt>
                <c:pt idx="199">
                  <c:v>216.47666841104319</c:v>
                </c:pt>
                <c:pt idx="200">
                  <c:v>216.87643058865874</c:v>
                </c:pt>
                <c:pt idx="201">
                  <c:v>220.84985828205751</c:v>
                </c:pt>
                <c:pt idx="202">
                  <c:v>224.77996379349457</c:v>
                </c:pt>
                <c:pt idx="203">
                  <c:v>228.66803078942533</c:v>
                </c:pt>
                <c:pt idx="204">
                  <c:v>232.51529165971576</c:v>
                </c:pt>
                <c:pt idx="205">
                  <c:v>236.32293029398392</c:v>
                </c:pt>
                <c:pt idx="206">
                  <c:v>240.09208467203248</c:v>
                </c:pt>
                <c:pt idx="207">
                  <c:v>243.82384928317305</c:v>
                </c:pt>
                <c:pt idx="208">
                  <c:v>247.51927738788015</c:v>
                </c:pt>
                <c:pt idx="209">
                  <c:v>251.17938313399122</c:v>
                </c:pt>
                <c:pt idx="210">
                  <c:v>254.80514353857356</c:v>
                </c:pt>
                <c:pt idx="211">
                  <c:v>258.39750034559398</c:v>
                </c:pt>
                <c:pt idx="212">
                  <c:v>261.95736176864125</c:v>
                </c:pt>
                <c:pt idx="213">
                  <c:v>265.4856041271525</c:v>
                </c:pt>
                <c:pt idx="214">
                  <c:v>268.98307338387383</c:v>
                </c:pt>
                <c:pt idx="215">
                  <c:v>272.45058659063449</c:v>
                </c:pt>
                <c:pt idx="216">
                  <c:v>275.88893324892439</c:v>
                </c:pt>
                <c:pt idx="217">
                  <c:v>279.29887659123051</c:v>
                </c:pt>
                <c:pt idx="218">
                  <c:v>282.68115478860369</c:v>
                </c:pt>
                <c:pt idx="219">
                  <c:v>286.03648208948692</c:v>
                </c:pt>
                <c:pt idx="220">
                  <c:v>289.36554989443636</c:v>
                </c:pt>
                <c:pt idx="221">
                  <c:v>292.66902777100177</c:v>
                </c:pt>
                <c:pt idx="222">
                  <c:v>295.94756441270101</c:v>
                </c:pt>
                <c:pt idx="223">
                  <c:v>299.20178854571986</c:v>
                </c:pt>
                <c:pt idx="224">
                  <c:v>302.43230978669209</c:v>
                </c:pt>
                <c:pt idx="225">
                  <c:v>305.63971945466022</c:v>
                </c:pt>
                <c:pt idx="226">
                  <c:v>308.82459134008718</c:v>
                </c:pt>
                <c:pt idx="227">
                  <c:v>311.98748243357443</c:v>
                </c:pt>
                <c:pt idx="228">
                  <c:v>315.12893361674821</c:v>
                </c:pt>
                <c:pt idx="229">
                  <c:v>318.24947031759598</c:v>
                </c:pt>
                <c:pt idx="230">
                  <c:v>321.34960313236991</c:v>
                </c:pt>
                <c:pt idx="231">
                  <c:v>324.42982841602253</c:v>
                </c:pt>
                <c:pt idx="232">
                  <c:v>327.49062884299923</c:v>
                </c:pt>
                <c:pt idx="233">
                  <c:v>330.532473940084</c:v>
                </c:pt>
                <c:pt idx="234">
                  <c:v>333.55582059287389</c:v>
                </c:pt>
                <c:pt idx="235">
                  <c:v>336.56111352734831</c:v>
                </c:pt>
                <c:pt idx="236">
                  <c:v>339.54878576789639</c:v>
                </c:pt>
                <c:pt idx="237">
                  <c:v>342.51925907307049</c:v>
                </c:pt>
                <c:pt idx="238">
                  <c:v>345.47294435024565</c:v>
                </c:pt>
                <c:pt idx="239">
                  <c:v>348.41024205028333</c:v>
                </c:pt>
                <c:pt idx="240">
                  <c:v>351.33154254321988</c:v>
                </c:pt>
                <c:pt idx="241">
                  <c:v>354.23722647593019</c:v>
                </c:pt>
                <c:pt idx="242">
                  <c:v>357.12766511264891</c:v>
                </c:pt>
                <c:pt idx="243">
                  <c:v>360.00322065916993</c:v>
                </c:pt>
                <c:pt idx="244">
                  <c:v>362.86424657148524</c:v>
                </c:pt>
                <c:pt idx="245">
                  <c:v>365.71108784956959</c:v>
                </c:pt>
                <c:pt idx="246">
                  <c:v>368.54408131696476</c:v>
                </c:pt>
                <c:pt idx="247">
                  <c:v>371.36355588676787</c:v>
                </c:pt>
                <c:pt idx="248">
                  <c:v>374.16983281458158</c:v>
                </c:pt>
                <c:pt idx="249">
                  <c:v>376.9632259389391</c:v>
                </c:pt>
                <c:pt idx="250">
                  <c:v>379.74404190967499</c:v>
                </c:pt>
                <c:pt idx="251">
                  <c:v>382.51258040467081</c:v>
                </c:pt>
                <c:pt idx="252">
                  <c:v>385.26913433536726</c:v>
                </c:pt>
                <c:pt idx="253">
                  <c:v>388.01399004139478</c:v>
                </c:pt>
                <c:pt idx="254">
                  <c:v>390.74742747463966</c:v>
                </c:pt>
                <c:pt idx="255">
                  <c:v>393.46972037302601</c:v>
                </c:pt>
                <c:pt idx="256">
                  <c:v>396.18113642425948</c:v>
                </c:pt>
                <c:pt idx="257">
                  <c:v>398.88193741974561</c:v>
                </c:pt>
                <c:pt idx="258">
                  <c:v>401.57237939886045</c:v>
                </c:pt>
                <c:pt idx="259">
                  <c:v>404.25271278372014</c:v>
                </c:pt>
                <c:pt idx="260">
                  <c:v>406.92318250456202</c:v>
                </c:pt>
                <c:pt idx="261">
                  <c:v>409.58402811581902</c:v>
                </c:pt>
                <c:pt idx="262">
                  <c:v>412.23548390293587</c:v>
                </c:pt>
                <c:pt idx="263">
                  <c:v>414.87777897994528</c:v>
                </c:pt>
                <c:pt idx="264">
                  <c:v>417.51113737778991</c:v>
                </c:pt>
                <c:pt idx="265">
                  <c:v>420.13577812334614</c:v>
                </c:pt>
                <c:pt idx="266">
                  <c:v>422.75191530907466</c:v>
                </c:pt>
                <c:pt idx="267">
                  <c:v>425.35975815319381</c:v>
                </c:pt>
                <c:pt idx="268">
                  <c:v>427.95951105024386</c:v>
                </c:pt>
                <c:pt idx="269">
                  <c:v>430.55137361188326</c:v>
                </c:pt>
                <c:pt idx="270">
                  <c:v>433.13554069773443</c:v>
                </c:pt>
                <c:pt idx="271">
                  <c:v>435.7122024360749</c:v>
                </c:pt>
                <c:pt idx="272">
                  <c:v>438.2815442341531</c:v>
                </c:pt>
                <c:pt idx="273">
                  <c:v>440.84374677789566</c:v>
                </c:pt>
                <c:pt idx="274">
                  <c:v>443.39898602076806</c:v>
                </c:pt>
                <c:pt idx="275">
                  <c:v>445.94743316155399</c:v>
                </c:pt>
                <c:pt idx="276">
                  <c:v>448.48925461083144</c:v>
                </c:pt>
                <c:pt idx="277">
                  <c:v>451.02461194595071</c:v>
                </c:pt>
                <c:pt idx="278">
                  <c:v>453.55366185436094</c:v>
                </c:pt>
                <c:pt idx="279">
                  <c:v>456.07655606519205</c:v>
                </c:pt>
                <c:pt idx="280">
                  <c:v>458.59344126908104</c:v>
                </c:pt>
                <c:pt idx="281">
                  <c:v>461.10445902633813</c:v>
                </c:pt>
                <c:pt idx="282">
                  <c:v>463.60974566368446</c:v>
                </c:pt>
                <c:pt idx="283">
                  <c:v>466.10943215995832</c:v>
                </c:pt>
                <c:pt idx="284">
                  <c:v>468.60364402138953</c:v>
                </c:pt>
                <c:pt idx="285">
                  <c:v>471.0925011472757</c:v>
                </c:pt>
                <c:pt idx="286">
                  <c:v>473.57611768716703</c:v>
                </c:pt>
                <c:pt idx="287">
                  <c:v>476.05460189097113</c:v>
                </c:pt>
                <c:pt idx="288">
                  <c:v>478.52805595372172</c:v>
                </c:pt>
                <c:pt idx="289">
                  <c:v>480.996575857111</c:v>
                </c:pt>
                <c:pt idx="290">
                  <c:v>483.46025121024655</c:v>
                </c:pt>
                <c:pt idx="291">
                  <c:v>485.91916509245067</c:v>
                </c:pt>
                <c:pt idx="292">
                  <c:v>488.37339390124845</c:v>
                </c:pt>
                <c:pt idx="293">
                  <c:v>490.82300720896927</c:v>
                </c:pt>
                <c:pt idx="294">
                  <c:v>493.26806763159215</c:v>
                </c:pt>
                <c:pt idx="295">
                  <c:v>495.70863071356621</c:v>
                </c:pt>
                <c:pt idx="296">
                  <c:v>498.14474483232021</c:v>
                </c:pt>
                <c:pt idx="297">
                  <c:v>500.57645112601136</c:v>
                </c:pt>
                <c:pt idx="298">
                  <c:v>503.00378344775055</c:v>
                </c:pt>
                <c:pt idx="299">
                  <c:v>505.42676834907581</c:v>
                </c:pt>
                <c:pt idx="300">
                  <c:v>507.84542509483941</c:v>
                </c:pt>
                <c:pt idx="301">
                  <c:v>510.25976571095299</c:v>
                </c:pt>
                <c:pt idx="302">
                  <c:v>512.66979506563234</c:v>
                </c:pt>
                <c:pt idx="303">
                  <c:v>515.07551098394242</c:v>
                </c:pt>
                <c:pt idx="304">
                  <c:v>517.47690439461155</c:v>
                </c:pt>
                <c:pt idx="305">
                  <c:v>519.87395950730536</c:v>
                </c:pt>
                <c:pt idx="306">
                  <c:v>522.2666540178717</c:v>
                </c:pt>
                <c:pt idx="307">
                  <c:v>524.65495933851196</c:v>
                </c:pt>
                <c:pt idx="308">
                  <c:v>527.03884084943149</c:v>
                </c:pt>
                <c:pt idx="309">
                  <c:v>529.41825816827213</c:v>
                </c:pt>
                <c:pt idx="310">
                  <c:v>531.79316543353411</c:v>
                </c:pt>
                <c:pt idx="311">
                  <c:v>534.16351159824001</c:v>
                </c:pt>
                <c:pt idx="312">
                  <c:v>536.5292407302544</c:v>
                </c:pt>
                <c:pt idx="313">
                  <c:v>538.89029231592951</c:v>
                </c:pt>
                <c:pt idx="314">
                  <c:v>541.24660156406992</c:v>
                </c:pt>
                <c:pt idx="315">
                  <c:v>543.59809970757431</c:v>
                </c:pt>
                <c:pt idx="316">
                  <c:v>545.94471430049452</c:v>
                </c:pt>
                <c:pt idx="317">
                  <c:v>548.28636950863483</c:v>
                </c:pt>
                <c:pt idx="318">
                  <c:v>550.62298639218125</c:v>
                </c:pt>
                <c:pt idx="319">
                  <c:v>552.95448317919079</c:v>
                </c:pt>
                <c:pt idx="320">
                  <c:v>555.28077552907848</c:v>
                </c:pt>
                <c:pt idx="321">
                  <c:v>557.60177678550929</c:v>
                </c:pt>
                <c:pt idx="322">
                  <c:v>559.91739821833585</c:v>
                </c:pt>
                <c:pt idx="323">
                  <c:v>562.22754925441689</c:v>
                </c:pt>
                <c:pt idx="324">
                  <c:v>564.53213769731235</c:v>
                </c:pt>
                <c:pt idx="325">
                  <c:v>566.83106993598108</c:v>
                </c:pt>
                <c:pt idx="326">
                  <c:v>569.12425114270548</c:v>
                </c:pt>
                <c:pt idx="327">
                  <c:v>571.41158546054623</c:v>
                </c:pt>
                <c:pt idx="328">
                  <c:v>573.6929761806831</c:v>
                </c:pt>
                <c:pt idx="329">
                  <c:v>575.96832591003908</c:v>
                </c:pt>
                <c:pt idx="330">
                  <c:v>578.23753672960527</c:v>
                </c:pt>
                <c:pt idx="331">
                  <c:v>580.5005103438998</c:v>
                </c:pt>
                <c:pt idx="332">
                  <c:v>582.75714822199416</c:v>
                </c:pt>
                <c:pt idx="333">
                  <c:v>585.00735173053806</c:v>
                </c:pt>
                <c:pt idx="334">
                  <c:v>587.25102225920466</c:v>
                </c:pt>
                <c:pt idx="335">
                  <c:v>589.48806133896346</c:v>
                </c:pt>
                <c:pt idx="336">
                  <c:v>591.71837075357337</c:v>
                </c:pt>
                <c:pt idx="337">
                  <c:v>593.94185264466955</c:v>
                </c:pt>
                <c:pt idx="338">
                  <c:v>596.15840961079994</c:v>
                </c:pt>
                <c:pt idx="339">
                  <c:v>598.36794480074627</c:v>
                </c:pt>
                <c:pt idx="340">
                  <c:v>600.5703620014458</c:v>
                </c:pt>
                <c:pt idx="341">
                  <c:v>602.76556572081086</c:v>
                </c:pt>
                <c:pt idx="342">
                  <c:v>604.95346126572349</c:v>
                </c:pt>
                <c:pt idx="343">
                  <c:v>607.13395481546615</c:v>
                </c:pt>
                <c:pt idx="344">
                  <c:v>609.30695349083032</c:v>
                </c:pt>
                <c:pt idx="345">
                  <c:v>611.4723654191298</c:v>
                </c:pt>
                <c:pt idx="346">
                  <c:v>613.63009979533058</c:v>
                </c:pt>
                <c:pt idx="347">
                  <c:v>615.78006693949294</c:v>
                </c:pt>
                <c:pt idx="348">
                  <c:v>617.92217835071028</c:v>
                </c:pt>
                <c:pt idx="349">
                  <c:v>620.05634675771489</c:v>
                </c:pt>
                <c:pt idx="350">
                  <c:v>622.18248616631058</c:v>
                </c:pt>
                <c:pt idx="351">
                  <c:v>624.30051190378038</c:v>
                </c:pt>
                <c:pt idx="352">
                  <c:v>626.41034066040902</c:v>
                </c:pt>
                <c:pt idx="353">
                  <c:v>628.51189052824952</c:v>
                </c:pt>
                <c:pt idx="354">
                  <c:v>630.60508103725488</c:v>
                </c:pt>
                <c:pt idx="355">
                  <c:v>632.68983318888934</c:v>
                </c:pt>
                <c:pt idx="356">
                  <c:v>634.76606948732592</c:v>
                </c:pt>
                <c:pt idx="357">
                  <c:v>636.83371396832968</c:v>
                </c:pt>
                <c:pt idx="358">
                  <c:v>638.89269222592236</c:v>
                </c:pt>
                <c:pt idx="359">
                  <c:v>640.94293143691561</c:v>
                </c:pt>
                <c:pt idx="360">
                  <c:v>642.98436038339821</c:v>
                </c:pt>
                <c:pt idx="361">
                  <c:v>645.01690947325596</c:v>
                </c:pt>
                <c:pt idx="362">
                  <c:v>647.04051075879943</c:v>
                </c:pt>
                <c:pt idx="363">
                  <c:v>649.05509795357091</c:v>
                </c:pt>
                <c:pt idx="364">
                  <c:v>651.06060644739875</c:v>
                </c:pt>
                <c:pt idx="365">
                  <c:v>653.05697331976364</c:v>
                </c:pt>
                <c:pt idx="366">
                  <c:v>655.04413735153798</c:v>
                </c:pt>
                <c:pt idx="367">
                  <c:v>657.0220390351584</c:v>
                </c:pt>
                <c:pt idx="368">
                  <c:v>658.99062058328695</c:v>
                </c:pt>
                <c:pt idx="369">
                  <c:v>660.94982593601617</c:v>
                </c:pt>
                <c:pt idx="370">
                  <c:v>662.89960076666932</c:v>
                </c:pt>
                <c:pt idx="371">
                  <c:v>664.83989248624675</c:v>
                </c:pt>
                <c:pt idx="372">
                  <c:v>666.77065024656633</c:v>
                </c:pt>
                <c:pt idx="373">
                  <c:v>668.69182494214476</c:v>
                </c:pt>
                <c:pt idx="374">
                  <c:v>670.60336921086594</c:v>
                </c:pt>
                <c:pt idx="375">
                  <c:v>672.50523743347867</c:v>
                </c:pt>
                <c:pt idx="376">
                  <c:v>674.39738573196746</c:v>
                </c:pt>
                <c:pt idx="377">
                  <c:v>676.27977196683753</c:v>
                </c:pt>
                <c:pt idx="378">
                  <c:v>678.15235573335349</c:v>
                </c:pt>
                <c:pt idx="379">
                  <c:v>680.01509835677132</c:v>
                </c:pt>
                <c:pt idx="380">
                  <c:v>681.86796288660196</c:v>
                </c:pt>
                <c:pt idx="381">
                  <c:v>683.71091408994243</c:v>
                </c:pt>
                <c:pt idx="382">
                  <c:v>685.54391844391216</c:v>
                </c:pt>
                <c:pt idx="383">
                  <c:v>687.36694412722807</c:v>
                </c:pt>
                <c:pt idx="384">
                  <c:v>689.17996101095468</c:v>
                </c:pt>
                <c:pt idx="385">
                  <c:v>690.98294064846152</c:v>
                </c:pt>
                <c:pt idx="386">
                  <c:v>692.7758562646211</c:v>
                </c:pt>
                <c:pt idx="387">
                  <c:v>694.55868274428019</c:v>
                </c:pt>
                <c:pt idx="388">
                  <c:v>696.33139662003498</c:v>
                </c:pt>
                <c:pt idx="389">
                  <c:v>698.09397605934157</c:v>
                </c:pt>
                <c:pt idx="390">
                  <c:v>699.84640085099147</c:v>
                </c:pt>
                <c:pt idx="391">
                  <c:v>701.58865239098202</c:v>
                </c:pt>
                <c:pt idx="392">
                  <c:v>703.32071366780985</c:v>
                </c:pt>
                <c:pt idx="393">
                  <c:v>705.04256924721642</c:v>
                </c:pt>
                <c:pt idx="394">
                  <c:v>706.75420525641277</c:v>
                </c:pt>
                <c:pt idx="395">
                  <c:v>708.45560936781033</c:v>
                </c:pt>
                <c:pt idx="396">
                  <c:v>710.14677078228476</c:v>
                </c:pt>
                <c:pt idx="397">
                  <c:v>711.82768021199809</c:v>
                </c:pt>
                <c:pt idx="398">
                  <c:v>713.49832986280455</c:v>
                </c:pt>
                <c:pt idx="399">
                  <c:v>715.15871341626553</c:v>
                </c:pt>
                <c:pt idx="400">
                  <c:v>716.80882601129622</c:v>
                </c:pt>
                <c:pt idx="401">
                  <c:v>718.44866422546932</c:v>
                </c:pt>
                <c:pt idx="402">
                  <c:v>720.07822605599756</c:v>
                </c:pt>
                <c:pt idx="403">
                  <c:v>721.69751090041814</c:v>
                </c:pt>
                <c:pt idx="404">
                  <c:v>723.30651953700044</c:v>
                </c:pt>
                <c:pt idx="405">
                  <c:v>724.90525410489931</c:v>
                </c:pt>
                <c:pt idx="406">
                  <c:v>726.49371808407432</c:v>
                </c:pt>
                <c:pt idx="407">
                  <c:v>728.07191627499469</c:v>
                </c:pt>
                <c:pt idx="408">
                  <c:v>729.63985477815095</c:v>
                </c:pt>
                <c:pt idx="409">
                  <c:v>731.19754097339171</c:v>
                </c:pt>
                <c:pt idx="410">
                  <c:v>732.74498349910448</c:v>
                </c:pt>
                <c:pt idx="411">
                  <c:v>734.28219223125927</c:v>
                </c:pt>
                <c:pt idx="412">
                  <c:v>735.80917826233178</c:v>
                </c:pt>
                <c:pt idx="413">
                  <c:v>737.32595388012464</c:v>
                </c:pt>
                <c:pt idx="414">
                  <c:v>738.83253254650208</c:v>
                </c:pt>
                <c:pt idx="415">
                  <c:v>740.32892887605544</c:v>
                </c:pt>
                <c:pt idx="416">
                  <c:v>741.81515861471439</c:v>
                </c:pt>
                <c:pt idx="417">
                  <c:v>743.29123861831988</c:v>
                </c:pt>
                <c:pt idx="418">
                  <c:v>744.75718683117236</c:v>
                </c:pt>
                <c:pt idx="419">
                  <c:v>746.21302226457146</c:v>
                </c:pt>
                <c:pt idx="420">
                  <c:v>747.65876497535862</c:v>
                </c:pt>
                <c:pt idx="421">
                  <c:v>749.09443604447802</c:v>
                </c:pt>
                <c:pt idx="422">
                  <c:v>750.52005755556729</c:v>
                </c:pt>
                <c:pt idx="423">
                  <c:v>751.93565257359114</c:v>
                </c:pt>
                <c:pt idx="424">
                  <c:v>753.3412451235298</c:v>
                </c:pt>
                <c:pt idx="425">
                  <c:v>754.73686016913302</c:v>
                </c:pt>
                <c:pt idx="426">
                  <c:v>756.12252359175204</c:v>
                </c:pt>
                <c:pt idx="427">
                  <c:v>757.49826216925851</c:v>
                </c:pt>
                <c:pt idx="428">
                  <c:v>758.86410355506212</c:v>
                </c:pt>
                <c:pt idx="429">
                  <c:v>760.22007625723575</c:v>
                </c:pt>
                <c:pt idx="430">
                  <c:v>761.56620961775752</c:v>
                </c:pt>
                <c:pt idx="431">
                  <c:v>762.90253379187891</c:v>
                </c:pt>
                <c:pt idx="432">
                  <c:v>764.229079727628</c:v>
                </c:pt>
                <c:pt idx="433">
                  <c:v>765.54587914545482</c:v>
                </c:pt>
                <c:pt idx="434">
                  <c:v>766.85296451802742</c:v>
                </c:pt>
                <c:pt idx="435">
                  <c:v>768.15036905018587</c:v>
                </c:pt>
                <c:pt idx="436">
                  <c:v>769.43812665906125</c:v>
                </c:pt>
                <c:pt idx="437">
                  <c:v>770.71627195436599</c:v>
                </c:pt>
                <c:pt idx="438">
                  <c:v>771.98484021886202</c:v>
                </c:pt>
                <c:pt idx="439">
                  <c:v>773.24386738901285</c:v>
                </c:pt>
                <c:pt idx="440">
                  <c:v>774.49339003582509</c:v>
                </c:pt>
                <c:pt idx="441">
                  <c:v>775.73344534588421</c:v>
                </c:pt>
                <c:pt idx="442">
                  <c:v>776.96407110259065</c:v>
                </c:pt>
                <c:pt idx="443">
                  <c:v>778.18530566759921</c:v>
                </c:pt>
                <c:pt idx="444">
                  <c:v>779.39718796246768</c:v>
                </c:pt>
                <c:pt idx="445">
                  <c:v>780.59975745051781</c:v>
                </c:pt>
                <c:pt idx="446">
                  <c:v>781.79305411891255</c:v>
                </c:pt>
                <c:pt idx="447">
                  <c:v>782.97711846095319</c:v>
                </c:pt>
                <c:pt idx="448">
                  <c:v>784.1519914585989</c:v>
                </c:pt>
                <c:pt idx="449">
                  <c:v>785.3177145652129</c:v>
                </c:pt>
                <c:pt idx="450">
                  <c:v>786.47432968853616</c:v>
                </c:pt>
                <c:pt idx="451">
                  <c:v>787.62187917389258</c:v>
                </c:pt>
                <c:pt idx="452">
                  <c:v>788.76040578762695</c:v>
                </c:pt>
                <c:pt idx="453">
                  <c:v>789.88995270077737</c:v>
                </c:pt>
                <c:pt idx="454">
                  <c:v>791.01056347298493</c:v>
                </c:pt>
                <c:pt idx="455">
                  <c:v>792.12228203664029</c:v>
                </c:pt>
                <c:pt idx="456">
                  <c:v>793.22515268127074</c:v>
                </c:pt>
                <c:pt idx="457">
                  <c:v>794.31922003816635</c:v>
                </c:pt>
                <c:pt idx="458">
                  <c:v>795.40452906524763</c:v>
                </c:pt>
                <c:pt idx="459">
                  <c:v>796.48112503217487</c:v>
                </c:pt>
                <c:pt idx="460">
                  <c:v>797.54905350569948</c:v>
                </c:pt>
                <c:pt idx="461">
                  <c:v>798.60836033525743</c:v>
                </c:pt>
                <c:pt idx="462">
                  <c:v>799.65909163880565</c:v>
                </c:pt>
                <c:pt idx="463">
                  <c:v>800.70129378890033</c:v>
                </c:pt>
                <c:pt idx="464">
                  <c:v>801.73501339901736</c:v>
                </c:pt>
                <c:pt idx="465">
                  <c:v>802.76029731011465</c:v>
                </c:pt>
                <c:pt idx="466">
                  <c:v>803.77719257743559</c:v>
                </c:pt>
                <c:pt idx="467">
                  <c:v>804.78574645755293</c:v>
                </c:pt>
                <c:pt idx="468">
                  <c:v>805.78600639565218</c:v>
                </c:pt>
                <c:pt idx="469">
                  <c:v>806.77802001305406</c:v>
                </c:pt>
                <c:pt idx="470">
                  <c:v>807.76183509497446</c:v>
                </c:pt>
                <c:pt idx="471">
                  <c:v>808.73749957852044</c:v>
                </c:pt>
                <c:pt idx="472">
                  <c:v>809.70506154092232</c:v>
                </c:pt>
                <c:pt idx="473">
                  <c:v>810.6645691879985</c:v>
                </c:pt>
                <c:pt idx="474">
                  <c:v>811.61607084285345</c:v>
                </c:pt>
                <c:pt idx="475">
                  <c:v>812.55961493480561</c:v>
                </c:pt>
                <c:pt idx="476">
                  <c:v>813.49524998854497</c:v>
                </c:pt>
                <c:pt idx="477">
                  <c:v>814.4230246135171</c:v>
                </c:pt>
                <c:pt idx="478">
                  <c:v>815.34298749353309</c:v>
                </c:pt>
                <c:pt idx="479">
                  <c:v>816.25518737660298</c:v>
                </c:pt>
                <c:pt idx="480">
                  <c:v>817.15967306498987</c:v>
                </c:pt>
                <c:pt idx="481">
                  <c:v>818.05649340548416</c:v>
                </c:pt>
                <c:pt idx="482">
                  <c:v>818.94569727989472</c:v>
                </c:pt>
                <c:pt idx="483">
                  <c:v>819.82733359575491</c:v>
                </c:pt>
                <c:pt idx="484">
                  <c:v>820.70145127724174</c:v>
                </c:pt>
                <c:pt idx="485">
                  <c:v>821.56809925630512</c:v>
                </c:pt>
                <c:pt idx="486">
                  <c:v>822.42732646400566</c:v>
                </c:pt>
                <c:pt idx="487">
                  <c:v>823.27918182205792</c:v>
                </c:pt>
                <c:pt idx="488">
                  <c:v>824.12371423457705</c:v>
                </c:pt>
                <c:pt idx="489">
                  <c:v>824.96097258002669</c:v>
                </c:pt>
                <c:pt idx="490">
                  <c:v>825.79100570336459</c:v>
                </c:pt>
                <c:pt idx="491">
                  <c:v>826.61386240838476</c:v>
                </c:pt>
                <c:pt idx="492">
                  <c:v>827.42959145025247</c:v>
                </c:pt>
                <c:pt idx="493">
                  <c:v>828.23824152823045</c:v>
                </c:pt>
                <c:pt idx="494">
                  <c:v>829.03986127859275</c:v>
                </c:pt>
                <c:pt idx="495">
                  <c:v>829.8344992677246</c:v>
                </c:pt>
                <c:pt idx="496">
                  <c:v>830.62220398540489</c:v>
                </c:pt>
                <c:pt idx="497">
                  <c:v>831.40302383826929</c:v>
                </c:pt>
                <c:pt idx="498">
                  <c:v>832.17700714345062</c:v>
                </c:pt>
                <c:pt idx="499">
                  <c:v>832.94420212239459</c:v>
                </c:pt>
                <c:pt idx="500">
                  <c:v>833.70465689484763</c:v>
                </c:pt>
                <c:pt idx="501">
                  <c:v>834.4584194730146</c:v>
                </c:pt>
                <c:pt idx="502">
                  <c:v>835.20553775588337</c:v>
                </c:pt>
                <c:pt idx="503">
                  <c:v>835.94605952371376</c:v>
                </c:pt>
                <c:pt idx="504">
                  <c:v>836.68003243268845</c:v>
                </c:pt>
                <c:pt idx="505">
                  <c:v>837.4075040097224</c:v>
                </c:pt>
                <c:pt idx="506">
                  <c:v>837.4075040097224</c:v>
                </c:pt>
                <c:pt idx="507">
                  <c:v>837.4075040097224</c:v>
                </c:pt>
                <c:pt idx="508">
                  <c:v>837.4075040097224</c:v>
                </c:pt>
                <c:pt idx="509">
                  <c:v>837.4075040097224</c:v>
                </c:pt>
                <c:pt idx="510">
                  <c:v>837.4075040097224</c:v>
                </c:pt>
                <c:pt idx="511">
                  <c:v>837.4075040097224</c:v>
                </c:pt>
                <c:pt idx="512">
                  <c:v>837.4075040097224</c:v>
                </c:pt>
                <c:pt idx="513">
                  <c:v>837.4075040097224</c:v>
                </c:pt>
                <c:pt idx="514">
                  <c:v>837.4075040097224</c:v>
                </c:pt>
                <c:pt idx="515">
                  <c:v>837.4075040097224</c:v>
                </c:pt>
                <c:pt idx="516">
                  <c:v>837.4075040097224</c:v>
                </c:pt>
                <c:pt idx="517">
                  <c:v>837.4075040097224</c:v>
                </c:pt>
                <c:pt idx="518">
                  <c:v>837.4075040097224</c:v>
                </c:pt>
                <c:pt idx="519">
                  <c:v>837.4075040097224</c:v>
                </c:pt>
                <c:pt idx="520">
                  <c:v>837.4075040097224</c:v>
                </c:pt>
                <c:pt idx="521">
                  <c:v>837.4075040097224</c:v>
                </c:pt>
                <c:pt idx="522">
                  <c:v>837.4075040097224</c:v>
                </c:pt>
                <c:pt idx="523">
                  <c:v>837.4075040097224</c:v>
                </c:pt>
                <c:pt idx="524">
                  <c:v>837.4075040097224</c:v>
                </c:pt>
                <c:pt idx="525">
                  <c:v>837.4075040097224</c:v>
                </c:pt>
                <c:pt idx="526">
                  <c:v>837.4075040097224</c:v>
                </c:pt>
                <c:pt idx="527">
                  <c:v>837.4075040097224</c:v>
                </c:pt>
                <c:pt idx="528">
                  <c:v>837.4075040097224</c:v>
                </c:pt>
                <c:pt idx="529">
                  <c:v>837.4075040097224</c:v>
                </c:pt>
                <c:pt idx="530">
                  <c:v>837.4075040097224</c:v>
                </c:pt>
                <c:pt idx="531">
                  <c:v>837.4075040097224</c:v>
                </c:pt>
                <c:pt idx="532">
                  <c:v>837.4075040097224</c:v>
                </c:pt>
                <c:pt idx="533">
                  <c:v>837.4075040097224</c:v>
                </c:pt>
                <c:pt idx="534">
                  <c:v>837.4075040097224</c:v>
                </c:pt>
                <c:pt idx="535">
                  <c:v>837.4075040097224</c:v>
                </c:pt>
                <c:pt idx="536">
                  <c:v>837.4075040097224</c:v>
                </c:pt>
                <c:pt idx="537">
                  <c:v>837.4075040097224</c:v>
                </c:pt>
                <c:pt idx="538">
                  <c:v>837.4075040097224</c:v>
                </c:pt>
                <c:pt idx="539">
                  <c:v>837.4075040097224</c:v>
                </c:pt>
                <c:pt idx="540">
                  <c:v>837.4075040097224</c:v>
                </c:pt>
                <c:pt idx="541">
                  <c:v>837.4075040097224</c:v>
                </c:pt>
                <c:pt idx="542">
                  <c:v>837.4075040097224</c:v>
                </c:pt>
                <c:pt idx="543">
                  <c:v>837.4075040097224</c:v>
                </c:pt>
                <c:pt idx="544">
                  <c:v>837.4075040097224</c:v>
                </c:pt>
                <c:pt idx="545">
                  <c:v>837.4075040097224</c:v>
                </c:pt>
                <c:pt idx="546">
                  <c:v>837.4075040097224</c:v>
                </c:pt>
                <c:pt idx="547">
                  <c:v>837.4075040097224</c:v>
                </c:pt>
                <c:pt idx="548">
                  <c:v>837.4075040097224</c:v>
                </c:pt>
                <c:pt idx="549">
                  <c:v>837.4075040097224</c:v>
                </c:pt>
                <c:pt idx="550">
                  <c:v>837.4075040097224</c:v>
                </c:pt>
                <c:pt idx="551">
                  <c:v>837.4075040097224</c:v>
                </c:pt>
                <c:pt idx="552">
                  <c:v>837.4075040097224</c:v>
                </c:pt>
                <c:pt idx="553">
                  <c:v>837.4075040097224</c:v>
                </c:pt>
                <c:pt idx="554">
                  <c:v>837.4075040097224</c:v>
                </c:pt>
                <c:pt idx="555">
                  <c:v>837.4075040097224</c:v>
                </c:pt>
                <c:pt idx="556">
                  <c:v>837.4075040097224</c:v>
                </c:pt>
                <c:pt idx="557">
                  <c:v>837.4075040097224</c:v>
                </c:pt>
                <c:pt idx="558">
                  <c:v>837.4075040097224</c:v>
                </c:pt>
                <c:pt idx="559">
                  <c:v>837.4075040097224</c:v>
                </c:pt>
                <c:pt idx="560">
                  <c:v>837.4075040097224</c:v>
                </c:pt>
                <c:pt idx="561">
                  <c:v>837.4075040097224</c:v>
                </c:pt>
                <c:pt idx="562">
                  <c:v>837.4075040097224</c:v>
                </c:pt>
                <c:pt idx="563">
                  <c:v>837.4075040097224</c:v>
                </c:pt>
                <c:pt idx="564">
                  <c:v>837.4075040097224</c:v>
                </c:pt>
                <c:pt idx="565">
                  <c:v>837.4075040097224</c:v>
                </c:pt>
                <c:pt idx="566">
                  <c:v>837.4075040097224</c:v>
                </c:pt>
                <c:pt idx="567">
                  <c:v>837.4075040097224</c:v>
                </c:pt>
                <c:pt idx="568">
                  <c:v>837.4075040097224</c:v>
                </c:pt>
                <c:pt idx="569">
                  <c:v>837.4075040097224</c:v>
                </c:pt>
                <c:pt idx="570">
                  <c:v>837.4075040097224</c:v>
                </c:pt>
                <c:pt idx="571">
                  <c:v>837.4075040097224</c:v>
                </c:pt>
                <c:pt idx="572">
                  <c:v>837.4075040097224</c:v>
                </c:pt>
                <c:pt idx="573">
                  <c:v>837.4075040097224</c:v>
                </c:pt>
                <c:pt idx="574">
                  <c:v>837.4075040097224</c:v>
                </c:pt>
                <c:pt idx="575">
                  <c:v>837.4075040097224</c:v>
                </c:pt>
                <c:pt idx="576">
                  <c:v>837.4075040097224</c:v>
                </c:pt>
                <c:pt idx="577">
                  <c:v>837.4075040097224</c:v>
                </c:pt>
                <c:pt idx="578">
                  <c:v>837.4075040097224</c:v>
                </c:pt>
                <c:pt idx="579">
                  <c:v>837.4075040097224</c:v>
                </c:pt>
                <c:pt idx="580">
                  <c:v>837.4075040097224</c:v>
                </c:pt>
                <c:pt idx="581">
                  <c:v>837.4075040097224</c:v>
                </c:pt>
                <c:pt idx="582">
                  <c:v>837.4075040097224</c:v>
                </c:pt>
                <c:pt idx="583">
                  <c:v>837.4075040097224</c:v>
                </c:pt>
                <c:pt idx="584">
                  <c:v>837.4075040097224</c:v>
                </c:pt>
                <c:pt idx="585">
                  <c:v>837.4075040097224</c:v>
                </c:pt>
                <c:pt idx="586">
                  <c:v>837.4075040097224</c:v>
                </c:pt>
                <c:pt idx="587">
                  <c:v>837.4075040097224</c:v>
                </c:pt>
                <c:pt idx="588">
                  <c:v>837.4075040097224</c:v>
                </c:pt>
                <c:pt idx="589">
                  <c:v>837.4075040097224</c:v>
                </c:pt>
                <c:pt idx="590">
                  <c:v>837.4075040097224</c:v>
                </c:pt>
                <c:pt idx="591">
                  <c:v>837.4075040097224</c:v>
                </c:pt>
                <c:pt idx="592">
                  <c:v>837.4075040097224</c:v>
                </c:pt>
                <c:pt idx="593">
                  <c:v>837.4075040097224</c:v>
                </c:pt>
                <c:pt idx="594">
                  <c:v>837.4075040097224</c:v>
                </c:pt>
                <c:pt idx="595">
                  <c:v>837.4075040097224</c:v>
                </c:pt>
                <c:pt idx="596">
                  <c:v>837.4075040097224</c:v>
                </c:pt>
                <c:pt idx="597">
                  <c:v>837.4075040097224</c:v>
                </c:pt>
                <c:pt idx="598">
                  <c:v>837.4075040097224</c:v>
                </c:pt>
                <c:pt idx="599">
                  <c:v>837.4075040097224</c:v>
                </c:pt>
                <c:pt idx="600">
                  <c:v>837.4075040097224</c:v>
                </c:pt>
                <c:pt idx="601">
                  <c:v>837.4075040097224</c:v>
                </c:pt>
                <c:pt idx="602">
                  <c:v>837.4075040097224</c:v>
                </c:pt>
                <c:pt idx="603">
                  <c:v>837.4075040097224</c:v>
                </c:pt>
                <c:pt idx="604">
                  <c:v>837.4075040097224</c:v>
                </c:pt>
                <c:pt idx="605">
                  <c:v>837.4075040097224</c:v>
                </c:pt>
                <c:pt idx="606">
                  <c:v>837.4075040097224</c:v>
                </c:pt>
                <c:pt idx="607">
                  <c:v>837.4075040097224</c:v>
                </c:pt>
                <c:pt idx="608">
                  <c:v>837.4075040097224</c:v>
                </c:pt>
                <c:pt idx="609">
                  <c:v>837.4075040097224</c:v>
                </c:pt>
                <c:pt idx="610">
                  <c:v>837.4075040097224</c:v>
                </c:pt>
                <c:pt idx="611">
                  <c:v>837.4075040097224</c:v>
                </c:pt>
                <c:pt idx="612">
                  <c:v>837.4075040097224</c:v>
                </c:pt>
                <c:pt idx="613">
                  <c:v>837.4075040097224</c:v>
                </c:pt>
                <c:pt idx="614">
                  <c:v>837.4075040097224</c:v>
                </c:pt>
                <c:pt idx="615">
                  <c:v>837.4075040097224</c:v>
                </c:pt>
                <c:pt idx="616">
                  <c:v>837.4075040097224</c:v>
                </c:pt>
                <c:pt idx="617">
                  <c:v>837.4075040097224</c:v>
                </c:pt>
                <c:pt idx="618">
                  <c:v>837.4075040097224</c:v>
                </c:pt>
                <c:pt idx="619">
                  <c:v>837.4075040097224</c:v>
                </c:pt>
                <c:pt idx="620">
                  <c:v>837.4075040097224</c:v>
                </c:pt>
                <c:pt idx="621">
                  <c:v>837.4075040097224</c:v>
                </c:pt>
                <c:pt idx="622">
                  <c:v>837.4075040097224</c:v>
                </c:pt>
                <c:pt idx="623">
                  <c:v>837.4075040097224</c:v>
                </c:pt>
                <c:pt idx="624">
                  <c:v>837.4075040097224</c:v>
                </c:pt>
                <c:pt idx="625">
                  <c:v>837.4075040097224</c:v>
                </c:pt>
                <c:pt idx="626">
                  <c:v>837.4075040097224</c:v>
                </c:pt>
                <c:pt idx="627">
                  <c:v>837.4075040097224</c:v>
                </c:pt>
                <c:pt idx="628">
                  <c:v>837.4075040097224</c:v>
                </c:pt>
                <c:pt idx="629">
                  <c:v>837.4075040097224</c:v>
                </c:pt>
                <c:pt idx="630">
                  <c:v>837.4075040097224</c:v>
                </c:pt>
                <c:pt idx="631">
                  <c:v>837.4075040097224</c:v>
                </c:pt>
                <c:pt idx="632">
                  <c:v>837.4075040097224</c:v>
                </c:pt>
                <c:pt idx="633">
                  <c:v>837.4075040097224</c:v>
                </c:pt>
                <c:pt idx="634">
                  <c:v>837.4075040097224</c:v>
                </c:pt>
                <c:pt idx="635">
                  <c:v>837.4075040097224</c:v>
                </c:pt>
                <c:pt idx="636">
                  <c:v>837.4075040097224</c:v>
                </c:pt>
                <c:pt idx="637">
                  <c:v>837.4075040097224</c:v>
                </c:pt>
                <c:pt idx="638">
                  <c:v>837.4075040097224</c:v>
                </c:pt>
                <c:pt idx="639">
                  <c:v>837.4075040097224</c:v>
                </c:pt>
                <c:pt idx="640">
                  <c:v>837.4075040097224</c:v>
                </c:pt>
                <c:pt idx="641">
                  <c:v>837.4075040097224</c:v>
                </c:pt>
                <c:pt idx="642">
                  <c:v>837.4075040097224</c:v>
                </c:pt>
                <c:pt idx="643">
                  <c:v>837.4075040097224</c:v>
                </c:pt>
                <c:pt idx="644">
                  <c:v>837.4075040097224</c:v>
                </c:pt>
                <c:pt idx="645">
                  <c:v>837.4075040097224</c:v>
                </c:pt>
                <c:pt idx="646">
                  <c:v>837.4075040097224</c:v>
                </c:pt>
                <c:pt idx="647">
                  <c:v>837.4075040097224</c:v>
                </c:pt>
                <c:pt idx="648">
                  <c:v>837.4075040097224</c:v>
                </c:pt>
                <c:pt idx="649">
                  <c:v>837.4075040097224</c:v>
                </c:pt>
                <c:pt idx="650">
                  <c:v>837.4075040097224</c:v>
                </c:pt>
                <c:pt idx="651">
                  <c:v>837.4075040097224</c:v>
                </c:pt>
                <c:pt idx="652">
                  <c:v>837.4075040097224</c:v>
                </c:pt>
                <c:pt idx="653">
                  <c:v>837.4075040097224</c:v>
                </c:pt>
                <c:pt idx="654">
                  <c:v>837.4075040097224</c:v>
                </c:pt>
                <c:pt idx="655">
                  <c:v>837.4075040097224</c:v>
                </c:pt>
                <c:pt idx="656">
                  <c:v>837.4075040097224</c:v>
                </c:pt>
                <c:pt idx="657">
                  <c:v>837.4075040097224</c:v>
                </c:pt>
                <c:pt idx="658">
                  <c:v>837.4075040097224</c:v>
                </c:pt>
                <c:pt idx="659">
                  <c:v>837.4075040097224</c:v>
                </c:pt>
                <c:pt idx="660">
                  <c:v>837.4075040097224</c:v>
                </c:pt>
                <c:pt idx="661">
                  <c:v>837.4075040097224</c:v>
                </c:pt>
                <c:pt idx="662">
                  <c:v>837.4075040097224</c:v>
                </c:pt>
                <c:pt idx="663">
                  <c:v>837.4075040097224</c:v>
                </c:pt>
                <c:pt idx="664">
                  <c:v>837.4075040097224</c:v>
                </c:pt>
                <c:pt idx="665">
                  <c:v>837.4075040097224</c:v>
                </c:pt>
                <c:pt idx="666">
                  <c:v>837.4075040097224</c:v>
                </c:pt>
                <c:pt idx="667">
                  <c:v>837.4075040097224</c:v>
                </c:pt>
                <c:pt idx="668">
                  <c:v>837.4075040097224</c:v>
                </c:pt>
                <c:pt idx="669">
                  <c:v>837.4075040097224</c:v>
                </c:pt>
                <c:pt idx="670">
                  <c:v>837.4075040097224</c:v>
                </c:pt>
                <c:pt idx="671">
                  <c:v>837.4075040097224</c:v>
                </c:pt>
                <c:pt idx="672">
                  <c:v>837.4075040097224</c:v>
                </c:pt>
                <c:pt idx="673">
                  <c:v>837.4075040097224</c:v>
                </c:pt>
                <c:pt idx="674">
                  <c:v>837.4075040097224</c:v>
                </c:pt>
                <c:pt idx="675">
                  <c:v>837.4075040097224</c:v>
                </c:pt>
                <c:pt idx="676">
                  <c:v>837.4075040097224</c:v>
                </c:pt>
                <c:pt idx="677">
                  <c:v>837.4075040097224</c:v>
                </c:pt>
                <c:pt idx="678">
                  <c:v>837.4075040097224</c:v>
                </c:pt>
                <c:pt idx="679">
                  <c:v>837.4075040097224</c:v>
                </c:pt>
                <c:pt idx="680">
                  <c:v>837.4075040097224</c:v>
                </c:pt>
                <c:pt idx="681">
                  <c:v>837.4075040097224</c:v>
                </c:pt>
                <c:pt idx="682">
                  <c:v>837.4075040097224</c:v>
                </c:pt>
                <c:pt idx="683">
                  <c:v>837.4075040097224</c:v>
                </c:pt>
                <c:pt idx="684">
                  <c:v>837.4075040097224</c:v>
                </c:pt>
                <c:pt idx="685">
                  <c:v>837.4075040097224</c:v>
                </c:pt>
                <c:pt idx="686">
                  <c:v>837.4075040097224</c:v>
                </c:pt>
                <c:pt idx="687">
                  <c:v>837.4075040097224</c:v>
                </c:pt>
                <c:pt idx="688">
                  <c:v>837.4075040097224</c:v>
                </c:pt>
                <c:pt idx="689">
                  <c:v>837.4075040097224</c:v>
                </c:pt>
                <c:pt idx="690">
                  <c:v>837.4075040097224</c:v>
                </c:pt>
                <c:pt idx="691">
                  <c:v>837.4075040097224</c:v>
                </c:pt>
                <c:pt idx="692">
                  <c:v>837.4075040097224</c:v>
                </c:pt>
                <c:pt idx="693">
                  <c:v>837.4075040097224</c:v>
                </c:pt>
                <c:pt idx="694">
                  <c:v>837.4075040097224</c:v>
                </c:pt>
                <c:pt idx="695">
                  <c:v>837.4075040097224</c:v>
                </c:pt>
                <c:pt idx="696">
                  <c:v>837.4075040097224</c:v>
                </c:pt>
                <c:pt idx="697">
                  <c:v>837.4075040097224</c:v>
                </c:pt>
                <c:pt idx="698">
                  <c:v>837.4075040097224</c:v>
                </c:pt>
                <c:pt idx="699">
                  <c:v>837.4075040097224</c:v>
                </c:pt>
                <c:pt idx="700">
                  <c:v>837.4075040097224</c:v>
                </c:pt>
                <c:pt idx="701">
                  <c:v>837.4075040097224</c:v>
                </c:pt>
                <c:pt idx="702">
                  <c:v>837.4075040097224</c:v>
                </c:pt>
                <c:pt idx="703">
                  <c:v>837.4075040097224</c:v>
                </c:pt>
                <c:pt idx="704">
                  <c:v>837.4075040097224</c:v>
                </c:pt>
                <c:pt idx="705">
                  <c:v>837.4075040097224</c:v>
                </c:pt>
                <c:pt idx="706">
                  <c:v>837.4075040097224</c:v>
                </c:pt>
                <c:pt idx="707">
                  <c:v>837.4075040097224</c:v>
                </c:pt>
                <c:pt idx="708">
                  <c:v>837.4075040097224</c:v>
                </c:pt>
                <c:pt idx="709">
                  <c:v>837.4075040097224</c:v>
                </c:pt>
                <c:pt idx="710">
                  <c:v>837.4075040097224</c:v>
                </c:pt>
                <c:pt idx="711">
                  <c:v>837.4075040097224</c:v>
                </c:pt>
                <c:pt idx="712">
                  <c:v>837.4075040097224</c:v>
                </c:pt>
                <c:pt idx="713">
                  <c:v>837.4075040097224</c:v>
                </c:pt>
                <c:pt idx="714">
                  <c:v>837.4075040097224</c:v>
                </c:pt>
                <c:pt idx="715">
                  <c:v>837.4075040097224</c:v>
                </c:pt>
                <c:pt idx="716">
                  <c:v>837.4075040097224</c:v>
                </c:pt>
                <c:pt idx="717">
                  <c:v>837.4075040097224</c:v>
                </c:pt>
                <c:pt idx="718">
                  <c:v>837.4075040097224</c:v>
                </c:pt>
                <c:pt idx="719">
                  <c:v>837.4075040097224</c:v>
                </c:pt>
                <c:pt idx="720">
                  <c:v>837.4075040097224</c:v>
                </c:pt>
                <c:pt idx="721">
                  <c:v>837.4075040097224</c:v>
                </c:pt>
                <c:pt idx="722">
                  <c:v>837.4075040097224</c:v>
                </c:pt>
                <c:pt idx="723">
                  <c:v>837.4075040097224</c:v>
                </c:pt>
                <c:pt idx="724">
                  <c:v>837.4075040097224</c:v>
                </c:pt>
                <c:pt idx="725">
                  <c:v>837.4075040097224</c:v>
                </c:pt>
                <c:pt idx="726">
                  <c:v>837.4075040097224</c:v>
                </c:pt>
                <c:pt idx="727">
                  <c:v>837.4075040097224</c:v>
                </c:pt>
                <c:pt idx="728">
                  <c:v>837.4075040097224</c:v>
                </c:pt>
                <c:pt idx="729">
                  <c:v>837.4075040097224</c:v>
                </c:pt>
                <c:pt idx="730">
                  <c:v>837.4075040097224</c:v>
                </c:pt>
                <c:pt idx="731">
                  <c:v>837.4075040097224</c:v>
                </c:pt>
                <c:pt idx="732">
                  <c:v>837.4075040097224</c:v>
                </c:pt>
                <c:pt idx="733">
                  <c:v>837.4075040097224</c:v>
                </c:pt>
                <c:pt idx="734">
                  <c:v>837.4075040097224</c:v>
                </c:pt>
                <c:pt idx="735">
                  <c:v>837.4075040097224</c:v>
                </c:pt>
                <c:pt idx="736">
                  <c:v>837.4075040097224</c:v>
                </c:pt>
                <c:pt idx="737">
                  <c:v>837.4075040097224</c:v>
                </c:pt>
                <c:pt idx="738">
                  <c:v>837.4075040097224</c:v>
                </c:pt>
                <c:pt idx="739">
                  <c:v>837.4075040097224</c:v>
                </c:pt>
                <c:pt idx="740">
                  <c:v>837.4075040097224</c:v>
                </c:pt>
                <c:pt idx="741">
                  <c:v>837.4075040097224</c:v>
                </c:pt>
                <c:pt idx="742">
                  <c:v>837.4075040097224</c:v>
                </c:pt>
                <c:pt idx="743">
                  <c:v>837.4075040097224</c:v>
                </c:pt>
                <c:pt idx="744">
                  <c:v>837.4075040097224</c:v>
                </c:pt>
                <c:pt idx="745">
                  <c:v>837.4075040097224</c:v>
                </c:pt>
                <c:pt idx="746">
                  <c:v>837.4075040097224</c:v>
                </c:pt>
                <c:pt idx="747">
                  <c:v>837.4075040097224</c:v>
                </c:pt>
                <c:pt idx="748">
                  <c:v>837.4075040097224</c:v>
                </c:pt>
                <c:pt idx="749">
                  <c:v>837.4075040097224</c:v>
                </c:pt>
                <c:pt idx="750">
                  <c:v>837.4075040097224</c:v>
                </c:pt>
                <c:pt idx="751">
                  <c:v>837.4075040097224</c:v>
                </c:pt>
                <c:pt idx="752">
                  <c:v>837.4075040097224</c:v>
                </c:pt>
                <c:pt idx="753">
                  <c:v>837.4075040097224</c:v>
                </c:pt>
                <c:pt idx="754">
                  <c:v>837.4075040097224</c:v>
                </c:pt>
                <c:pt idx="755">
                  <c:v>837.4075040097224</c:v>
                </c:pt>
                <c:pt idx="756">
                  <c:v>837.4075040097224</c:v>
                </c:pt>
                <c:pt idx="757">
                  <c:v>837.4075040097224</c:v>
                </c:pt>
                <c:pt idx="758">
                  <c:v>837.4075040097224</c:v>
                </c:pt>
                <c:pt idx="759">
                  <c:v>837.4075040097224</c:v>
                </c:pt>
                <c:pt idx="760">
                  <c:v>837.4075040097224</c:v>
                </c:pt>
                <c:pt idx="761">
                  <c:v>837.4075040097224</c:v>
                </c:pt>
                <c:pt idx="762">
                  <c:v>837.4075040097224</c:v>
                </c:pt>
                <c:pt idx="763">
                  <c:v>837.4075040097224</c:v>
                </c:pt>
                <c:pt idx="764">
                  <c:v>837.4075040097224</c:v>
                </c:pt>
                <c:pt idx="765">
                  <c:v>837.4075040097224</c:v>
                </c:pt>
                <c:pt idx="766">
                  <c:v>837.4075040097224</c:v>
                </c:pt>
                <c:pt idx="767">
                  <c:v>837.4075040097224</c:v>
                </c:pt>
                <c:pt idx="768">
                  <c:v>837.4075040097224</c:v>
                </c:pt>
                <c:pt idx="769">
                  <c:v>837.4075040097224</c:v>
                </c:pt>
                <c:pt idx="770">
                  <c:v>837.4075040097224</c:v>
                </c:pt>
                <c:pt idx="771">
                  <c:v>837.4075040097224</c:v>
                </c:pt>
                <c:pt idx="772">
                  <c:v>837.4075040097224</c:v>
                </c:pt>
                <c:pt idx="773">
                  <c:v>837.4075040097224</c:v>
                </c:pt>
                <c:pt idx="774">
                  <c:v>837.4075040097224</c:v>
                </c:pt>
                <c:pt idx="775">
                  <c:v>837.4075040097224</c:v>
                </c:pt>
                <c:pt idx="776">
                  <c:v>837.4075040097224</c:v>
                </c:pt>
                <c:pt idx="777">
                  <c:v>837.4075040097224</c:v>
                </c:pt>
                <c:pt idx="778">
                  <c:v>837.4075040097224</c:v>
                </c:pt>
                <c:pt idx="779">
                  <c:v>837.4075040097224</c:v>
                </c:pt>
                <c:pt idx="780">
                  <c:v>837.4075040097224</c:v>
                </c:pt>
                <c:pt idx="781">
                  <c:v>837.4075040097224</c:v>
                </c:pt>
                <c:pt idx="782">
                  <c:v>837.4075040097224</c:v>
                </c:pt>
                <c:pt idx="783">
                  <c:v>837.4075040097224</c:v>
                </c:pt>
                <c:pt idx="784">
                  <c:v>837.4075040097224</c:v>
                </c:pt>
                <c:pt idx="785">
                  <c:v>837.4075040097224</c:v>
                </c:pt>
                <c:pt idx="786">
                  <c:v>837.4075040097224</c:v>
                </c:pt>
                <c:pt idx="787">
                  <c:v>837.4075040097224</c:v>
                </c:pt>
                <c:pt idx="788">
                  <c:v>837.4075040097224</c:v>
                </c:pt>
                <c:pt idx="789">
                  <c:v>837.4075040097224</c:v>
                </c:pt>
                <c:pt idx="790">
                  <c:v>837.4075040097224</c:v>
                </c:pt>
                <c:pt idx="791">
                  <c:v>837.4075040097224</c:v>
                </c:pt>
                <c:pt idx="792">
                  <c:v>837.4075040097224</c:v>
                </c:pt>
                <c:pt idx="793">
                  <c:v>837.4075040097224</c:v>
                </c:pt>
                <c:pt idx="794">
                  <c:v>837.4075040097224</c:v>
                </c:pt>
                <c:pt idx="795">
                  <c:v>837.4075040097224</c:v>
                </c:pt>
                <c:pt idx="796">
                  <c:v>837.4075040097224</c:v>
                </c:pt>
                <c:pt idx="797">
                  <c:v>837.4075040097224</c:v>
                </c:pt>
                <c:pt idx="798">
                  <c:v>837.4075040097224</c:v>
                </c:pt>
                <c:pt idx="799">
                  <c:v>837.4075040097224</c:v>
                </c:pt>
                <c:pt idx="800">
                  <c:v>837.4075040097224</c:v>
                </c:pt>
                <c:pt idx="801">
                  <c:v>837.4075040097224</c:v>
                </c:pt>
                <c:pt idx="802">
                  <c:v>837.4075040097224</c:v>
                </c:pt>
                <c:pt idx="803">
                  <c:v>837.4075040097224</c:v>
                </c:pt>
                <c:pt idx="804">
                  <c:v>837.4075040097224</c:v>
                </c:pt>
                <c:pt idx="805">
                  <c:v>837.4075040097224</c:v>
                </c:pt>
                <c:pt idx="806">
                  <c:v>837.4075040097224</c:v>
                </c:pt>
                <c:pt idx="807">
                  <c:v>837.4075040097224</c:v>
                </c:pt>
                <c:pt idx="808">
                  <c:v>837.4075040097224</c:v>
                </c:pt>
                <c:pt idx="809">
                  <c:v>837.4075040097224</c:v>
                </c:pt>
                <c:pt idx="810">
                  <c:v>837.4075040097224</c:v>
                </c:pt>
                <c:pt idx="811">
                  <c:v>837.4075040097224</c:v>
                </c:pt>
                <c:pt idx="812">
                  <c:v>837.4075040097224</c:v>
                </c:pt>
                <c:pt idx="813">
                  <c:v>837.4075040097224</c:v>
                </c:pt>
                <c:pt idx="814">
                  <c:v>837.4075040097224</c:v>
                </c:pt>
                <c:pt idx="815">
                  <c:v>837.4075040097224</c:v>
                </c:pt>
                <c:pt idx="816">
                  <c:v>837.4075040097224</c:v>
                </c:pt>
                <c:pt idx="817">
                  <c:v>837.4075040097224</c:v>
                </c:pt>
                <c:pt idx="818">
                  <c:v>837.4075040097224</c:v>
                </c:pt>
                <c:pt idx="819">
                  <c:v>837.4075040097224</c:v>
                </c:pt>
                <c:pt idx="820">
                  <c:v>837.4075040097224</c:v>
                </c:pt>
                <c:pt idx="821">
                  <c:v>837.4075040097224</c:v>
                </c:pt>
                <c:pt idx="822">
                  <c:v>837.4075040097224</c:v>
                </c:pt>
                <c:pt idx="823">
                  <c:v>837.4075040097224</c:v>
                </c:pt>
                <c:pt idx="824">
                  <c:v>837.4075040097224</c:v>
                </c:pt>
                <c:pt idx="825">
                  <c:v>837.4075040097224</c:v>
                </c:pt>
                <c:pt idx="826">
                  <c:v>837.4075040097224</c:v>
                </c:pt>
                <c:pt idx="827">
                  <c:v>837.4075040097224</c:v>
                </c:pt>
                <c:pt idx="828">
                  <c:v>837.4075040097224</c:v>
                </c:pt>
                <c:pt idx="829">
                  <c:v>837.4075040097224</c:v>
                </c:pt>
                <c:pt idx="830">
                  <c:v>837.4075040097224</c:v>
                </c:pt>
                <c:pt idx="831">
                  <c:v>837.4075040097224</c:v>
                </c:pt>
                <c:pt idx="832">
                  <c:v>837.4075040097224</c:v>
                </c:pt>
                <c:pt idx="833">
                  <c:v>837.4075040097224</c:v>
                </c:pt>
                <c:pt idx="834">
                  <c:v>837.4075040097224</c:v>
                </c:pt>
                <c:pt idx="835">
                  <c:v>837.4075040097224</c:v>
                </c:pt>
                <c:pt idx="836">
                  <c:v>837.4075040097224</c:v>
                </c:pt>
                <c:pt idx="837">
                  <c:v>837.4075040097224</c:v>
                </c:pt>
                <c:pt idx="838">
                  <c:v>837.4075040097224</c:v>
                </c:pt>
                <c:pt idx="839">
                  <c:v>837.4075040097224</c:v>
                </c:pt>
                <c:pt idx="840">
                  <c:v>837.4075040097224</c:v>
                </c:pt>
                <c:pt idx="841">
                  <c:v>837.4075040097224</c:v>
                </c:pt>
                <c:pt idx="842">
                  <c:v>837.4075040097224</c:v>
                </c:pt>
                <c:pt idx="843">
                  <c:v>837.4075040097224</c:v>
                </c:pt>
                <c:pt idx="844">
                  <c:v>837.4075040097224</c:v>
                </c:pt>
                <c:pt idx="845">
                  <c:v>837.4075040097224</c:v>
                </c:pt>
                <c:pt idx="846">
                  <c:v>837.4075040097224</c:v>
                </c:pt>
                <c:pt idx="847">
                  <c:v>837.4075040097224</c:v>
                </c:pt>
                <c:pt idx="848">
                  <c:v>837.4075040097224</c:v>
                </c:pt>
                <c:pt idx="849">
                  <c:v>837.4075040097224</c:v>
                </c:pt>
                <c:pt idx="850">
                  <c:v>837.4075040097224</c:v>
                </c:pt>
                <c:pt idx="851">
                  <c:v>837.4075040097224</c:v>
                </c:pt>
                <c:pt idx="852">
                  <c:v>837.4075040097224</c:v>
                </c:pt>
                <c:pt idx="853">
                  <c:v>837.4075040097224</c:v>
                </c:pt>
                <c:pt idx="854">
                  <c:v>837.4075040097224</c:v>
                </c:pt>
                <c:pt idx="855">
                  <c:v>837.4075040097224</c:v>
                </c:pt>
                <c:pt idx="856">
                  <c:v>837.4075040097224</c:v>
                </c:pt>
                <c:pt idx="857">
                  <c:v>837.4075040097224</c:v>
                </c:pt>
                <c:pt idx="858">
                  <c:v>837.4075040097224</c:v>
                </c:pt>
                <c:pt idx="859">
                  <c:v>837.4075040097224</c:v>
                </c:pt>
                <c:pt idx="860">
                  <c:v>837.4075040097224</c:v>
                </c:pt>
                <c:pt idx="861">
                  <c:v>837.4075040097224</c:v>
                </c:pt>
                <c:pt idx="862">
                  <c:v>837.4075040097224</c:v>
                </c:pt>
                <c:pt idx="863">
                  <c:v>837.4075040097224</c:v>
                </c:pt>
                <c:pt idx="864">
                  <c:v>837.4075040097224</c:v>
                </c:pt>
                <c:pt idx="865">
                  <c:v>837.4075040097224</c:v>
                </c:pt>
                <c:pt idx="866">
                  <c:v>837.4075040097224</c:v>
                </c:pt>
                <c:pt idx="867">
                  <c:v>837.4075040097224</c:v>
                </c:pt>
                <c:pt idx="868">
                  <c:v>837.4075040097224</c:v>
                </c:pt>
                <c:pt idx="869">
                  <c:v>837.4075040097224</c:v>
                </c:pt>
                <c:pt idx="870">
                  <c:v>837.4075040097224</c:v>
                </c:pt>
                <c:pt idx="871">
                  <c:v>837.4075040097224</c:v>
                </c:pt>
                <c:pt idx="872">
                  <c:v>837.4075040097224</c:v>
                </c:pt>
                <c:pt idx="873">
                  <c:v>837.4075040097224</c:v>
                </c:pt>
                <c:pt idx="874">
                  <c:v>837.4075040097224</c:v>
                </c:pt>
                <c:pt idx="875">
                  <c:v>837.4075040097224</c:v>
                </c:pt>
                <c:pt idx="876">
                  <c:v>837.4075040097224</c:v>
                </c:pt>
                <c:pt idx="877">
                  <c:v>837.4075040097224</c:v>
                </c:pt>
                <c:pt idx="878">
                  <c:v>837.4075040097224</c:v>
                </c:pt>
                <c:pt idx="879">
                  <c:v>837.4075040097224</c:v>
                </c:pt>
                <c:pt idx="880">
                  <c:v>837.4075040097224</c:v>
                </c:pt>
                <c:pt idx="881">
                  <c:v>837.4075040097224</c:v>
                </c:pt>
                <c:pt idx="882">
                  <c:v>837.4075040097224</c:v>
                </c:pt>
                <c:pt idx="883">
                  <c:v>837.4075040097224</c:v>
                </c:pt>
                <c:pt idx="884">
                  <c:v>837.4075040097224</c:v>
                </c:pt>
                <c:pt idx="885">
                  <c:v>837.4075040097224</c:v>
                </c:pt>
                <c:pt idx="886">
                  <c:v>837.4075040097224</c:v>
                </c:pt>
                <c:pt idx="887">
                  <c:v>837.4075040097224</c:v>
                </c:pt>
                <c:pt idx="888">
                  <c:v>837.4075040097224</c:v>
                </c:pt>
                <c:pt idx="889">
                  <c:v>837.4075040097224</c:v>
                </c:pt>
                <c:pt idx="890">
                  <c:v>837.4075040097224</c:v>
                </c:pt>
                <c:pt idx="891">
                  <c:v>837.4075040097224</c:v>
                </c:pt>
                <c:pt idx="892">
                  <c:v>837.4075040097224</c:v>
                </c:pt>
                <c:pt idx="893">
                  <c:v>837.4075040097224</c:v>
                </c:pt>
                <c:pt idx="894">
                  <c:v>837.4075040097224</c:v>
                </c:pt>
                <c:pt idx="895">
                  <c:v>837.4075040097224</c:v>
                </c:pt>
                <c:pt idx="896">
                  <c:v>837.4075040097224</c:v>
                </c:pt>
                <c:pt idx="897">
                  <c:v>837.4075040097224</c:v>
                </c:pt>
                <c:pt idx="898">
                  <c:v>837.4075040097224</c:v>
                </c:pt>
                <c:pt idx="899">
                  <c:v>837.4075040097224</c:v>
                </c:pt>
                <c:pt idx="900">
                  <c:v>837.4075040097224</c:v>
                </c:pt>
                <c:pt idx="901">
                  <c:v>837.4075040097224</c:v>
                </c:pt>
                <c:pt idx="902">
                  <c:v>837.4075040097224</c:v>
                </c:pt>
                <c:pt idx="903">
                  <c:v>837.4075040097224</c:v>
                </c:pt>
                <c:pt idx="904">
                  <c:v>837.4075040097224</c:v>
                </c:pt>
                <c:pt idx="905">
                  <c:v>837.4075040097224</c:v>
                </c:pt>
                <c:pt idx="906">
                  <c:v>837.4075040097224</c:v>
                </c:pt>
                <c:pt idx="907">
                  <c:v>837.4075040097224</c:v>
                </c:pt>
                <c:pt idx="908">
                  <c:v>837.4075040097224</c:v>
                </c:pt>
                <c:pt idx="909">
                  <c:v>837.4075040097224</c:v>
                </c:pt>
                <c:pt idx="910">
                  <c:v>837.4075040097224</c:v>
                </c:pt>
                <c:pt idx="911">
                  <c:v>837.4075040097224</c:v>
                </c:pt>
                <c:pt idx="912">
                  <c:v>837.4075040097224</c:v>
                </c:pt>
                <c:pt idx="913">
                  <c:v>837.4075040097224</c:v>
                </c:pt>
                <c:pt idx="914">
                  <c:v>837.4075040097224</c:v>
                </c:pt>
                <c:pt idx="915">
                  <c:v>837.4075040097224</c:v>
                </c:pt>
                <c:pt idx="916">
                  <c:v>837.4075040097224</c:v>
                </c:pt>
                <c:pt idx="917">
                  <c:v>837.4075040097224</c:v>
                </c:pt>
                <c:pt idx="918">
                  <c:v>837.4075040097224</c:v>
                </c:pt>
                <c:pt idx="919">
                  <c:v>837.4075040097224</c:v>
                </c:pt>
                <c:pt idx="920">
                  <c:v>837.4075040097224</c:v>
                </c:pt>
                <c:pt idx="921">
                  <c:v>837.4075040097224</c:v>
                </c:pt>
                <c:pt idx="922">
                  <c:v>837.4075040097224</c:v>
                </c:pt>
                <c:pt idx="923">
                  <c:v>837.4075040097224</c:v>
                </c:pt>
                <c:pt idx="924">
                  <c:v>837.4075040097224</c:v>
                </c:pt>
                <c:pt idx="925">
                  <c:v>837.4075040097224</c:v>
                </c:pt>
                <c:pt idx="926">
                  <c:v>837.4075040097224</c:v>
                </c:pt>
                <c:pt idx="927">
                  <c:v>837.4075040097224</c:v>
                </c:pt>
                <c:pt idx="928">
                  <c:v>837.4075040097224</c:v>
                </c:pt>
                <c:pt idx="929">
                  <c:v>837.4075040097224</c:v>
                </c:pt>
                <c:pt idx="930">
                  <c:v>837.4075040097224</c:v>
                </c:pt>
                <c:pt idx="931">
                  <c:v>837.4075040097224</c:v>
                </c:pt>
                <c:pt idx="932">
                  <c:v>837.4075040097224</c:v>
                </c:pt>
                <c:pt idx="933">
                  <c:v>837.4075040097224</c:v>
                </c:pt>
                <c:pt idx="934">
                  <c:v>837.4075040097224</c:v>
                </c:pt>
                <c:pt idx="935">
                  <c:v>837.4075040097224</c:v>
                </c:pt>
                <c:pt idx="936">
                  <c:v>837.4075040097224</c:v>
                </c:pt>
                <c:pt idx="937">
                  <c:v>837.4075040097224</c:v>
                </c:pt>
                <c:pt idx="938">
                  <c:v>837.4075040097224</c:v>
                </c:pt>
                <c:pt idx="939">
                  <c:v>837.4075040097224</c:v>
                </c:pt>
                <c:pt idx="940">
                  <c:v>837.4075040097224</c:v>
                </c:pt>
                <c:pt idx="941">
                  <c:v>837.4075040097224</c:v>
                </c:pt>
                <c:pt idx="942">
                  <c:v>837.4075040097224</c:v>
                </c:pt>
                <c:pt idx="943">
                  <c:v>837.4075040097224</c:v>
                </c:pt>
                <c:pt idx="944">
                  <c:v>837.4075040097224</c:v>
                </c:pt>
                <c:pt idx="945">
                  <c:v>837.4075040097224</c:v>
                </c:pt>
                <c:pt idx="946">
                  <c:v>837.4075040097224</c:v>
                </c:pt>
                <c:pt idx="947">
                  <c:v>837.4075040097224</c:v>
                </c:pt>
                <c:pt idx="948">
                  <c:v>837.4075040097224</c:v>
                </c:pt>
                <c:pt idx="949">
                  <c:v>837.4075040097224</c:v>
                </c:pt>
                <c:pt idx="950">
                  <c:v>837.4075040097224</c:v>
                </c:pt>
                <c:pt idx="951">
                  <c:v>837.4075040097224</c:v>
                </c:pt>
                <c:pt idx="952">
                  <c:v>837.4075040097224</c:v>
                </c:pt>
                <c:pt idx="953">
                  <c:v>837.4075040097224</c:v>
                </c:pt>
                <c:pt idx="954">
                  <c:v>837.4075040097224</c:v>
                </c:pt>
                <c:pt idx="955">
                  <c:v>837.4075040097224</c:v>
                </c:pt>
                <c:pt idx="956">
                  <c:v>837.4075040097224</c:v>
                </c:pt>
                <c:pt idx="957">
                  <c:v>837.4075040097224</c:v>
                </c:pt>
                <c:pt idx="958">
                  <c:v>837.4075040097224</c:v>
                </c:pt>
                <c:pt idx="959">
                  <c:v>837.4075040097224</c:v>
                </c:pt>
                <c:pt idx="960">
                  <c:v>837.4075040097224</c:v>
                </c:pt>
                <c:pt idx="961">
                  <c:v>837.4075040097224</c:v>
                </c:pt>
                <c:pt idx="962">
                  <c:v>837.4075040097224</c:v>
                </c:pt>
                <c:pt idx="963">
                  <c:v>837.4075040097224</c:v>
                </c:pt>
                <c:pt idx="964">
                  <c:v>837.4075040097224</c:v>
                </c:pt>
                <c:pt idx="965">
                  <c:v>837.4075040097224</c:v>
                </c:pt>
                <c:pt idx="966">
                  <c:v>837.4075040097224</c:v>
                </c:pt>
                <c:pt idx="967">
                  <c:v>837.4075040097224</c:v>
                </c:pt>
                <c:pt idx="968">
                  <c:v>837.4075040097224</c:v>
                </c:pt>
                <c:pt idx="969">
                  <c:v>837.4075040097224</c:v>
                </c:pt>
                <c:pt idx="970">
                  <c:v>837.4075040097224</c:v>
                </c:pt>
                <c:pt idx="971">
                  <c:v>837.4075040097224</c:v>
                </c:pt>
                <c:pt idx="972">
                  <c:v>837.4075040097224</c:v>
                </c:pt>
                <c:pt idx="973">
                  <c:v>837.4075040097224</c:v>
                </c:pt>
                <c:pt idx="974">
                  <c:v>837.4075040097224</c:v>
                </c:pt>
                <c:pt idx="975">
                  <c:v>837.4075040097224</c:v>
                </c:pt>
                <c:pt idx="976">
                  <c:v>837.4075040097224</c:v>
                </c:pt>
                <c:pt idx="977">
                  <c:v>837.4075040097224</c:v>
                </c:pt>
                <c:pt idx="978">
                  <c:v>837.4075040097224</c:v>
                </c:pt>
                <c:pt idx="979">
                  <c:v>837.4075040097224</c:v>
                </c:pt>
                <c:pt idx="980">
                  <c:v>837.4075040097224</c:v>
                </c:pt>
                <c:pt idx="981">
                  <c:v>837.4075040097224</c:v>
                </c:pt>
                <c:pt idx="982">
                  <c:v>837.4075040097224</c:v>
                </c:pt>
                <c:pt idx="983">
                  <c:v>837.4075040097224</c:v>
                </c:pt>
                <c:pt idx="984">
                  <c:v>837.4075040097224</c:v>
                </c:pt>
                <c:pt idx="985">
                  <c:v>837.4075040097224</c:v>
                </c:pt>
                <c:pt idx="986">
                  <c:v>837.4075040097224</c:v>
                </c:pt>
                <c:pt idx="987">
                  <c:v>837.4075040097224</c:v>
                </c:pt>
                <c:pt idx="988">
                  <c:v>837.4075040097224</c:v>
                </c:pt>
                <c:pt idx="989">
                  <c:v>837.4075040097224</c:v>
                </c:pt>
                <c:pt idx="990">
                  <c:v>837.4075040097224</c:v>
                </c:pt>
                <c:pt idx="991">
                  <c:v>837.4075040097224</c:v>
                </c:pt>
                <c:pt idx="992">
                  <c:v>837.4075040097224</c:v>
                </c:pt>
                <c:pt idx="993">
                  <c:v>837.4075040097224</c:v>
                </c:pt>
                <c:pt idx="994">
                  <c:v>837.4075040097224</c:v>
                </c:pt>
                <c:pt idx="995">
                  <c:v>837.4075040097224</c:v>
                </c:pt>
                <c:pt idx="996">
                  <c:v>837.4075040097224</c:v>
                </c:pt>
                <c:pt idx="997">
                  <c:v>837.4075040097224</c:v>
                </c:pt>
                <c:pt idx="998">
                  <c:v>837.4075040097224</c:v>
                </c:pt>
                <c:pt idx="999">
                  <c:v>837.4075040097224</c:v>
                </c:pt>
                <c:pt idx="1000">
                  <c:v>837.4075040097224</c:v>
                </c:pt>
              </c:numCache>
            </c:numRef>
          </c:xVal>
          <c:yVal>
            <c:numRef>
              <c:f>Calculs!$AE$4:$AE$1004</c:f>
              <c:numCache>
                <c:formatCode>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125.75094586193764</c:v>
                </c:pt>
              </c:numCache>
            </c:numRef>
          </c:xVal>
          <c:yVal>
            <c:numRef>
              <c:f>Trajecto!$C$158</c:f>
              <c:numCache>
                <c:formatCode>0</c:formatCode>
                <c:ptCount val="1"/>
                <c:pt idx="0">
                  <c:v>719.08545895399982</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725.9395971557318</c:v>
                </c:pt>
              </c:numCache>
            </c:numRef>
          </c:xVal>
          <c:yVal>
            <c:numRef>
              <c:f>Trajecto!$C$159</c:f>
              <c:numCache>
                <c:formatCode>0</c:formatCode>
                <c:ptCount val="1"/>
                <c:pt idx="0">
                  <c:v>719.08545895399982</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{379FCC46-B5D1-405E-AC8C-9B8C5ED47E97}</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503.00378344775055</c:v>
                </c:pt>
                <c:pt idx="1">
                  <c:v>526.00378344775049</c:v>
                </c:pt>
                <c:pt idx="2">
                  <c:v>526.00378344775049</c:v>
                </c:pt>
                <c:pt idx="3">
                  <c:v>503.00378344775055</c:v>
                </c:pt>
                <c:pt idx="4">
                  <c:v>526.00378344775049</c:v>
                </c:pt>
                <c:pt idx="5">
                  <c:v>526.00378344775049</c:v>
                </c:pt>
                <c:pt idx="6">
                  <c:v>511.00378344775055</c:v>
                </c:pt>
                <c:pt idx="7">
                  <c:v>511.00378344775055</c:v>
                </c:pt>
                <c:pt idx="8">
                  <c:v>526.00378344775049</c:v>
                </c:pt>
                <c:pt idx="9">
                  <c:v>511.00378344775055</c:v>
                </c:pt>
                <c:pt idx="10">
                  <c:v>510.60378344775057</c:v>
                </c:pt>
                <c:pt idx="11">
                  <c:v>509.80378344775056</c:v>
                </c:pt>
                <c:pt idx="12">
                  <c:v>509.00378344775055</c:v>
                </c:pt>
                <c:pt idx="13">
                  <c:v>508.00378344775055</c:v>
                </c:pt>
                <c:pt idx="14">
                  <c:v>506.80378344775056</c:v>
                </c:pt>
                <c:pt idx="15">
                  <c:v>503.00378344775055</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503.00378344775055</c:v>
                </c:pt>
                <c:pt idx="1">
                  <c:v>480.00378344775055</c:v>
                </c:pt>
                <c:pt idx="2">
                  <c:v>480.00378344775055</c:v>
                </c:pt>
                <c:pt idx="3">
                  <c:v>503.00378344775055</c:v>
                </c:pt>
                <c:pt idx="4">
                  <c:v>480.00378344775055</c:v>
                </c:pt>
                <c:pt idx="5">
                  <c:v>480.00378344775055</c:v>
                </c:pt>
                <c:pt idx="6">
                  <c:v>495.00378344775055</c:v>
                </c:pt>
                <c:pt idx="7">
                  <c:v>495.00378344775055</c:v>
                </c:pt>
                <c:pt idx="8">
                  <c:v>480.00378344775055</c:v>
                </c:pt>
                <c:pt idx="9">
                  <c:v>495.00378344775055</c:v>
                </c:pt>
                <c:pt idx="10">
                  <c:v>495.40378344775053</c:v>
                </c:pt>
                <c:pt idx="11">
                  <c:v>496.20378344775054</c:v>
                </c:pt>
                <c:pt idx="12">
                  <c:v>497.00378344775055</c:v>
                </c:pt>
                <c:pt idx="13">
                  <c:v>498.00378344775055</c:v>
                </c:pt>
                <c:pt idx="14">
                  <c:v>499.20378344775054</c:v>
                </c:pt>
                <c:pt idx="15">
                  <c:v>503.00378344775055</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{57A1D9F8-35B8-430A-A514-0A3569841EDF}</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503.00378344775055</c:v>
                </c:pt>
                <c:pt idx="1">
                  <c:v>503.00378344775055</c:v>
                </c:pt>
                <c:pt idx="2">
                  <c:v>513.00378344775049</c:v>
                </c:pt>
                <c:pt idx="3">
                  <c:v>503.00378344775055</c:v>
                </c:pt>
                <c:pt idx="4">
                  <c:v>513.00378344775049</c:v>
                </c:pt>
                <c:pt idx="5">
                  <c:v>516.00378344775049</c:v>
                </c:pt>
                <c:pt idx="6">
                  <c:v>520.00378344775049</c:v>
                </c:pt>
                <c:pt idx="7">
                  <c:v>523.00378344775049</c:v>
                </c:pt>
                <c:pt idx="8">
                  <c:v>528.00378344775049</c:v>
                </c:pt>
                <c:pt idx="9">
                  <c:v>533.00378344775049</c:v>
                </c:pt>
                <c:pt idx="10">
                  <c:v>539.00378344775049</c:v>
                </c:pt>
                <c:pt idx="11">
                  <c:v>551.00378344775049</c:v>
                </c:pt>
                <c:pt idx="12">
                  <c:v>565.00378344775049</c:v>
                </c:pt>
                <c:pt idx="13">
                  <c:v>540.00378344775049</c:v>
                </c:pt>
                <c:pt idx="14">
                  <c:v>533.00378344775049</c:v>
                </c:pt>
                <c:pt idx="15">
                  <c:v>518.00378344775049</c:v>
                </c:pt>
                <c:pt idx="16">
                  <c:v>503.00378344775055</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503.00378344775055</c:v>
                </c:pt>
                <c:pt idx="1">
                  <c:v>503.00378344775055</c:v>
                </c:pt>
                <c:pt idx="2">
                  <c:v>493.00378344775055</c:v>
                </c:pt>
                <c:pt idx="3">
                  <c:v>503.00378344775055</c:v>
                </c:pt>
                <c:pt idx="4">
                  <c:v>493.00378344775055</c:v>
                </c:pt>
                <c:pt idx="5">
                  <c:v>490.00378344775055</c:v>
                </c:pt>
                <c:pt idx="6">
                  <c:v>486.00378344775055</c:v>
                </c:pt>
                <c:pt idx="7">
                  <c:v>483.00378344775055</c:v>
                </c:pt>
                <c:pt idx="8">
                  <c:v>478.00378344775055</c:v>
                </c:pt>
                <c:pt idx="9">
                  <c:v>473.00378344775055</c:v>
                </c:pt>
                <c:pt idx="10">
                  <c:v>467.00378344775055</c:v>
                </c:pt>
                <c:pt idx="11">
                  <c:v>455.00378344775055</c:v>
                </c:pt>
                <c:pt idx="12">
                  <c:v>441.00378344775055</c:v>
                </c:pt>
                <c:pt idx="13">
                  <c:v>466.00378344775055</c:v>
                </c:pt>
                <c:pt idx="14">
                  <c:v>473.00378344775055</c:v>
                </c:pt>
                <c:pt idx="15">
                  <c:v>488.00378344775055</c:v>
                </c:pt>
                <c:pt idx="16">
                  <c:v>503.00378344775055</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503.00378344775055</c:v>
                </c:pt>
                <c:pt idx="1">
                  <c:v>520.00378344775049</c:v>
                </c:pt>
                <c:pt idx="2">
                  <c:v>514.00378344775049</c:v>
                </c:pt>
                <c:pt idx="3">
                  <c:v>503.00378344775055</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503.00378344775055</c:v>
                </c:pt>
                <c:pt idx="1">
                  <c:v>486.00378344775055</c:v>
                </c:pt>
                <c:pt idx="2">
                  <c:v>492.00378344775055</c:v>
                </c:pt>
                <c:pt idx="3">
                  <c:v>503.00378344775055</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{CB0FC911-E997-4961-B4D2-4E716335D60E}</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503.00378344775055</c:v>
                </c:pt>
                <c:pt idx="1">
                  <c:v>503.00378344775055</c:v>
                </c:pt>
                <c:pt idx="2">
                  <c:v>503.00378344775055</c:v>
                </c:pt>
                <c:pt idx="3">
                  <c:v>538.95805639545051</c:v>
                </c:pt>
                <c:pt idx="4">
                  <c:v>503.00378344775055</c:v>
                </c:pt>
                <c:pt idx="5">
                  <c:v>467.04951050005059</c:v>
                </c:pt>
                <c:pt idx="6">
                  <c:v>503.00378344775055</c:v>
                </c:pt>
              </c:numCache>
            </c:numRef>
          </c:xVal>
          <c:yVal>
            <c:numRef>
              <c:f>Trajecto!$C$124:$C$130</c:f>
              <c:numCache>
                <c:formatCode>0</c:formatCode>
                <c:ptCount val="7"/>
                <c:pt idx="0">
                  <c:v>1438.1709179079996</c:v>
                </c:pt>
                <c:pt idx="1">
                  <c:v>719.08545895399982</c:v>
                </c:pt>
                <c:pt idx="2">
                  <c:v>0</c:v>
                </c:pt>
                <c:pt idx="3">
                  <c:v>71.908545895399982</c:v>
                </c:pt>
                <c:pt idx="4">
                  <c:v>0</c:v>
                </c:pt>
                <c:pt idx="5">
                  <c:v>71.908545895399982</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1438.1709179079996</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4.9999999999999911</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5.9999999999999698</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6.9999999999999556</c:v>
                </c:pt>
                <c:pt idx="205">
                  <c:v>#N/A</c:v>
                </c:pt>
                <c:pt idx="206">
                  <c:v>#N/A</c:v>
                </c:pt>
                <c:pt idx="207">
                  <c:v>#N/A</c:v>
                </c:pt>
                <c:pt idx="208">
                  <c:v>#N/A</c:v>
                </c:pt>
                <c:pt idx="209">
                  <c:v>#N/A</c:v>
                </c:pt>
                <c:pt idx="210">
                  <c:v>#N/A</c:v>
                </c:pt>
                <c:pt idx="211">
                  <c:v>#N/A</c:v>
                </c:pt>
                <c:pt idx="212">
                  <c:v>#N/A</c:v>
                </c:pt>
                <c:pt idx="213">
                  <c:v>#N/A</c:v>
                </c:pt>
                <c:pt idx="214">
                  <c:v>7.999999999999952</c:v>
                </c:pt>
                <c:pt idx="215">
                  <c:v>#N/A</c:v>
                </c:pt>
                <c:pt idx="216">
                  <c:v>#N/A</c:v>
                </c:pt>
                <c:pt idx="217">
                  <c:v>#N/A</c:v>
                </c:pt>
                <c:pt idx="218">
                  <c:v>#N/A</c:v>
                </c:pt>
                <c:pt idx="219">
                  <c:v>#N/A</c:v>
                </c:pt>
                <c:pt idx="220">
                  <c:v>#N/A</c:v>
                </c:pt>
                <c:pt idx="221">
                  <c:v>#N/A</c:v>
                </c:pt>
                <c:pt idx="222">
                  <c:v>#N/A</c:v>
                </c:pt>
                <c:pt idx="223">
                  <c:v>#N/A</c:v>
                </c:pt>
                <c:pt idx="224">
                  <c:v>8.9999999999999485</c:v>
                </c:pt>
                <c:pt idx="225">
                  <c:v>#N/A</c:v>
                </c:pt>
                <c:pt idx="226">
                  <c:v>#N/A</c:v>
                </c:pt>
                <c:pt idx="227">
                  <c:v>#N/A</c:v>
                </c:pt>
                <c:pt idx="228">
                  <c:v>#N/A</c:v>
                </c:pt>
                <c:pt idx="229">
                  <c:v>#N/A</c:v>
                </c:pt>
                <c:pt idx="230">
                  <c:v>#N/A</c:v>
                </c:pt>
                <c:pt idx="231">
                  <c:v>#N/A</c:v>
                </c:pt>
                <c:pt idx="232">
                  <c:v>#N/A</c:v>
                </c:pt>
                <c:pt idx="233">
                  <c:v>#N/A</c:v>
                </c:pt>
                <c:pt idx="234">
                  <c:v>9.9999999999999449</c:v>
                </c:pt>
                <c:pt idx="235">
                  <c:v>#N/A</c:v>
                </c:pt>
                <c:pt idx="236">
                  <c:v>#N/A</c:v>
                </c:pt>
                <c:pt idx="237">
                  <c:v>#N/A</c:v>
                </c:pt>
                <c:pt idx="238">
                  <c:v>#N/A</c:v>
                </c:pt>
                <c:pt idx="239">
                  <c:v>#N/A</c:v>
                </c:pt>
                <c:pt idx="240">
                  <c:v>#N/A</c:v>
                </c:pt>
                <c:pt idx="241">
                  <c:v>#N/A</c:v>
                </c:pt>
                <c:pt idx="242">
                  <c:v>#N/A</c:v>
                </c:pt>
                <c:pt idx="243">
                  <c:v>#N/A</c:v>
                </c:pt>
                <c:pt idx="244">
                  <c:v>10.999999999999941</c:v>
                </c:pt>
                <c:pt idx="245">
                  <c:v>#N/A</c:v>
                </c:pt>
                <c:pt idx="246">
                  <c:v>#N/A</c:v>
                </c:pt>
                <c:pt idx="247">
                  <c:v>#N/A</c:v>
                </c:pt>
                <c:pt idx="248">
                  <c:v>#N/A</c:v>
                </c:pt>
                <c:pt idx="249">
                  <c:v>#N/A</c:v>
                </c:pt>
                <c:pt idx="250">
                  <c:v>#N/A</c:v>
                </c:pt>
                <c:pt idx="251">
                  <c:v>#N/A</c:v>
                </c:pt>
                <c:pt idx="252">
                  <c:v>#N/A</c:v>
                </c:pt>
                <c:pt idx="253">
                  <c:v>#N/A</c:v>
                </c:pt>
                <c:pt idx="254">
                  <c:v>11.999999999999938</c:v>
                </c:pt>
                <c:pt idx="255">
                  <c:v>#N/A</c:v>
                </c:pt>
                <c:pt idx="256">
                  <c:v>#N/A</c:v>
                </c:pt>
                <c:pt idx="257">
                  <c:v>#N/A</c:v>
                </c:pt>
                <c:pt idx="258">
                  <c:v>#N/A</c:v>
                </c:pt>
                <c:pt idx="259">
                  <c:v>#N/A</c:v>
                </c:pt>
                <c:pt idx="260">
                  <c:v>#N/A</c:v>
                </c:pt>
                <c:pt idx="261">
                  <c:v>#N/A</c:v>
                </c:pt>
                <c:pt idx="262">
                  <c:v>#N/A</c:v>
                </c:pt>
                <c:pt idx="263">
                  <c:v>#N/A</c:v>
                </c:pt>
                <c:pt idx="264">
                  <c:v>12.999999999999934</c:v>
                </c:pt>
                <c:pt idx="265">
                  <c:v>#N/A</c:v>
                </c:pt>
                <c:pt idx="266">
                  <c:v>#N/A</c:v>
                </c:pt>
                <c:pt idx="267">
                  <c:v>#N/A</c:v>
                </c:pt>
                <c:pt idx="268">
                  <c:v>#N/A</c:v>
                </c:pt>
                <c:pt idx="269">
                  <c:v>#N/A</c:v>
                </c:pt>
                <c:pt idx="270">
                  <c:v>#N/A</c:v>
                </c:pt>
                <c:pt idx="271">
                  <c:v>#N/A</c:v>
                </c:pt>
                <c:pt idx="272">
                  <c:v>#N/A</c:v>
                </c:pt>
                <c:pt idx="273">
                  <c:v>#N/A</c:v>
                </c:pt>
                <c:pt idx="274">
                  <c:v>13.999999999999931</c:v>
                </c:pt>
                <c:pt idx="275">
                  <c:v>#N/A</c:v>
                </c:pt>
                <c:pt idx="276">
                  <c:v>#N/A</c:v>
                </c:pt>
                <c:pt idx="277">
                  <c:v>#N/A</c:v>
                </c:pt>
                <c:pt idx="278">
                  <c:v>#N/A</c:v>
                </c:pt>
                <c:pt idx="279">
                  <c:v>#N/A</c:v>
                </c:pt>
                <c:pt idx="280">
                  <c:v>#N/A</c:v>
                </c:pt>
                <c:pt idx="281">
                  <c:v>#N/A</c:v>
                </c:pt>
                <c:pt idx="282">
                  <c:v>#N/A</c:v>
                </c:pt>
                <c:pt idx="283">
                  <c:v>#N/A</c:v>
                </c:pt>
                <c:pt idx="284">
                  <c:v>14.999999999999927</c:v>
                </c:pt>
                <c:pt idx="285">
                  <c:v>#N/A</c:v>
                </c:pt>
                <c:pt idx="286">
                  <c:v>#N/A</c:v>
                </c:pt>
                <c:pt idx="287">
                  <c:v>#N/A</c:v>
                </c:pt>
                <c:pt idx="288">
                  <c:v>#N/A</c:v>
                </c:pt>
                <c:pt idx="289">
                  <c:v>#N/A</c:v>
                </c:pt>
                <c:pt idx="290">
                  <c:v>#N/A</c:v>
                </c:pt>
                <c:pt idx="291">
                  <c:v>#N/A</c:v>
                </c:pt>
                <c:pt idx="292">
                  <c:v>#N/A</c:v>
                </c:pt>
                <c:pt idx="293">
                  <c:v>#N/A</c:v>
                </c:pt>
                <c:pt idx="294">
                  <c:v>15.999999999999924</c:v>
                </c:pt>
                <c:pt idx="295">
                  <c:v>#N/A</c:v>
                </c:pt>
                <c:pt idx="296">
                  <c:v>#N/A</c:v>
                </c:pt>
                <c:pt idx="297">
                  <c:v>#N/A</c:v>
                </c:pt>
                <c:pt idx="298">
                  <c:v>#N/A</c:v>
                </c:pt>
                <c:pt idx="299">
                  <c:v>#N/A</c:v>
                </c:pt>
                <c:pt idx="300">
                  <c:v>#N/A</c:v>
                </c:pt>
                <c:pt idx="301">
                  <c:v>#N/A</c:v>
                </c:pt>
                <c:pt idx="302">
                  <c:v>#N/A</c:v>
                </c:pt>
                <c:pt idx="303">
                  <c:v>#N/A</c:v>
                </c:pt>
                <c:pt idx="304">
                  <c:v>16.999999999999936</c:v>
                </c:pt>
                <c:pt idx="305">
                  <c:v>#N/A</c:v>
                </c:pt>
                <c:pt idx="306">
                  <c:v>#N/A</c:v>
                </c:pt>
                <c:pt idx="307">
                  <c:v>#N/A</c:v>
                </c:pt>
                <c:pt idx="308">
                  <c:v>#N/A</c:v>
                </c:pt>
                <c:pt idx="309">
                  <c:v>#N/A</c:v>
                </c:pt>
                <c:pt idx="310">
                  <c:v>#N/A</c:v>
                </c:pt>
                <c:pt idx="311">
                  <c:v>#N/A</c:v>
                </c:pt>
                <c:pt idx="312">
                  <c:v>#N/A</c:v>
                </c:pt>
                <c:pt idx="313">
                  <c:v>#N/A</c:v>
                </c:pt>
                <c:pt idx="314">
                  <c:v>17.99999999999995</c:v>
                </c:pt>
                <c:pt idx="315">
                  <c:v>#N/A</c:v>
                </c:pt>
                <c:pt idx="316">
                  <c:v>#N/A</c:v>
                </c:pt>
                <c:pt idx="317">
                  <c:v>#N/A</c:v>
                </c:pt>
                <c:pt idx="318">
                  <c:v>#N/A</c:v>
                </c:pt>
                <c:pt idx="319">
                  <c:v>#N/A</c:v>
                </c:pt>
                <c:pt idx="320">
                  <c:v>#N/A</c:v>
                </c:pt>
                <c:pt idx="321">
                  <c:v>#N/A</c:v>
                </c:pt>
                <c:pt idx="322">
                  <c:v>#N/A</c:v>
                </c:pt>
                <c:pt idx="323">
                  <c:v>#N/A</c:v>
                </c:pt>
                <c:pt idx="324">
                  <c:v>18.999999999999964</c:v>
                </c:pt>
                <c:pt idx="325">
                  <c:v>#N/A</c:v>
                </c:pt>
                <c:pt idx="326">
                  <c:v>#N/A</c:v>
                </c:pt>
                <c:pt idx="327">
                  <c:v>#N/A</c:v>
                </c:pt>
                <c:pt idx="328">
                  <c:v>#N/A</c:v>
                </c:pt>
                <c:pt idx="329">
                  <c:v>#N/A</c:v>
                </c:pt>
                <c:pt idx="330">
                  <c:v>#N/A</c:v>
                </c:pt>
                <c:pt idx="331">
                  <c:v>#N/A</c:v>
                </c:pt>
                <c:pt idx="332">
                  <c:v>#N/A</c:v>
                </c:pt>
                <c:pt idx="333">
                  <c:v>#N/A</c:v>
                </c:pt>
                <c:pt idx="334">
                  <c:v>19.999999999999979</c:v>
                </c:pt>
                <c:pt idx="335">
                  <c:v>#N/A</c:v>
                </c:pt>
                <c:pt idx="336">
                  <c:v>#N/A</c:v>
                </c:pt>
                <c:pt idx="337">
                  <c:v>#N/A</c:v>
                </c:pt>
                <c:pt idx="338">
                  <c:v>#N/A</c:v>
                </c:pt>
                <c:pt idx="339">
                  <c:v>#N/A</c:v>
                </c:pt>
                <c:pt idx="340">
                  <c:v>#N/A</c:v>
                </c:pt>
                <c:pt idx="341">
                  <c:v>#N/A</c:v>
                </c:pt>
                <c:pt idx="342">
                  <c:v>#N/A</c:v>
                </c:pt>
                <c:pt idx="343">
                  <c:v>#N/A</c:v>
                </c:pt>
                <c:pt idx="344">
                  <c:v>20.999999999999993</c:v>
                </c:pt>
                <c:pt idx="345">
                  <c:v>#N/A</c:v>
                </c:pt>
                <c:pt idx="346">
                  <c:v>#N/A</c:v>
                </c:pt>
                <c:pt idx="347">
                  <c:v>#N/A</c:v>
                </c:pt>
                <c:pt idx="348">
                  <c:v>#N/A</c:v>
                </c:pt>
                <c:pt idx="349">
                  <c:v>#N/A</c:v>
                </c:pt>
                <c:pt idx="350">
                  <c:v>#N/A</c:v>
                </c:pt>
                <c:pt idx="351">
                  <c:v>#N/A</c:v>
                </c:pt>
                <c:pt idx="352">
                  <c:v>#N/A</c:v>
                </c:pt>
                <c:pt idx="353">
                  <c:v>#N/A</c:v>
                </c:pt>
                <c:pt idx="354">
                  <c:v>22.000000000000007</c:v>
                </c:pt>
                <c:pt idx="355">
                  <c:v>#N/A</c:v>
                </c:pt>
                <c:pt idx="356">
                  <c:v>#N/A</c:v>
                </c:pt>
                <c:pt idx="357">
                  <c:v>#N/A</c:v>
                </c:pt>
                <c:pt idx="358">
                  <c:v>#N/A</c:v>
                </c:pt>
                <c:pt idx="359">
                  <c:v>#N/A</c:v>
                </c:pt>
                <c:pt idx="360">
                  <c:v>#N/A</c:v>
                </c:pt>
                <c:pt idx="361">
                  <c:v>#N/A</c:v>
                </c:pt>
                <c:pt idx="362">
                  <c:v>#N/A</c:v>
                </c:pt>
                <c:pt idx="363">
                  <c:v>#N/A</c:v>
                </c:pt>
                <c:pt idx="364">
                  <c:v>23.000000000000021</c:v>
                </c:pt>
                <c:pt idx="365">
                  <c:v>#N/A</c:v>
                </c:pt>
                <c:pt idx="366">
                  <c:v>#N/A</c:v>
                </c:pt>
                <c:pt idx="367">
                  <c:v>#N/A</c:v>
                </c:pt>
                <c:pt idx="368">
                  <c:v>#N/A</c:v>
                </c:pt>
                <c:pt idx="369">
                  <c:v>#N/A</c:v>
                </c:pt>
                <c:pt idx="370">
                  <c:v>#N/A</c:v>
                </c:pt>
                <c:pt idx="371">
                  <c:v>#N/A</c:v>
                </c:pt>
                <c:pt idx="372">
                  <c:v>#N/A</c:v>
                </c:pt>
                <c:pt idx="373">
                  <c:v>#N/A</c:v>
                </c:pt>
                <c:pt idx="374">
                  <c:v>24.000000000000036</c:v>
                </c:pt>
                <c:pt idx="375">
                  <c:v>#N/A</c:v>
                </c:pt>
                <c:pt idx="376">
                  <c:v>#N/A</c:v>
                </c:pt>
                <c:pt idx="377">
                  <c:v>#N/A</c:v>
                </c:pt>
                <c:pt idx="378">
                  <c:v>#N/A</c:v>
                </c:pt>
                <c:pt idx="379">
                  <c:v>#N/A</c:v>
                </c:pt>
                <c:pt idx="380">
                  <c:v>#N/A</c:v>
                </c:pt>
                <c:pt idx="381">
                  <c:v>#N/A</c:v>
                </c:pt>
                <c:pt idx="382">
                  <c:v>#N/A</c:v>
                </c:pt>
                <c:pt idx="383">
                  <c:v>#N/A</c:v>
                </c:pt>
                <c:pt idx="384">
                  <c:v>25.00000000000005</c:v>
                </c:pt>
                <c:pt idx="385">
                  <c:v>#N/A</c:v>
                </c:pt>
                <c:pt idx="386">
                  <c:v>#N/A</c:v>
                </c:pt>
                <c:pt idx="387">
                  <c:v>#N/A</c:v>
                </c:pt>
                <c:pt idx="388">
                  <c:v>#N/A</c:v>
                </c:pt>
                <c:pt idx="389">
                  <c:v>#N/A</c:v>
                </c:pt>
                <c:pt idx="390">
                  <c:v>#N/A</c:v>
                </c:pt>
                <c:pt idx="391">
                  <c:v>#N/A</c:v>
                </c:pt>
                <c:pt idx="392">
                  <c:v>#N/A</c:v>
                </c:pt>
                <c:pt idx="393">
                  <c:v>#N/A</c:v>
                </c:pt>
                <c:pt idx="394">
                  <c:v>26.000000000000064</c:v>
                </c:pt>
                <c:pt idx="395">
                  <c:v>#N/A</c:v>
                </c:pt>
                <c:pt idx="396">
                  <c:v>#N/A</c:v>
                </c:pt>
                <c:pt idx="397">
                  <c:v>#N/A</c:v>
                </c:pt>
                <c:pt idx="398">
                  <c:v>#N/A</c:v>
                </c:pt>
                <c:pt idx="399">
                  <c:v>#N/A</c:v>
                </c:pt>
                <c:pt idx="400">
                  <c:v>#N/A</c:v>
                </c:pt>
                <c:pt idx="401">
                  <c:v>#N/A</c:v>
                </c:pt>
                <c:pt idx="402">
                  <c:v>#N/A</c:v>
                </c:pt>
                <c:pt idx="403">
                  <c:v>#N/A</c:v>
                </c:pt>
                <c:pt idx="404">
                  <c:v>27.000000000000078</c:v>
                </c:pt>
                <c:pt idx="405">
                  <c:v>#N/A</c:v>
                </c:pt>
                <c:pt idx="406">
                  <c:v>#N/A</c:v>
                </c:pt>
                <c:pt idx="407">
                  <c:v>#N/A</c:v>
                </c:pt>
                <c:pt idx="408">
                  <c:v>#N/A</c:v>
                </c:pt>
                <c:pt idx="409">
                  <c:v>#N/A</c:v>
                </c:pt>
                <c:pt idx="410">
                  <c:v>#N/A</c:v>
                </c:pt>
                <c:pt idx="411">
                  <c:v>#N/A</c:v>
                </c:pt>
                <c:pt idx="412">
                  <c:v>#N/A</c:v>
                </c:pt>
                <c:pt idx="413">
                  <c:v>#N/A</c:v>
                </c:pt>
                <c:pt idx="414">
                  <c:v>28.000000000000092</c:v>
                </c:pt>
                <c:pt idx="415">
                  <c:v>#N/A</c:v>
                </c:pt>
                <c:pt idx="416">
                  <c:v>#N/A</c:v>
                </c:pt>
                <c:pt idx="417">
                  <c:v>#N/A</c:v>
                </c:pt>
                <c:pt idx="418">
                  <c:v>#N/A</c:v>
                </c:pt>
                <c:pt idx="419">
                  <c:v>#N/A</c:v>
                </c:pt>
                <c:pt idx="420">
                  <c:v>#N/A</c:v>
                </c:pt>
                <c:pt idx="421">
                  <c:v>#N/A</c:v>
                </c:pt>
                <c:pt idx="422">
                  <c:v>#N/A</c:v>
                </c:pt>
                <c:pt idx="423">
                  <c:v>#N/A</c:v>
                </c:pt>
                <c:pt idx="424">
                  <c:v>29.000000000000107</c:v>
                </c:pt>
                <c:pt idx="425">
                  <c:v>#N/A</c:v>
                </c:pt>
                <c:pt idx="426">
                  <c:v>#N/A</c:v>
                </c:pt>
                <c:pt idx="427">
                  <c:v>#N/A</c:v>
                </c:pt>
                <c:pt idx="428">
                  <c:v>#N/A</c:v>
                </c:pt>
                <c:pt idx="429">
                  <c:v>#N/A</c:v>
                </c:pt>
                <c:pt idx="430">
                  <c:v>#N/A</c:v>
                </c:pt>
                <c:pt idx="431">
                  <c:v>#N/A</c:v>
                </c:pt>
                <c:pt idx="432">
                  <c:v>#N/A</c:v>
                </c:pt>
                <c:pt idx="433">
                  <c:v>#N/A</c:v>
                </c:pt>
                <c:pt idx="434">
                  <c:v>30.000000000000121</c:v>
                </c:pt>
                <c:pt idx="435">
                  <c:v>#N/A</c:v>
                </c:pt>
                <c:pt idx="436">
                  <c:v>#N/A</c:v>
                </c:pt>
                <c:pt idx="437">
                  <c:v>#N/A</c:v>
                </c:pt>
                <c:pt idx="438">
                  <c:v>#N/A</c:v>
                </c:pt>
                <c:pt idx="439">
                  <c:v>#N/A</c:v>
                </c:pt>
                <c:pt idx="440">
                  <c:v>#N/A</c:v>
                </c:pt>
                <c:pt idx="441">
                  <c:v>#N/A</c:v>
                </c:pt>
                <c:pt idx="442">
                  <c:v>#N/A</c:v>
                </c:pt>
                <c:pt idx="443">
                  <c:v>#N/A</c:v>
                </c:pt>
                <c:pt idx="444">
                  <c:v>31.000000000000135</c:v>
                </c:pt>
                <c:pt idx="445">
                  <c:v>#N/A</c:v>
                </c:pt>
                <c:pt idx="446">
                  <c:v>#N/A</c:v>
                </c:pt>
                <c:pt idx="447">
                  <c:v>#N/A</c:v>
                </c:pt>
                <c:pt idx="448">
                  <c:v>#N/A</c:v>
                </c:pt>
                <c:pt idx="449">
                  <c:v>#N/A</c:v>
                </c:pt>
                <c:pt idx="450">
                  <c:v>#N/A</c:v>
                </c:pt>
                <c:pt idx="451">
                  <c:v>#N/A</c:v>
                </c:pt>
                <c:pt idx="452">
                  <c:v>#N/A</c:v>
                </c:pt>
                <c:pt idx="453">
                  <c:v>#N/A</c:v>
                </c:pt>
                <c:pt idx="454">
                  <c:v>32.000000000000149</c:v>
                </c:pt>
                <c:pt idx="455">
                  <c:v>#N/A</c:v>
                </c:pt>
                <c:pt idx="456">
                  <c:v>#N/A</c:v>
                </c:pt>
                <c:pt idx="457">
                  <c:v>#N/A</c:v>
                </c:pt>
                <c:pt idx="458">
                  <c:v>#N/A</c:v>
                </c:pt>
                <c:pt idx="459">
                  <c:v>#N/A</c:v>
                </c:pt>
                <c:pt idx="460">
                  <c:v>#N/A</c:v>
                </c:pt>
                <c:pt idx="461">
                  <c:v>#N/A</c:v>
                </c:pt>
                <c:pt idx="462">
                  <c:v>#N/A</c:v>
                </c:pt>
                <c:pt idx="463">
                  <c:v>#N/A</c:v>
                </c:pt>
                <c:pt idx="464">
                  <c:v>33.000000000000163</c:v>
                </c:pt>
                <c:pt idx="465">
                  <c:v>#N/A</c:v>
                </c:pt>
                <c:pt idx="466">
                  <c:v>#N/A</c:v>
                </c:pt>
                <c:pt idx="467">
                  <c:v>#N/A</c:v>
                </c:pt>
                <c:pt idx="468">
                  <c:v>#N/A</c:v>
                </c:pt>
                <c:pt idx="469">
                  <c:v>#N/A</c:v>
                </c:pt>
                <c:pt idx="470">
                  <c:v>#N/A</c:v>
                </c:pt>
                <c:pt idx="471">
                  <c:v>#N/A</c:v>
                </c:pt>
                <c:pt idx="472">
                  <c:v>#N/A</c:v>
                </c:pt>
                <c:pt idx="473">
                  <c:v>#N/A</c:v>
                </c:pt>
                <c:pt idx="474">
                  <c:v>34.000000000000178</c:v>
                </c:pt>
                <c:pt idx="475">
                  <c:v>#N/A</c:v>
                </c:pt>
                <c:pt idx="476">
                  <c:v>#N/A</c:v>
                </c:pt>
                <c:pt idx="477">
                  <c:v>#N/A</c:v>
                </c:pt>
                <c:pt idx="478">
                  <c:v>#N/A</c:v>
                </c:pt>
                <c:pt idx="479">
                  <c:v>#N/A</c:v>
                </c:pt>
                <c:pt idx="480">
                  <c:v>#N/A</c:v>
                </c:pt>
                <c:pt idx="481">
                  <c:v>#N/A</c:v>
                </c:pt>
                <c:pt idx="482">
                  <c:v>#N/A</c:v>
                </c:pt>
                <c:pt idx="483">
                  <c:v>#N/A</c:v>
                </c:pt>
                <c:pt idx="484">
                  <c:v>35.000000000000192</c:v>
                </c:pt>
                <c:pt idx="485">
                  <c:v>#N/A</c:v>
                </c:pt>
                <c:pt idx="486">
                  <c:v>#N/A</c:v>
                </c:pt>
                <c:pt idx="487">
                  <c:v>#N/A</c:v>
                </c:pt>
                <c:pt idx="488">
                  <c:v>#N/A</c:v>
                </c:pt>
                <c:pt idx="489">
                  <c:v>#N/A</c:v>
                </c:pt>
                <c:pt idx="490">
                  <c:v>#N/A</c:v>
                </c:pt>
                <c:pt idx="491">
                  <c:v>#N/A</c:v>
                </c:pt>
                <c:pt idx="492">
                  <c:v>#N/A</c:v>
                </c:pt>
                <c:pt idx="493">
                  <c:v>#N/A</c:v>
                </c:pt>
                <c:pt idx="494">
                  <c:v>36.000000000000206</c:v>
                </c:pt>
                <c:pt idx="495">
                  <c:v>#N/A</c:v>
                </c:pt>
                <c:pt idx="496">
                  <c:v>#N/A</c:v>
                </c:pt>
                <c:pt idx="497">
                  <c:v>#N/A</c:v>
                </c:pt>
                <c:pt idx="498">
                  <c:v>#N/A</c:v>
                </c:pt>
                <c:pt idx="499">
                  <c:v>#N/A</c:v>
                </c:pt>
                <c:pt idx="500">
                  <c:v>#N/A</c:v>
                </c:pt>
                <c:pt idx="501">
                  <c:v>#N/A</c:v>
                </c:pt>
                <c:pt idx="502">
                  <c:v>#N/A</c:v>
                </c:pt>
                <c:pt idx="503">
                  <c:v>#N/A</c:v>
                </c:pt>
                <c:pt idx="504">
                  <c:v>37.00000000000022</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1438.172866697847</c:v>
                </c:pt>
                <c:pt idx="300">
                  <c:v>1438.0767119267175</c:v>
                </c:pt>
                <c:pt idx="301">
                  <c:v>1437.8826287380009</c:v>
                </c:pt>
                <c:pt idx="302">
                  <c:v>1437.5907921864218</c:v>
                </c:pt>
                <c:pt idx="303">
                  <c:v>1437.2013780960326</c:v>
                </c:pt>
                <c:pt idx="304">
                  <c:v>1436.7145638979523</c:v>
                </c:pt>
                <c:pt idx="305">
                  <c:v>1436.130529441567</c:v>
                </c:pt>
                <c:pt idx="306">
                  <c:v>1435.4494577734949</c:v>
                </c:pt>
                <c:pt idx="307">
                  <c:v>1434.6715358793581</c:v>
                </c:pt>
                <c:pt idx="308">
                  <c:v>1433.7969553842604</c:v>
                </c:pt>
                <c:pt idx="309">
                  <c:v>1432.8259132087915</c:v>
                </c:pt>
                <c:pt idx="310">
                  <c:v>1431.7586121783017</c:v>
                </c:pt>
                <c:pt idx="311">
                  <c:v>1430.5952615841022</c:v>
                </c:pt>
                <c:pt idx="312">
                  <c:v>1429.3360776960706</c:v>
                </c:pt>
                <c:pt idx="313">
                  <c:v>1427.9812842268909</c:v>
                </c:pt>
                <c:pt idx="314">
                  <c:v>1426.531112748788</c:v>
                </c:pt>
                <c:pt idx="315">
                  <c:v>1424.9858030641353</c:v>
                </c:pt>
                <c:pt idx="316">
                  <c:v>1423.3456035317236</c:v>
                </c:pt>
                <c:pt idx="317">
                  <c:v>1421.6107713507683</c:v>
                </c:pt>
                <c:pt idx="318">
                  <c:v>1419.7815728049438</c:v>
                </c:pt>
                <c:pt idx="319">
                  <c:v>1417.8582834688364</c:v>
                </c:pt>
                <c:pt idx="320">
                  <c:v>1415.8411883792644</c:v>
                </c:pt>
                <c:pt idx="321">
                  <c:v>1413.7305821738946</c:v>
                </c:pt>
                <c:pt idx="322">
                  <c:v>1411.5267691995355</c:v>
                </c:pt>
                <c:pt idx="323">
                  <c:v>1409.2300635923946</c:v>
                </c:pt>
                <c:pt idx="324">
                  <c:v>1406.840789332482</c:v>
                </c:pt>
                <c:pt idx="325">
                  <c:v>1404.359280274216</c:v>
                </c:pt>
                <c:pt idx="326">
                  <c:v>1401.7858801551538</c:v>
                </c:pt>
                <c:pt idx="327">
                  <c:v>1399.1209425846375</c:v>
                </c:pt>
                <c:pt idx="328">
                  <c:v>1396.3648310140113</c:v>
                </c:pt>
                <c:pt idx="329">
                  <c:v>1393.5179186899352</c:v>
                </c:pt>
                <c:pt idx="330">
                  <c:v>1390.5805885922011</c:v>
                </c:pt>
                <c:pt idx="331">
                  <c:v>1387.5532333573371</c:v>
                </c:pt>
                <c:pt idx="332">
                  <c:v>1384.4362551891802</c:v>
                </c:pt>
                <c:pt idx="333">
                  <c:v>1381.2300657574979</c:v>
                </c:pt>
                <c:pt idx="334">
                  <c:v>1377.9350860856496</c:v>
                </c:pt>
                <c:pt idx="335">
                  <c:v>1374.5517464281907</c:v>
                </c:pt>
                <c:pt idx="336">
                  <c:v>1371.080486139253</c:v>
                </c:pt>
                <c:pt idx="337">
                  <c:v>1367.5217535324641</c:v>
                </c:pt>
                <c:pt idx="338">
                  <c:v>1363.8760057331049</c:v>
                </c:pt>
                <c:pt idx="339">
                  <c:v>1360.1437085231535</c:v>
                </c:pt>
                <c:pt idx="340">
                  <c:v>1356.3253361798122</c:v>
                </c:pt>
                <c:pt idx="341">
                  <c:v>1352.4213713080683</c:v>
                </c:pt>
                <c:pt idx="342">
                  <c:v>1348.4323046678016</c:v>
                </c:pt>
                <c:pt idx="343">
                  <c:v>1344.358634995916</c:v>
                </c:pt>
                <c:pt idx="344">
                  <c:v>1340.2008688239362</c:v>
                </c:pt>
                <c:pt idx="345">
                  <c:v>1335.9595202914907</c:v>
                </c:pt>
                <c:pt idx="346">
                  <c:v>1331.635110956064</c:v>
                </c:pt>
                <c:pt idx="347">
                  <c:v>1327.2281695993895</c:v>
                </c:pt>
                <c:pt idx="348">
                  <c:v>1322.7392320308247</c:v>
                </c:pt>
                <c:pt idx="349">
                  <c:v>1318.1688408880361</c:v>
                </c:pt>
                <c:pt idx="350">
                  <c:v>1313.5175454353023</c:v>
                </c:pt>
                <c:pt idx="351">
                  <c:v>1308.7859013597276</c:v>
                </c:pt>
                <c:pt idx="352">
                  <c:v>1303.9744705656447</c:v>
                </c:pt>
                <c:pt idx="353">
                  <c:v>1299.0838209674714</c:v>
                </c:pt>
                <c:pt idx="354">
                  <c:v>1294.1145262812745</c:v>
                </c:pt>
                <c:pt idx="355">
                  <c:v>1289.0671658152817</c:v>
                </c:pt>
                <c:pt idx="356">
                  <c:v>1283.9423242595742</c:v>
                </c:pt>
                <c:pt idx="357">
                  <c:v>1278.7405914751796</c:v>
                </c:pt>
                <c:pt idx="358">
                  <c:v>1273.4625622827773</c:v>
                </c:pt>
                <c:pt idx="359">
                  <c:v>1268.1088362512221</c:v>
                </c:pt>
                <c:pt idx="360">
                  <c:v>1262.6800174860789</c:v>
                </c:pt>
                <c:pt idx="361">
                  <c:v>1257.1767144183573</c:v>
                </c:pt>
                <c:pt idx="362">
                  <c:v>1251.5995395936259</c:v>
                </c:pt>
                <c:pt idx="363">
                  <c:v>1245.9491094616801</c:v>
                </c:pt>
                <c:pt idx="364">
                  <c:v>1240.2260441669289</c:v>
                </c:pt>
                <c:pt idx="365">
                  <c:v>1234.4309673396617</c:v>
                </c:pt>
                <c:pt idx="366">
                  <c:v>1228.5645058883467</c:v>
                </c:pt>
                <c:pt idx="367">
                  <c:v>1222.6272897931099</c:v>
                </c:pt>
                <c:pt idx="368">
                  <c:v>1216.6199519005359</c:v>
                </c:pt>
                <c:pt idx="369">
                  <c:v>1210.5431277199248</c:v>
                </c:pt>
                <c:pt idx="370">
                  <c:v>1204.3974552211364</c:v>
                </c:pt>
                <c:pt idx="371">
                  <c:v>1198.1835746341451</c:v>
                </c:pt>
                <c:pt idx="372">
                  <c:v>1191.9021282504248</c:v>
                </c:pt>
                <c:pt idx="373">
                  <c:v>1185.5537602262771</c:v>
                </c:pt>
                <c:pt idx="374">
                  <c:v>1179.1391163882111</c:v>
                </c:pt>
                <c:pt idx="375">
                  <c:v>1172.6588440404776</c:v>
                </c:pt>
                <c:pt idx="376">
                  <c:v>1166.1135917748568</c:v>
                </c:pt>
                <c:pt idx="377">
                  <c:v>1159.5040092827908</c:v>
                </c:pt>
                <c:pt idx="378">
                  <c:v>1152.8307471699504</c:v>
                </c:pt>
                <c:pt idx="379">
                  <c:v>1146.0944567733197</c:v>
                </c:pt>
                <c:pt idx="380">
                  <c:v>1139.2957899808757</c:v>
                </c:pt>
                <c:pt idx="381">
                  <c:v>1132.4353990539387</c:v>
                </c:pt>
                <c:pt idx="382">
                  <c:v>1125.5139364522611</c:v>
                </c:pt>
                <c:pt idx="383">
                  <c:v>1118.5320546619214</c:v>
                </c:pt>
                <c:pt idx="384">
                  <c:v>1111.4904060260812</c:v>
                </c:pt>
                <c:pt idx="385">
                  <c:v>1104.3896425786652</c:v>
                </c:pt>
                <c:pt idx="386">
                  <c:v>1097.2304158810111</c:v>
                </c:pt>
                <c:pt idx="387">
                  <c:v>1090.0133768615424</c:v>
                </c:pt>
                <c:pt idx="388">
                  <c:v>1082.7391756585027</c:v>
                </c:pt>
                <c:pt idx="389">
                  <c:v>1075.4084614657957</c:v>
                </c:pt>
                <c:pt idx="390">
                  <c:v>1068.0218823819619</c:v>
                </c:pt>
                <c:pt idx="391">
                  <c:v>1060.5800852623283</c:v>
                </c:pt>
                <c:pt idx="392">
                  <c:v>1053.0837155743554</c:v>
                </c:pt>
                <c:pt idx="393">
                  <c:v>1045.5334172562084</c:v>
                </c:pt>
                <c:pt idx="394">
                  <c:v>1037.9298325785714</c:v>
                </c:pt>
                <c:pt idx="395">
                  <c:v>1030.2736020097252</c:v>
                </c:pt>
                <c:pt idx="396">
                  <c:v>1022.565364083897</c:v>
                </c:pt>
                <c:pt idx="397">
                  <c:v>1014.8057552728993</c:v>
                </c:pt>
                <c:pt idx="398">
                  <c:v>1006.9954098610605</c:v>
                </c:pt>
                <c:pt idx="399">
                  <c:v>999.13495982345273</c:v>
                </c:pt>
                <c:pt idx="400">
                  <c:v>991.22503470741992</c:v>
                </c:pt>
                <c:pt idx="401">
                  <c:v>983.26626151740197</c:v>
                </c:pt>
                <c:pt idx="402">
                  <c:v>975.25926460305243</c:v>
                </c:pt>
                <c:pt idx="403">
                  <c:v>967.20466555064149</c:v>
                </c:pt>
                <c:pt idx="404">
                  <c:v>959.10308307773505</c:v>
                </c:pt>
                <c:pt idx="405">
                  <c:v>950.95513293113675</c:v>
                </c:pt>
                <c:pt idx="406">
                  <c:v>942.761427788079</c:v>
                </c:pt>
                <c:pt idx="407">
                  <c:v>934.52257716064548</c:v>
                </c:pt>
                <c:pt idx="408">
                  <c:v>926.23918730340574</c:v>
                </c:pt>
                <c:pt idx="409">
                  <c:v>917.91186112424009</c:v>
                </c:pt>
                <c:pt idx="410">
                  <c:v>909.54119809833173</c:v>
                </c:pt>
                <c:pt idx="411">
                  <c:v>901.12779418529999</c:v>
                </c:pt>
                <c:pt idx="412">
                  <c:v>892.67224174944761</c:v>
                </c:pt>
                <c:pt idx="413">
                  <c:v>884.17512948309286</c:v>
                </c:pt>
                <c:pt idx="414">
                  <c:v>875.63704233295482</c:v>
                </c:pt>
                <c:pt idx="415">
                  <c:v>867.05856142956043</c:v>
                </c:pt>
                <c:pt idx="416">
                  <c:v>858.44026401963845</c:v>
                </c:pt>
                <c:pt idx="417">
                  <c:v>849.78272340146509</c:v>
                </c:pt>
                <c:pt idx="418">
                  <c:v>841.08650886312466</c:v>
                </c:pt>
                <c:pt idx="419">
                  <c:v>832.35218562364673</c:v>
                </c:pt>
                <c:pt idx="420">
                  <c:v>823.58031477698114</c:v>
                </c:pt>
                <c:pt idx="421">
                  <c:v>814.77145323876982</c:v>
                </c:pt>
                <c:pt idx="422">
                  <c:v>805.92615369587509</c:v>
                </c:pt>
                <c:pt idx="423">
                  <c:v>797.04496455862079</c:v>
                </c:pt>
                <c:pt idx="424">
                  <c:v>788.12842991570403</c:v>
                </c:pt>
                <c:pt idx="425">
                  <c:v>779.17708949173357</c:v>
                </c:pt>
                <c:pt idx="426">
                  <c:v>770.19147860734972</c:v>
                </c:pt>
                <c:pt idx="427">
                  <c:v>761.17212814188099</c:v>
                </c:pt>
                <c:pt idx="428">
                  <c:v>752.11956449849094</c:v>
                </c:pt>
                <c:pt idx="429">
                  <c:v>743.0343095717692</c:v>
                </c:pt>
                <c:pt idx="430">
                  <c:v>733.91688071772035</c:v>
                </c:pt>
                <c:pt idx="431">
                  <c:v>724.76779072610213</c:v>
                </c:pt>
                <c:pt idx="432">
                  <c:v>715.58754779506694</c:v>
                </c:pt>
                <c:pt idx="433">
                  <c:v>706.37665550805741</c:v>
                </c:pt>
                <c:pt idx="434">
                  <c:v>697.13561281290913</c:v>
                </c:pt>
                <c:pt idx="435">
                  <c:v>687.86491400311161</c:v>
                </c:pt>
                <c:pt idx="436">
                  <c:v>678.56504870117988</c:v>
                </c:pt>
                <c:pt idx="437">
                  <c:v>669.23650184408723</c:v>
                </c:pt>
                <c:pt idx="438">
                  <c:v>659.8797536707126</c:v>
                </c:pt>
                <c:pt idx="439">
                  <c:v>650.49527971125212</c:v>
                </c:pt>
                <c:pt idx="440">
                  <c:v>641.0835507785489</c:v>
                </c:pt>
                <c:pt idx="441">
                  <c:v>631.64503296129067</c:v>
                </c:pt>
                <c:pt idx="442">
                  <c:v>622.18018761902954</c:v>
                </c:pt>
                <c:pt idx="443">
                  <c:v>612.68947137897487</c:v>
                </c:pt>
                <c:pt idx="444">
                  <c:v>603.17333613451194</c:v>
                </c:pt>
                <c:pt idx="445">
                  <c:v>593.63222904539987</c:v>
                </c:pt>
                <c:pt idx="446">
                  <c:v>584.06659253960152</c:v>
                </c:pt>
                <c:pt idx="447">
                  <c:v>574.47686431669877</c:v>
                </c:pt>
                <c:pt idx="448">
                  <c:v>564.86347735284778</c:v>
                </c:pt>
                <c:pt idx="449">
                  <c:v>555.22685990722789</c:v>
                </c:pt>
                <c:pt idx="450">
                  <c:v>545.56743552993896</c:v>
                </c:pt>
                <c:pt idx="451">
                  <c:v>535.88562307130258</c:v>
                </c:pt>
                <c:pt idx="452">
                  <c:v>526.18183669252312</c:v>
                </c:pt>
                <c:pt idx="453">
                  <c:v>516.45648587766448</c:v>
                </c:pt>
                <c:pt idx="454">
                  <c:v>506.70997544689885</c:v>
                </c:pt>
                <c:pt idx="455">
                  <c:v>496.94270557098611</c:v>
                </c:pt>
                <c:pt idx="456">
                  <c:v>487.15507178694014</c:v>
                </c:pt>
                <c:pt idx="457">
                  <c:v>477.34746501484176</c:v>
                </c:pt>
                <c:pt idx="458">
                  <c:v>467.52027157575657</c:v>
                </c:pt>
                <c:pt idx="459">
                  <c:v>457.67387321071777</c:v>
                </c:pt>
                <c:pt idx="460">
                  <c:v>447.80864710073394</c:v>
                </c:pt>
                <c:pt idx="461">
                  <c:v>437.92496588778283</c:v>
                </c:pt>
                <c:pt idx="462">
                  <c:v>428.02319769675302</c:v>
                </c:pt>
                <c:pt idx="463">
                  <c:v>418.10370615829493</c:v>
                </c:pt>
                <c:pt idx="464">
                  <c:v>408.16685043254466</c:v>
                </c:pt>
                <c:pt idx="465">
                  <c:v>398.21298523368432</c:v>
                </c:pt>
                <c:pt idx="466">
                  <c:v>388.24246085530223</c:v>
                </c:pt>
                <c:pt idx="467">
                  <c:v>378.25562319651902</c:v>
                </c:pt>
                <c:pt idx="468">
                  <c:v>368.25281378884426</c:v>
                </c:pt>
                <c:pt idx="469">
                  <c:v>358.23436982373033</c:v>
                </c:pt>
                <c:pt idx="470">
                  <c:v>348.20062418079067</c:v>
                </c:pt>
                <c:pt idx="471">
                  <c:v>338.15190545664939</c:v>
                </c:pt>
                <c:pt idx="472">
                  <c:v>328.08853799439152</c:v>
                </c:pt>
                <c:pt idx="473">
                  <c:v>318.01084191358194</c:v>
                </c:pt>
                <c:pt idx="474">
                  <c:v>307.91913314082353</c:v>
                </c:pt>
                <c:pt idx="475">
                  <c:v>297.81372344082445</c:v>
                </c:pt>
                <c:pt idx="476">
                  <c:v>287.69492044794578</c:v>
                </c:pt>
                <c:pt idx="477">
                  <c:v>277.56302769820138</c:v>
                </c:pt>
                <c:pt idx="478">
                  <c:v>267.41834466168228</c:v>
                </c:pt>
                <c:pt idx="479">
                  <c:v>257.26116677537902</c:v>
                </c:pt>
                <c:pt idx="480">
                  <c:v>247.09178547637524</c:v>
                </c:pt>
                <c:pt idx="481">
                  <c:v>236.91048823538736</c:v>
                </c:pt>
                <c:pt idx="482">
                  <c:v>226.71755859062563</c:v>
                </c:pt>
                <c:pt idx="483">
                  <c:v>216.51327618195171</c:v>
                </c:pt>
                <c:pt idx="484">
                  <c:v>206.29791678530995</c:v>
                </c:pt>
                <c:pt idx="485">
                  <c:v>196.07175234740882</c:v>
                </c:pt>
                <c:pt idx="486">
                  <c:v>185.83505102063063</c:v>
                </c:pt>
                <c:pt idx="487">
                  <c:v>175.58807719814769</c:v>
                </c:pt>
                <c:pt idx="488">
                  <c:v>165.33109154922377</c:v>
                </c:pt>
                <c:pt idx="489">
                  <c:v>155.06435105468066</c:v>
                </c:pt>
                <c:pt idx="490">
                  <c:v>144.7881090425098</c:v>
                </c:pt>
                <c:pt idx="491">
                  <c:v>134.50261522360992</c:v>
                </c:pt>
                <c:pt idx="492">
                  <c:v>124.20811572763181</c:v>
                </c:pt>
                <c:pt idx="493">
                  <c:v>113.90485313891234</c:v>
                </c:pt>
                <c:pt idx="494">
                  <c:v>103.59306653248024</c:v>
                </c:pt>
                <c:pt idx="495">
                  <c:v>93.272991510116469</c:v>
                </c:pt>
                <c:pt idx="496">
                  <c:v>82.94486023645311</c:v>
                </c:pt>
                <c:pt idx="497">
                  <c:v>72.608901475094655</c:v>
                </c:pt>
                <c:pt idx="498">
                  <c:v>62.265340624746507</c:v>
                </c:pt>
                <c:pt idx="499">
                  <c:v>51.914399755335907</c:v>
                </c:pt>
                <c:pt idx="500">
                  <c:v>41.556297644110948</c:v>
                </c:pt>
                <c:pt idx="501">
                  <c:v>31.191249811703891</c:v>
                </c:pt>
                <c:pt idx="502">
                  <c:v>20.819468558145587</c:v>
                </c:pt>
                <c:pt idx="503">
                  <c:v>10.441162998818086</c:v>
                </c:pt>
                <c:pt idx="504">
                  <c:v>5.6539100333203862E-2</c:v>
                </c:pt>
                <c:pt idx="505">
                  <c:v>-10.334200283674891</c:v>
                </c:pt>
                <c:pt idx="506">
                  <c:v>-10.344594033383434</c:v>
                </c:pt>
                <c:pt idx="507">
                  <c:v>-10.354987788908463</c:v>
                </c:pt>
                <c:pt idx="508">
                  <c:v>-10.365381550249786</c:v>
                </c:pt>
                <c:pt idx="509">
                  <c:v>-10.375775317407209</c:v>
                </c:pt>
                <c:pt idx="510">
                  <c:v>-10.386169090380534</c:v>
                </c:pt>
                <c:pt idx="511">
                  <c:v>-10.396562869169568</c:v>
                </c:pt>
                <c:pt idx="512">
                  <c:v>-10.406956653774115</c:v>
                </c:pt>
                <c:pt idx="513">
                  <c:v>-10.41735044419398</c:v>
                </c:pt>
                <c:pt idx="514">
                  <c:v>-10.42774424042897</c:v>
                </c:pt>
                <c:pt idx="515">
                  <c:v>-10.438138042478888</c:v>
                </c:pt>
                <c:pt idx="516">
                  <c:v>-10.44853185034354</c:v>
                </c:pt>
                <c:pt idx="517">
                  <c:v>-10.458925664022731</c:v>
                </c:pt>
                <c:pt idx="518">
                  <c:v>-10.469319483516264</c:v>
                </c:pt>
                <c:pt idx="519">
                  <c:v>-10.479713308823946</c:v>
                </c:pt>
                <c:pt idx="520">
                  <c:v>-10.490107139945582</c:v>
                </c:pt>
                <c:pt idx="521">
                  <c:v>-10.500500976880977</c:v>
                </c:pt>
                <c:pt idx="522">
                  <c:v>-10.510894819629934</c:v>
                </c:pt>
                <c:pt idx="523">
                  <c:v>-10.521288668192261</c:v>
                </c:pt>
                <c:pt idx="524">
                  <c:v>-10.531682522567761</c:v>
                </c:pt>
                <c:pt idx="525">
                  <c:v>-10.542076382756241</c:v>
                </c:pt>
                <c:pt idx="526">
                  <c:v>-10.552470248757505</c:v>
                </c:pt>
                <c:pt idx="527">
                  <c:v>-10.562864120571357</c:v>
                </c:pt>
                <c:pt idx="528">
                  <c:v>-10.573257998197603</c:v>
                </c:pt>
                <c:pt idx="529">
                  <c:v>-10.583651881636049</c:v>
                </c:pt>
                <c:pt idx="530">
                  <c:v>-10.594045770886499</c:v>
                </c:pt>
                <c:pt idx="531">
                  <c:v>-10.604439665948759</c:v>
                </c:pt>
                <c:pt idx="532">
                  <c:v>-10.614833566822632</c:v>
                </c:pt>
                <c:pt idx="533">
                  <c:v>-10.625227473507925</c:v>
                </c:pt>
                <c:pt idx="534">
                  <c:v>-10.635621386004443</c:v>
                </c:pt>
                <c:pt idx="535">
                  <c:v>-10.646015304311991</c:v>
                </c:pt>
                <c:pt idx="536">
                  <c:v>-10.656409228430373</c:v>
                </c:pt>
                <c:pt idx="537">
                  <c:v>-10.666803158359395</c:v>
                </c:pt>
                <c:pt idx="538">
                  <c:v>-10.677197094098862</c:v>
                </c:pt>
                <c:pt idx="539">
                  <c:v>-10.687591035648579</c:v>
                </c:pt>
                <c:pt idx="540">
                  <c:v>-10.69798498300835</c:v>
                </c:pt>
                <c:pt idx="541">
                  <c:v>-10.708378936177983</c:v>
                </c:pt>
                <c:pt idx="542">
                  <c:v>-10.718772895157279</c:v>
                </c:pt>
                <c:pt idx="543">
                  <c:v>-10.729166859946048</c:v>
                </c:pt>
                <c:pt idx="544">
                  <c:v>-10.739560830544091</c:v>
                </c:pt>
                <c:pt idx="545">
                  <c:v>-10.749954806951216</c:v>
                </c:pt>
                <c:pt idx="546">
                  <c:v>-10.760348789167226</c:v>
                </c:pt>
                <c:pt idx="547">
                  <c:v>-10.770742777191927</c:v>
                </c:pt>
                <c:pt idx="548">
                  <c:v>-10.781136771025123</c:v>
                </c:pt>
                <c:pt idx="549">
                  <c:v>-10.79153077066662</c:v>
                </c:pt>
                <c:pt idx="550">
                  <c:v>-10.801924776116223</c:v>
                </c:pt>
                <c:pt idx="551">
                  <c:v>-10.812318787373739</c:v>
                </c:pt>
                <c:pt idx="552">
                  <c:v>-10.822712804438972</c:v>
                </c:pt>
                <c:pt idx="553">
                  <c:v>-10.833106827311726</c:v>
                </c:pt>
                <c:pt idx="554">
                  <c:v>-10.843500855991806</c:v>
                </c:pt>
                <c:pt idx="555">
                  <c:v>-10.853894890479019</c:v>
                </c:pt>
                <c:pt idx="556">
                  <c:v>-10.864288930773169</c:v>
                </c:pt>
                <c:pt idx="557">
                  <c:v>-10.874682976874061</c:v>
                </c:pt>
                <c:pt idx="558">
                  <c:v>-10.885077028781499</c:v>
                </c:pt>
                <c:pt idx="559">
                  <c:v>-10.89547108649529</c:v>
                </c:pt>
                <c:pt idx="560">
                  <c:v>-10.90586515001524</c:v>
                </c:pt>
                <c:pt idx="561">
                  <c:v>-10.916259219341152</c:v>
                </c:pt>
                <c:pt idx="562">
                  <c:v>-10.926653294472832</c:v>
                </c:pt>
                <c:pt idx="563">
                  <c:v>-10.937047375410085</c:v>
                </c:pt>
                <c:pt idx="564">
                  <c:v>-10.947441462152717</c:v>
                </c:pt>
                <c:pt idx="565">
                  <c:v>-10.957835554700532</c:v>
                </c:pt>
                <c:pt idx="566">
                  <c:v>-10.968229653053337</c:v>
                </c:pt>
                <c:pt idx="567">
                  <c:v>-10.978623757210935</c:v>
                </c:pt>
                <c:pt idx="568">
                  <c:v>-10.989017867173132</c:v>
                </c:pt>
                <c:pt idx="569">
                  <c:v>-10.999411982939733</c:v>
                </c:pt>
                <c:pt idx="570">
                  <c:v>-11.009806104510544</c:v>
                </c:pt>
                <c:pt idx="571">
                  <c:v>-11.020200231885369</c:v>
                </c:pt>
                <c:pt idx="572">
                  <c:v>-11.030594365064013</c:v>
                </c:pt>
                <c:pt idx="573">
                  <c:v>-11.040988504046284</c:v>
                </c:pt>
                <c:pt idx="574">
                  <c:v>-11.051382648831986</c:v>
                </c:pt>
                <c:pt idx="575">
                  <c:v>-11.061776799420922</c:v>
                </c:pt>
                <c:pt idx="576">
                  <c:v>-11.072170955812899</c:v>
                </c:pt>
                <c:pt idx="577">
                  <c:v>-11.082565118007722</c:v>
                </c:pt>
                <c:pt idx="578">
                  <c:v>-11.092959286005195</c:v>
                </c:pt>
                <c:pt idx="579">
                  <c:v>-11.103353459805126</c:v>
                </c:pt>
                <c:pt idx="580">
                  <c:v>-11.113747639407316</c:v>
                </c:pt>
                <c:pt idx="581">
                  <c:v>-11.124141824811575</c:v>
                </c:pt>
                <c:pt idx="582">
                  <c:v>-11.134536016017705</c:v>
                </c:pt>
                <c:pt idx="583">
                  <c:v>-11.144930213025512</c:v>
                </c:pt>
                <c:pt idx="584">
                  <c:v>-11.155324415834801</c:v>
                </c:pt>
                <c:pt idx="585">
                  <c:v>-11.165718624445379</c:v>
                </c:pt>
                <c:pt idx="586">
                  <c:v>-11.176112838857049</c:v>
                </c:pt>
                <c:pt idx="587">
                  <c:v>-11.186507059069617</c:v>
                </c:pt>
                <c:pt idx="588">
                  <c:v>-11.196901285082889</c:v>
                </c:pt>
                <c:pt idx="589">
                  <c:v>-11.20729551689667</c:v>
                </c:pt>
                <c:pt idx="590">
                  <c:v>-11.217689754510763</c:v>
                </c:pt>
                <c:pt idx="591">
                  <c:v>-11.228083997924976</c:v>
                </c:pt>
                <c:pt idx="592">
                  <c:v>-11.238478247139113</c:v>
                </c:pt>
                <c:pt idx="593">
                  <c:v>-11.248872502152981</c:v>
                </c:pt>
                <c:pt idx="594">
                  <c:v>-11.259266762966384</c:v>
                </c:pt>
                <c:pt idx="595">
                  <c:v>-11.269661029579126</c:v>
                </c:pt>
                <c:pt idx="596">
                  <c:v>-11.280055301991014</c:v>
                </c:pt>
                <c:pt idx="597">
                  <c:v>-11.290449580201853</c:v>
                </c:pt>
                <c:pt idx="598">
                  <c:v>-11.300843864211448</c:v>
                </c:pt>
                <c:pt idx="599">
                  <c:v>-11.311238154019604</c:v>
                </c:pt>
                <c:pt idx="600">
                  <c:v>-11.321632449626126</c:v>
                </c:pt>
                <c:pt idx="601">
                  <c:v>-11.332026751030821</c:v>
                </c:pt>
                <c:pt idx="602">
                  <c:v>-11.342421058233493</c:v>
                </c:pt>
                <c:pt idx="603">
                  <c:v>-11.352815371233946</c:v>
                </c:pt>
                <c:pt idx="604">
                  <c:v>-11.363209690031988</c:v>
                </c:pt>
                <c:pt idx="605">
                  <c:v>-11.373604014627423</c:v>
                </c:pt>
                <c:pt idx="606">
                  <c:v>-11.383998345020055</c:v>
                </c:pt>
                <c:pt idx="607">
                  <c:v>-11.394392681209691</c:v>
                </c:pt>
                <c:pt idx="608">
                  <c:v>-11.404787023196135</c:v>
                </c:pt>
                <c:pt idx="609">
                  <c:v>-11.415181370979194</c:v>
                </c:pt>
                <c:pt idx="610">
                  <c:v>-11.425575724558673</c:v>
                </c:pt>
                <c:pt idx="611">
                  <c:v>-11.435970083934377</c:v>
                </c:pt>
                <c:pt idx="612">
                  <c:v>-11.44636444910611</c:v>
                </c:pt>
                <c:pt idx="613">
                  <c:v>-11.456758820073679</c:v>
                </c:pt>
                <c:pt idx="614">
                  <c:v>-11.467153196836888</c:v>
                </c:pt>
                <c:pt idx="615">
                  <c:v>-11.477547579395543</c:v>
                </c:pt>
                <c:pt idx="616">
                  <c:v>-11.48794196774945</c:v>
                </c:pt>
                <c:pt idx="617">
                  <c:v>-11.498336361898414</c:v>
                </c:pt>
                <c:pt idx="618">
                  <c:v>-11.508730761842239</c:v>
                </c:pt>
                <c:pt idx="619">
                  <c:v>-11.519125167580732</c:v>
                </c:pt>
                <c:pt idx="620">
                  <c:v>-11.529519579113698</c:v>
                </c:pt>
                <c:pt idx="621">
                  <c:v>-11.539913996440943</c:v>
                </c:pt>
                <c:pt idx="622">
                  <c:v>-11.550308419562271</c:v>
                </c:pt>
                <c:pt idx="623">
                  <c:v>-11.560702848477487</c:v>
                </c:pt>
                <c:pt idx="624">
                  <c:v>-11.571097283186397</c:v>
                </c:pt>
                <c:pt idx="625">
                  <c:v>-11.581491723688806</c:v>
                </c:pt>
                <c:pt idx="626">
                  <c:v>-11.591886169984521</c:v>
                </c:pt>
                <c:pt idx="627">
                  <c:v>-11.602280622073346</c:v>
                </c:pt>
                <c:pt idx="628">
                  <c:v>-11.612675079955086</c:v>
                </c:pt>
                <c:pt idx="629">
                  <c:v>-11.623069543629546</c:v>
                </c:pt>
                <c:pt idx="630">
                  <c:v>-11.633464013096534</c:v>
                </c:pt>
                <c:pt idx="631">
                  <c:v>-11.643858488355852</c:v>
                </c:pt>
                <c:pt idx="632">
                  <c:v>-11.654252969407308</c:v>
                </c:pt>
                <c:pt idx="633">
                  <c:v>-11.664647456250705</c:v>
                </c:pt>
                <c:pt idx="634">
                  <c:v>-11.675041948885852</c:v>
                </c:pt>
                <c:pt idx="635">
                  <c:v>-11.685436447312551</c:v>
                </c:pt>
                <c:pt idx="636">
                  <c:v>-11.695830951530608</c:v>
                </c:pt>
                <c:pt idx="637">
                  <c:v>-11.70622546153983</c:v>
                </c:pt>
                <c:pt idx="638">
                  <c:v>-11.71661997734002</c:v>
                </c:pt>
                <c:pt idx="639">
                  <c:v>-11.727014498930986</c:v>
                </c:pt>
                <c:pt idx="640">
                  <c:v>-11.737409026312532</c:v>
                </c:pt>
                <c:pt idx="641">
                  <c:v>-11.747803559484463</c:v>
                </c:pt>
                <c:pt idx="642">
                  <c:v>-11.758198098446584</c:v>
                </c:pt>
                <c:pt idx="643">
                  <c:v>-11.768592643198703</c:v>
                </c:pt>
                <c:pt idx="644">
                  <c:v>-11.778987193740623</c:v>
                </c:pt>
                <c:pt idx="645">
                  <c:v>-11.789381750072149</c:v>
                </c:pt>
                <c:pt idx="646">
                  <c:v>-11.799776312193089</c:v>
                </c:pt>
                <c:pt idx="647">
                  <c:v>-11.810170880103247</c:v>
                </c:pt>
                <c:pt idx="648">
                  <c:v>-11.820565453802427</c:v>
                </c:pt>
                <c:pt idx="649">
                  <c:v>-11.830960033290436</c:v>
                </c:pt>
                <c:pt idx="650">
                  <c:v>-11.841354618567079</c:v>
                </c:pt>
                <c:pt idx="651">
                  <c:v>-11.851749209632162</c:v>
                </c:pt>
                <c:pt idx="652">
                  <c:v>-11.862143806485491</c:v>
                </c:pt>
                <c:pt idx="653">
                  <c:v>-11.87253840912687</c:v>
                </c:pt>
                <c:pt idx="654">
                  <c:v>-11.882933017556105</c:v>
                </c:pt>
                <c:pt idx="655">
                  <c:v>-11.893327631773001</c:v>
                </c:pt>
                <c:pt idx="656">
                  <c:v>-11.903722251777364</c:v>
                </c:pt>
                <c:pt idx="657">
                  <c:v>-11.914116877568999</c:v>
                </c:pt>
                <c:pt idx="658">
                  <c:v>-11.924511509147711</c:v>
                </c:pt>
                <c:pt idx="659">
                  <c:v>-11.934906146513308</c:v>
                </c:pt>
                <c:pt idx="660">
                  <c:v>-11.945300789665593</c:v>
                </c:pt>
                <c:pt idx="661">
                  <c:v>-11.955695438604373</c:v>
                </c:pt>
                <c:pt idx="662">
                  <c:v>-11.966090093329452</c:v>
                </c:pt>
                <c:pt idx="663">
                  <c:v>-11.976484753840635</c:v>
                </c:pt>
                <c:pt idx="664">
                  <c:v>-11.986879420137729</c:v>
                </c:pt>
                <c:pt idx="665">
                  <c:v>-11.99727409222054</c:v>
                </c:pt>
                <c:pt idx="666">
                  <c:v>-12.007668770088872</c:v>
                </c:pt>
                <c:pt idx="667">
                  <c:v>-12.018063453742529</c:v>
                </c:pt>
                <c:pt idx="668">
                  <c:v>-12.02845814318132</c:v>
                </c:pt>
                <c:pt idx="669">
                  <c:v>-12.038852838405049</c:v>
                </c:pt>
                <c:pt idx="670">
                  <c:v>-12.049247539413521</c:v>
                </c:pt>
                <c:pt idx="671">
                  <c:v>-12.059642246206542</c:v>
                </c:pt>
                <c:pt idx="672">
                  <c:v>-12.070036958783916</c:v>
                </c:pt>
                <c:pt idx="673">
                  <c:v>-12.080431677145452</c:v>
                </c:pt>
                <c:pt idx="674">
                  <c:v>-12.090826401290952</c:v>
                </c:pt>
                <c:pt idx="675">
                  <c:v>-12.101221131220223</c:v>
                </c:pt>
                <c:pt idx="676">
                  <c:v>-12.11161586693307</c:v>
                </c:pt>
                <c:pt idx="677">
                  <c:v>-12.122010608429299</c:v>
                </c:pt>
                <c:pt idx="678">
                  <c:v>-12.132405355708716</c:v>
                </c:pt>
                <c:pt idx="679">
                  <c:v>-12.142800108771127</c:v>
                </c:pt>
                <c:pt idx="680">
                  <c:v>-12.153194867616335</c:v>
                </c:pt>
                <c:pt idx="681">
                  <c:v>-12.163589632244147</c:v>
                </c:pt>
                <c:pt idx="682">
                  <c:v>-12.173984402654368</c:v>
                </c:pt>
                <c:pt idx="683">
                  <c:v>-12.184379178846804</c:v>
                </c:pt>
                <c:pt idx="684">
                  <c:v>-12.19477396082126</c:v>
                </c:pt>
                <c:pt idx="685">
                  <c:v>-12.205168748577544</c:v>
                </c:pt>
                <c:pt idx="686">
                  <c:v>-12.215563542115458</c:v>
                </c:pt>
                <c:pt idx="687">
                  <c:v>-12.22595834143481</c:v>
                </c:pt>
                <c:pt idx="688">
                  <c:v>-12.236353146535404</c:v>
                </c:pt>
                <c:pt idx="689">
                  <c:v>-12.246747957417046</c:v>
                </c:pt>
                <c:pt idx="690">
                  <c:v>-12.257142774079542</c:v>
                </c:pt>
                <c:pt idx="691">
                  <c:v>-12.267537596522697</c:v>
                </c:pt>
                <c:pt idx="692">
                  <c:v>-12.277932424746318</c:v>
                </c:pt>
                <c:pt idx="693">
                  <c:v>-12.288327258750208</c:v>
                </c:pt>
                <c:pt idx="694">
                  <c:v>-12.298722098534174</c:v>
                </c:pt>
                <c:pt idx="695">
                  <c:v>-12.309116944098022</c:v>
                </c:pt>
                <c:pt idx="696">
                  <c:v>-12.319511795441558</c:v>
                </c:pt>
                <c:pt idx="697">
                  <c:v>-12.329906652564587</c:v>
                </c:pt>
                <c:pt idx="698">
                  <c:v>-12.340301515466912</c:v>
                </c:pt>
                <c:pt idx="699">
                  <c:v>-12.350696384148341</c:v>
                </c:pt>
                <c:pt idx="700">
                  <c:v>-12.361091258608679</c:v>
                </c:pt>
                <c:pt idx="701">
                  <c:v>-12.371486138847732</c:v>
                </c:pt>
                <c:pt idx="702">
                  <c:v>-12.381881024865306</c:v>
                </c:pt>
                <c:pt idx="703">
                  <c:v>-12.392275916661207</c:v>
                </c:pt>
                <c:pt idx="704">
                  <c:v>-12.40267081423524</c:v>
                </c:pt>
                <c:pt idx="705">
                  <c:v>-12.413065717587209</c:v>
                </c:pt>
                <c:pt idx="706">
                  <c:v>-12.423460626716921</c:v>
                </c:pt>
                <c:pt idx="707">
                  <c:v>-12.433855541624181</c:v>
                </c:pt>
                <c:pt idx="708">
                  <c:v>-12.444250462308796</c:v>
                </c:pt>
                <c:pt idx="709">
                  <c:v>-12.454645388770571</c:v>
                </c:pt>
                <c:pt idx="710">
                  <c:v>-12.46504032100931</c:v>
                </c:pt>
                <c:pt idx="711">
                  <c:v>-12.47543525902482</c:v>
                </c:pt>
                <c:pt idx="712">
                  <c:v>-12.485830202816906</c:v>
                </c:pt>
                <c:pt idx="713">
                  <c:v>-12.496225152385374</c:v>
                </c:pt>
                <c:pt idx="714">
                  <c:v>-12.506620107730031</c:v>
                </c:pt>
                <c:pt idx="715">
                  <c:v>-12.51701506885068</c:v>
                </c:pt>
                <c:pt idx="716">
                  <c:v>-12.527410035747129</c:v>
                </c:pt>
                <c:pt idx="717">
                  <c:v>-12.537805008419182</c:v>
                </c:pt>
                <c:pt idx="718">
                  <c:v>-12.548199986866646</c:v>
                </c:pt>
                <c:pt idx="719">
                  <c:v>-12.558594971089326</c:v>
                </c:pt>
                <c:pt idx="720">
                  <c:v>-12.568989961087027</c:v>
                </c:pt>
                <c:pt idx="721">
                  <c:v>-12.579384956859554</c:v>
                </c:pt>
                <c:pt idx="722">
                  <c:v>-12.589779958406716</c:v>
                </c:pt>
                <c:pt idx="723">
                  <c:v>-12.600174965728314</c:v>
                </c:pt>
                <c:pt idx="724">
                  <c:v>-12.610569978824158</c:v>
                </c:pt>
                <c:pt idx="725">
                  <c:v>-12.620964997694051</c:v>
                </c:pt>
                <c:pt idx="726">
                  <c:v>-12.631360022337798</c:v>
                </c:pt>
                <c:pt idx="727">
                  <c:v>-12.641755052755206</c:v>
                </c:pt>
                <c:pt idx="728">
                  <c:v>-12.652150088946081</c:v>
                </c:pt>
                <c:pt idx="729">
                  <c:v>-12.66254513091023</c:v>
                </c:pt>
                <c:pt idx="730">
                  <c:v>-12.672940178647456</c:v>
                </c:pt>
                <c:pt idx="731">
                  <c:v>-12.683335232157566</c:v>
                </c:pt>
                <c:pt idx="732">
                  <c:v>-12.693730291440364</c:v>
                </c:pt>
                <c:pt idx="733">
                  <c:v>-12.704125356495657</c:v>
                </c:pt>
                <c:pt idx="734">
                  <c:v>-12.714520427323251</c:v>
                </c:pt>
                <c:pt idx="735">
                  <c:v>-12.724915503922951</c:v>
                </c:pt>
                <c:pt idx="736">
                  <c:v>-12.735310586294563</c:v>
                </c:pt>
                <c:pt idx="737">
                  <c:v>-12.745705674437893</c:v>
                </c:pt>
                <c:pt idx="738">
                  <c:v>-12.756100768352747</c:v>
                </c:pt>
                <c:pt idx="739">
                  <c:v>-12.76649586803893</c:v>
                </c:pt>
                <c:pt idx="740">
                  <c:v>-12.776890973496249</c:v>
                </c:pt>
                <c:pt idx="741">
                  <c:v>-12.787286084724506</c:v>
                </c:pt>
                <c:pt idx="742">
                  <c:v>-12.797681201723512</c:v>
                </c:pt>
                <c:pt idx="743">
                  <c:v>-12.808076324493067</c:v>
                </c:pt>
                <c:pt idx="744">
                  <c:v>-12.818471453032981</c:v>
                </c:pt>
                <c:pt idx="745">
                  <c:v>-12.828866587343057</c:v>
                </c:pt>
                <c:pt idx="746">
                  <c:v>-12.839261727423104</c:v>
                </c:pt>
                <c:pt idx="747">
                  <c:v>-12.849656873272924</c:v>
                </c:pt>
                <c:pt idx="748">
                  <c:v>-12.860052024892324</c:v>
                </c:pt>
                <c:pt idx="749">
                  <c:v>-12.870447182281112</c:v>
                </c:pt>
                <c:pt idx="750">
                  <c:v>-12.88084234543909</c:v>
                </c:pt>
                <c:pt idx="751">
                  <c:v>-12.891237514366066</c:v>
                </c:pt>
                <c:pt idx="752">
                  <c:v>-12.901632689061847</c:v>
                </c:pt>
                <c:pt idx="753">
                  <c:v>-12.912027869526236</c:v>
                </c:pt>
                <c:pt idx="754">
                  <c:v>-12.92242305575904</c:v>
                </c:pt>
                <c:pt idx="755">
                  <c:v>-12.932818247760064</c:v>
                </c:pt>
                <c:pt idx="756">
                  <c:v>-12.943213445529114</c:v>
                </c:pt>
                <c:pt idx="757">
                  <c:v>-12.953608649065997</c:v>
                </c:pt>
                <c:pt idx="758">
                  <c:v>-12.964003858370516</c:v>
                </c:pt>
                <c:pt idx="759">
                  <c:v>-12.974399073442481</c:v>
                </c:pt>
                <c:pt idx="760">
                  <c:v>-12.984794294281693</c:v>
                </c:pt>
                <c:pt idx="761">
                  <c:v>-12.995189520887962</c:v>
                </c:pt>
                <c:pt idx="762">
                  <c:v>-13.005584753261092</c:v>
                </c:pt>
                <c:pt idx="763">
                  <c:v>-13.015979991400886</c:v>
                </c:pt>
                <c:pt idx="764">
                  <c:v>-13.026375235307155</c:v>
                </c:pt>
                <c:pt idx="765">
                  <c:v>-13.036770484979701</c:v>
                </c:pt>
                <c:pt idx="766">
                  <c:v>-13.047165740418331</c:v>
                </c:pt>
                <c:pt idx="767">
                  <c:v>-13.057561001622849</c:v>
                </c:pt>
                <c:pt idx="768">
                  <c:v>-13.067956268593063</c:v>
                </c:pt>
                <c:pt idx="769">
                  <c:v>-13.078351541328779</c:v>
                </c:pt>
                <c:pt idx="770">
                  <c:v>-13.088746819829801</c:v>
                </c:pt>
                <c:pt idx="771">
                  <c:v>-13.099142104095936</c:v>
                </c:pt>
                <c:pt idx="772">
                  <c:v>-13.10953739412699</c:v>
                </c:pt>
                <c:pt idx="773">
                  <c:v>-13.119932689922768</c:v>
                </c:pt>
                <c:pt idx="774">
                  <c:v>-13.130327991483076</c:v>
                </c:pt>
                <c:pt idx="775">
                  <c:v>-13.140723298807721</c:v>
                </c:pt>
                <c:pt idx="776">
                  <c:v>-13.151118611896507</c:v>
                </c:pt>
                <c:pt idx="777">
                  <c:v>-13.161513930749241</c:v>
                </c:pt>
                <c:pt idx="778">
                  <c:v>-13.171909255365728</c:v>
                </c:pt>
                <c:pt idx="779">
                  <c:v>-13.182304585745774</c:v>
                </c:pt>
                <c:pt idx="780">
                  <c:v>-13.192699921889185</c:v>
                </c:pt>
                <c:pt idx="781">
                  <c:v>-13.203095263795767</c:v>
                </c:pt>
                <c:pt idx="782">
                  <c:v>-13.213490611465325</c:v>
                </c:pt>
                <c:pt idx="783">
                  <c:v>-13.223885964897665</c:v>
                </c:pt>
                <c:pt idx="784">
                  <c:v>-13.234281324092594</c:v>
                </c:pt>
                <c:pt idx="785">
                  <c:v>-13.244676689049916</c:v>
                </c:pt>
                <c:pt idx="786">
                  <c:v>-13.255072059769439</c:v>
                </c:pt>
                <c:pt idx="787">
                  <c:v>-13.265467436250967</c:v>
                </c:pt>
                <c:pt idx="788">
                  <c:v>-13.275862818494307</c:v>
                </c:pt>
                <c:pt idx="789">
                  <c:v>-13.286258206499264</c:v>
                </c:pt>
                <c:pt idx="790">
                  <c:v>-13.296653600265644</c:v>
                </c:pt>
                <c:pt idx="791">
                  <c:v>-13.307048999793254</c:v>
                </c:pt>
                <c:pt idx="792">
                  <c:v>-13.317444405081899</c:v>
                </c:pt>
                <c:pt idx="793">
                  <c:v>-13.327839816131384</c:v>
                </c:pt>
                <c:pt idx="794">
                  <c:v>-13.338235232941516</c:v>
                </c:pt>
                <c:pt idx="795">
                  <c:v>-13.3486306555121</c:v>
                </c:pt>
                <c:pt idx="796">
                  <c:v>-13.359026083842942</c:v>
                </c:pt>
                <c:pt idx="797">
                  <c:v>-13.369421517933848</c:v>
                </c:pt>
                <c:pt idx="798">
                  <c:v>-13.379816957784625</c:v>
                </c:pt>
                <c:pt idx="799">
                  <c:v>-13.390212403395077</c:v>
                </c:pt>
                <c:pt idx="800">
                  <c:v>-13.400607854765012</c:v>
                </c:pt>
                <c:pt idx="801">
                  <c:v>-13.411003311894234</c:v>
                </c:pt>
                <c:pt idx="802">
                  <c:v>-13.421398774782549</c:v>
                </c:pt>
                <c:pt idx="803">
                  <c:v>-13.431794243429765</c:v>
                </c:pt>
                <c:pt idx="804">
                  <c:v>-13.442189717835685</c:v>
                </c:pt>
                <c:pt idx="805">
                  <c:v>-13.452585198000117</c:v>
                </c:pt>
                <c:pt idx="806">
                  <c:v>-13.462980683922865</c:v>
                </c:pt>
                <c:pt idx="807">
                  <c:v>-13.473376175603738</c:v>
                </c:pt>
                <c:pt idx="808">
                  <c:v>-13.483771673042538</c:v>
                </c:pt>
                <c:pt idx="809">
                  <c:v>-13.494167176239074</c:v>
                </c:pt>
                <c:pt idx="810">
                  <c:v>-13.50456268519315</c:v>
                </c:pt>
                <c:pt idx="811">
                  <c:v>-13.514958199904573</c:v>
                </c:pt>
                <c:pt idx="812">
                  <c:v>-13.525353720373149</c:v>
                </c:pt>
                <c:pt idx="813">
                  <c:v>-13.535749246598682</c:v>
                </c:pt>
                <c:pt idx="814">
                  <c:v>-13.546144778580979</c:v>
                </c:pt>
                <c:pt idx="815">
                  <c:v>-13.556540316319847</c:v>
                </c:pt>
                <c:pt idx="816">
                  <c:v>-13.566935859815091</c:v>
                </c:pt>
                <c:pt idx="817">
                  <c:v>-13.577331409066518</c:v>
                </c:pt>
                <c:pt idx="818">
                  <c:v>-13.587726964073934</c:v>
                </c:pt>
                <c:pt idx="819">
                  <c:v>-13.598122524837143</c:v>
                </c:pt>
                <c:pt idx="820">
                  <c:v>-13.60851809135595</c:v>
                </c:pt>
                <c:pt idx="821">
                  <c:v>-13.618913663630165</c:v>
                </c:pt>
                <c:pt idx="822">
                  <c:v>-13.629309241659591</c:v>
                </c:pt>
                <c:pt idx="823">
                  <c:v>-13.639704825444035</c:v>
                </c:pt>
                <c:pt idx="824">
                  <c:v>-13.650100414983303</c:v>
                </c:pt>
                <c:pt idx="825">
                  <c:v>-13.6604960102772</c:v>
                </c:pt>
                <c:pt idx="826">
                  <c:v>-13.670891611325532</c:v>
                </c:pt>
                <c:pt idx="827">
                  <c:v>-13.681287218128105</c:v>
                </c:pt>
                <c:pt idx="828">
                  <c:v>-13.691682830684726</c:v>
                </c:pt>
                <c:pt idx="829">
                  <c:v>-13.7020784489952</c:v>
                </c:pt>
                <c:pt idx="830">
                  <c:v>-13.712474073059335</c:v>
                </c:pt>
                <c:pt idx="831">
                  <c:v>-13.722869702876935</c:v>
                </c:pt>
                <c:pt idx="832">
                  <c:v>-13.733265338447804</c:v>
                </c:pt>
                <c:pt idx="833">
                  <c:v>-13.743660979771752</c:v>
                </c:pt>
                <c:pt idx="834">
                  <c:v>-13.754056626848582</c:v>
                </c:pt>
                <c:pt idx="835">
                  <c:v>-13.764452279678101</c:v>
                </c:pt>
                <c:pt idx="836">
                  <c:v>-13.774847938260116</c:v>
                </c:pt>
                <c:pt idx="837">
                  <c:v>-13.785243602594432</c:v>
                </c:pt>
                <c:pt idx="838">
                  <c:v>-13.795639272680855</c:v>
                </c:pt>
                <c:pt idx="839">
                  <c:v>-13.806034948519192</c:v>
                </c:pt>
                <c:pt idx="840">
                  <c:v>-13.816430630109249</c:v>
                </c:pt>
                <c:pt idx="841">
                  <c:v>-13.826826317450829</c:v>
                </c:pt>
                <c:pt idx="842">
                  <c:v>-13.837222010543741</c:v>
                </c:pt>
                <c:pt idx="843">
                  <c:v>-13.847617709387789</c:v>
                </c:pt>
                <c:pt idx="844">
                  <c:v>-13.85801341398278</c:v>
                </c:pt>
                <c:pt idx="845">
                  <c:v>-13.868409124328521</c:v>
                </c:pt>
                <c:pt idx="846">
                  <c:v>-13.878804840424817</c:v>
                </c:pt>
                <c:pt idx="847">
                  <c:v>-13.889200562271474</c:v>
                </c:pt>
                <c:pt idx="848">
                  <c:v>-13.899596289868299</c:v>
                </c:pt>
                <c:pt idx="849">
                  <c:v>-13.909992023215096</c:v>
                </c:pt>
                <c:pt idx="850">
                  <c:v>-13.920387762311673</c:v>
                </c:pt>
                <c:pt idx="851">
                  <c:v>-13.930783507157836</c:v>
                </c:pt>
                <c:pt idx="852">
                  <c:v>-13.941179257753388</c:v>
                </c:pt>
                <c:pt idx="853">
                  <c:v>-13.951575014098138</c:v>
                </c:pt>
                <c:pt idx="854">
                  <c:v>-13.96197077619189</c:v>
                </c:pt>
                <c:pt idx="855">
                  <c:v>-13.972366544034452</c:v>
                </c:pt>
                <c:pt idx="856">
                  <c:v>-13.98276231762563</c:v>
                </c:pt>
                <c:pt idx="857">
                  <c:v>-13.99315809696523</c:v>
                </c:pt>
                <c:pt idx="858">
                  <c:v>-14.003553882053057</c:v>
                </c:pt>
                <c:pt idx="859">
                  <c:v>-14.013949672888916</c:v>
                </c:pt>
                <c:pt idx="860">
                  <c:v>-14.024345469472616</c:v>
                </c:pt>
                <c:pt idx="861">
                  <c:v>-14.034741271803961</c:v>
                </c:pt>
                <c:pt idx="862">
                  <c:v>-14.045137079882759</c:v>
                </c:pt>
                <c:pt idx="863">
                  <c:v>-14.055532893708813</c:v>
                </c:pt>
                <c:pt idx="864">
                  <c:v>-14.065928713281931</c:v>
                </c:pt>
                <c:pt idx="865">
                  <c:v>-14.076324538601918</c:v>
                </c:pt>
                <c:pt idx="866">
                  <c:v>-14.086720369668582</c:v>
                </c:pt>
                <c:pt idx="867">
                  <c:v>-14.097116206481727</c:v>
                </c:pt>
                <c:pt idx="868">
                  <c:v>-14.107512049041162</c:v>
                </c:pt>
                <c:pt idx="869">
                  <c:v>-14.11790789734669</c:v>
                </c:pt>
                <c:pt idx="870">
                  <c:v>-14.128303751398118</c:v>
                </c:pt>
                <c:pt idx="871">
                  <c:v>-14.138699611195252</c:v>
                </c:pt>
                <c:pt idx="872">
                  <c:v>-14.149095476737898</c:v>
                </c:pt>
                <c:pt idx="873">
                  <c:v>-14.159491348025863</c:v>
                </c:pt>
                <c:pt idx="874">
                  <c:v>-14.169887225058954</c:v>
                </c:pt>
                <c:pt idx="875">
                  <c:v>-14.180283107836974</c:v>
                </c:pt>
                <c:pt idx="876">
                  <c:v>-14.190678996359731</c:v>
                </c:pt>
                <c:pt idx="877">
                  <c:v>-14.20107489062703</c:v>
                </c:pt>
                <c:pt idx="878">
                  <c:v>-14.211470790638678</c:v>
                </c:pt>
                <c:pt idx="879">
                  <c:v>-14.221866696394482</c:v>
                </c:pt>
                <c:pt idx="880">
                  <c:v>-14.232262607894247</c:v>
                </c:pt>
                <c:pt idx="881">
                  <c:v>-14.242658525137779</c:v>
                </c:pt>
                <c:pt idx="882">
                  <c:v>-14.253054448124885</c:v>
                </c:pt>
                <c:pt idx="883">
                  <c:v>-14.263450376855371</c:v>
                </c:pt>
                <c:pt idx="884">
                  <c:v>-14.273846311329041</c:v>
                </c:pt>
                <c:pt idx="885">
                  <c:v>-14.284242251545704</c:v>
                </c:pt>
                <c:pt idx="886">
                  <c:v>-14.294638197505165</c:v>
                </c:pt>
                <c:pt idx="887">
                  <c:v>-14.305034149207229</c:v>
                </c:pt>
                <c:pt idx="888">
                  <c:v>-14.315430106651704</c:v>
                </c:pt>
                <c:pt idx="889">
                  <c:v>-14.325826069838394</c:v>
                </c:pt>
                <c:pt idx="890">
                  <c:v>-14.336222038767106</c:v>
                </c:pt>
                <c:pt idx="891">
                  <c:v>-14.346618013437647</c:v>
                </c:pt>
                <c:pt idx="892">
                  <c:v>-14.357013993849822</c:v>
                </c:pt>
                <c:pt idx="893">
                  <c:v>-14.367409980003439</c:v>
                </c:pt>
                <c:pt idx="894">
                  <c:v>-14.377805971898303</c:v>
                </c:pt>
                <c:pt idx="895">
                  <c:v>-14.388201969534219</c:v>
                </c:pt>
                <c:pt idx="896">
                  <c:v>-14.398597972910995</c:v>
                </c:pt>
                <c:pt idx="897">
                  <c:v>-14.408993982028436</c:v>
                </c:pt>
                <c:pt idx="898">
                  <c:v>-14.419389996886348</c:v>
                </c:pt>
                <c:pt idx="899">
                  <c:v>-14.429786017484538</c:v>
                </c:pt>
                <c:pt idx="900">
                  <c:v>-14.440182043822812</c:v>
                </c:pt>
                <c:pt idx="901">
                  <c:v>-14.450578075900976</c:v>
                </c:pt>
                <c:pt idx="902">
                  <c:v>-14.460974113718837</c:v>
                </c:pt>
                <c:pt idx="903">
                  <c:v>-14.471370157276201</c:v>
                </c:pt>
                <c:pt idx="904">
                  <c:v>-14.481766206572873</c:v>
                </c:pt>
                <c:pt idx="905">
                  <c:v>-14.492162261608661</c:v>
                </c:pt>
                <c:pt idx="906">
                  <c:v>-14.502558322383369</c:v>
                </c:pt>
                <c:pt idx="907">
                  <c:v>-14.512954388896803</c:v>
                </c:pt>
                <c:pt idx="908">
                  <c:v>-14.523350461148771</c:v>
                </c:pt>
                <c:pt idx="909">
                  <c:v>-14.533746539139079</c:v>
                </c:pt>
                <c:pt idx="910">
                  <c:v>-14.544142622867533</c:v>
                </c:pt>
                <c:pt idx="911">
                  <c:v>-14.554538712333938</c:v>
                </c:pt>
                <c:pt idx="912">
                  <c:v>-14.564934807538101</c:v>
                </c:pt>
                <c:pt idx="913">
                  <c:v>-14.575330908479829</c:v>
                </c:pt>
                <c:pt idx="914">
                  <c:v>-14.585727015158929</c:v>
                </c:pt>
                <c:pt idx="915">
                  <c:v>-14.596123127575204</c:v>
                </c:pt>
                <c:pt idx="916">
                  <c:v>-14.606519245728462</c:v>
                </c:pt>
                <c:pt idx="917">
                  <c:v>-14.616915369618509</c:v>
                </c:pt>
                <c:pt idx="918">
                  <c:v>-14.627311499245153</c:v>
                </c:pt>
                <c:pt idx="919">
                  <c:v>-14.637707634608198</c:v>
                </c:pt>
                <c:pt idx="920">
                  <c:v>-14.648103775707451</c:v>
                </c:pt>
                <c:pt idx="921">
                  <c:v>-14.658499922542719</c:v>
                </c:pt>
                <c:pt idx="922">
                  <c:v>-14.668896075113805</c:v>
                </c:pt>
                <c:pt idx="923">
                  <c:v>-14.679292233420519</c:v>
                </c:pt>
                <c:pt idx="924">
                  <c:v>-14.689688397462666</c:v>
                </c:pt>
                <c:pt idx="925">
                  <c:v>-14.700084567240051</c:v>
                </c:pt>
                <c:pt idx="926">
                  <c:v>-14.710480742752482</c:v>
                </c:pt>
                <c:pt idx="927">
                  <c:v>-14.720876923999764</c:v>
                </c:pt>
                <c:pt idx="928">
                  <c:v>-14.731273110981704</c:v>
                </c:pt>
                <c:pt idx="929">
                  <c:v>-14.741669303698108</c:v>
                </c:pt>
                <c:pt idx="930">
                  <c:v>-14.752065502148783</c:v>
                </c:pt>
                <c:pt idx="931">
                  <c:v>-14.762461706333534</c:v>
                </c:pt>
                <c:pt idx="932">
                  <c:v>-14.772857916252168</c:v>
                </c:pt>
                <c:pt idx="933">
                  <c:v>-14.78325413190449</c:v>
                </c:pt>
                <c:pt idx="934">
                  <c:v>-14.793650353290309</c:v>
                </c:pt>
                <c:pt idx="935">
                  <c:v>-14.804046580409429</c:v>
                </c:pt>
                <c:pt idx="936">
                  <c:v>-14.814442813261657</c:v>
                </c:pt>
                <c:pt idx="937">
                  <c:v>-14.8248390518468</c:v>
                </c:pt>
                <c:pt idx="938">
                  <c:v>-14.835235296164662</c:v>
                </c:pt>
                <c:pt idx="939">
                  <c:v>-14.845631546215051</c:v>
                </c:pt>
                <c:pt idx="940">
                  <c:v>-14.856027801997774</c:v>
                </c:pt>
                <c:pt idx="941">
                  <c:v>-14.866424063512635</c:v>
                </c:pt>
                <c:pt idx="942">
                  <c:v>-14.876820330759443</c:v>
                </c:pt>
                <c:pt idx="943">
                  <c:v>-14.887216603738002</c:v>
                </c:pt>
                <c:pt idx="944">
                  <c:v>-14.89761288244812</c:v>
                </c:pt>
                <c:pt idx="945">
                  <c:v>-14.908009166889602</c:v>
                </c:pt>
                <c:pt idx="946">
                  <c:v>-14.918405457062255</c:v>
                </c:pt>
                <c:pt idx="947">
                  <c:v>-14.928801752965885</c:v>
                </c:pt>
                <c:pt idx="948">
                  <c:v>-14.939198054600299</c:v>
                </c:pt>
                <c:pt idx="949">
                  <c:v>-14.949594361965302</c:v>
                </c:pt>
                <c:pt idx="950">
                  <c:v>-14.9599906750607</c:v>
                </c:pt>
                <c:pt idx="951">
                  <c:v>-14.970386993886303</c:v>
                </c:pt>
                <c:pt idx="952">
                  <c:v>-14.980783318441913</c:v>
                </c:pt>
                <c:pt idx="953">
                  <c:v>-14.991179648727339</c:v>
                </c:pt>
                <c:pt idx="954">
                  <c:v>-15.001575984742386</c:v>
                </c:pt>
                <c:pt idx="955">
                  <c:v>-15.011972326486861</c:v>
                </c:pt>
                <c:pt idx="956">
                  <c:v>-15.022368673960569</c:v>
                </c:pt>
                <c:pt idx="957">
                  <c:v>-15.032765027163318</c:v>
                </c:pt>
                <c:pt idx="958">
                  <c:v>-15.043161386094914</c:v>
                </c:pt>
                <c:pt idx="959">
                  <c:v>-15.053557750755163</c:v>
                </c:pt>
                <c:pt idx="960">
                  <c:v>-15.063954121143871</c:v>
                </c:pt>
                <c:pt idx="961">
                  <c:v>-15.074350497260845</c:v>
                </c:pt>
                <c:pt idx="962">
                  <c:v>-15.084746879105891</c:v>
                </c:pt>
                <c:pt idx="963">
                  <c:v>-15.095143266678816</c:v>
                </c:pt>
                <c:pt idx="964">
                  <c:v>-15.105539659979424</c:v>
                </c:pt>
                <c:pt idx="965">
                  <c:v>-15.115936059007524</c:v>
                </c:pt>
                <c:pt idx="966">
                  <c:v>-15.126332463762921</c:v>
                </c:pt>
                <c:pt idx="967">
                  <c:v>-15.136728874245422</c:v>
                </c:pt>
                <c:pt idx="968">
                  <c:v>-15.147125290454834</c:v>
                </c:pt>
                <c:pt idx="969">
                  <c:v>-15.157521712390963</c:v>
                </c:pt>
                <c:pt idx="970">
                  <c:v>-15.167918140053615</c:v>
                </c:pt>
                <c:pt idx="971">
                  <c:v>-15.178314573442595</c:v>
                </c:pt>
                <c:pt idx="972">
                  <c:v>-15.188711012557711</c:v>
                </c:pt>
                <c:pt idx="973">
                  <c:v>-15.199107457398769</c:v>
                </c:pt>
                <c:pt idx="974">
                  <c:v>-15.209503907965576</c:v>
                </c:pt>
                <c:pt idx="975">
                  <c:v>-15.219900364257938</c:v>
                </c:pt>
                <c:pt idx="976">
                  <c:v>-15.230296826275662</c:v>
                </c:pt>
                <c:pt idx="977">
                  <c:v>-15.240693294018554</c:v>
                </c:pt>
                <c:pt idx="978">
                  <c:v>-15.25108976748642</c:v>
                </c:pt>
                <c:pt idx="979">
                  <c:v>-15.261486246679066</c:v>
                </c:pt>
                <c:pt idx="980">
                  <c:v>-15.271882731596298</c:v>
                </c:pt>
                <c:pt idx="981">
                  <c:v>-15.282279222237923</c:v>
                </c:pt>
                <c:pt idx="982">
                  <c:v>-15.292675718603748</c:v>
                </c:pt>
                <c:pt idx="983">
                  <c:v>-15.303072220693579</c:v>
                </c:pt>
                <c:pt idx="984">
                  <c:v>-15.313468728507223</c:v>
                </c:pt>
                <c:pt idx="985">
                  <c:v>-15.323865242044485</c:v>
                </c:pt>
                <c:pt idx="986">
                  <c:v>-15.334261761305173</c:v>
                </c:pt>
                <c:pt idx="987">
                  <c:v>-15.344658286289095</c:v>
                </c:pt>
                <c:pt idx="988">
                  <c:v>-15.355054816996054</c:v>
                </c:pt>
                <c:pt idx="989">
                  <c:v>-15.365451353425858</c:v>
                </c:pt>
                <c:pt idx="990">
                  <c:v>-15.375847895578312</c:v>
                </c:pt>
                <c:pt idx="991">
                  <c:v>-15.386244443453224</c:v>
                </c:pt>
                <c:pt idx="992">
                  <c:v>-15.396640997050399</c:v>
                </c:pt>
                <c:pt idx="993">
                  <c:v>-15.407037556369646</c:v>
                </c:pt>
                <c:pt idx="994">
                  <c:v>-15.41743412141077</c:v>
                </c:pt>
                <c:pt idx="995">
                  <c:v>-15.427830692173575</c:v>
                </c:pt>
                <c:pt idx="996">
                  <c:v>-15.438227268657872</c:v>
                </c:pt>
                <c:pt idx="997">
                  <c:v>-15.448623850863465</c:v>
                </c:pt>
                <c:pt idx="998">
                  <c:v>-15.45902043879016</c:v>
                </c:pt>
                <c:pt idx="999">
                  <c:v>-15.469417032437764</c:v>
                </c:pt>
                <c:pt idx="1000">
                  <c:v>-15.479813631806085</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Calculs!$K$4:$K$1004</c:f>
              <c:numCache>
                <c:formatCode>0.00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1438.172866697847</c:v>
                </c:pt>
                <c:pt idx="300">
                  <c:v>1438.0767119267175</c:v>
                </c:pt>
                <c:pt idx="301">
                  <c:v>1437.8826287380009</c:v>
                </c:pt>
                <c:pt idx="302">
                  <c:v>1437.5907921864218</c:v>
                </c:pt>
                <c:pt idx="303">
                  <c:v>1437.2013780960326</c:v>
                </c:pt>
                <c:pt idx="304">
                  <c:v>1436.7145638979523</c:v>
                </c:pt>
                <c:pt idx="305">
                  <c:v>1436.130529441567</c:v>
                </c:pt>
                <c:pt idx="306">
                  <c:v>1435.4494577734949</c:v>
                </c:pt>
                <c:pt idx="307">
                  <c:v>1434.6715358793581</c:v>
                </c:pt>
                <c:pt idx="308">
                  <c:v>1433.7969553842604</c:v>
                </c:pt>
                <c:pt idx="309">
                  <c:v>1432.8259132087915</c:v>
                </c:pt>
                <c:pt idx="310">
                  <c:v>1431.7586121783017</c:v>
                </c:pt>
                <c:pt idx="311">
                  <c:v>1430.5952615841022</c:v>
                </c:pt>
                <c:pt idx="312">
                  <c:v>1429.3360776960706</c:v>
                </c:pt>
                <c:pt idx="313">
                  <c:v>1427.9812842268909</c:v>
                </c:pt>
                <c:pt idx="314">
                  <c:v>1426.531112748788</c:v>
                </c:pt>
                <c:pt idx="315">
                  <c:v>1424.9858030641353</c:v>
                </c:pt>
                <c:pt idx="316">
                  <c:v>1423.3456035317236</c:v>
                </c:pt>
                <c:pt idx="317">
                  <c:v>1421.6107713507683</c:v>
                </c:pt>
                <c:pt idx="318">
                  <c:v>1419.7815728049438</c:v>
                </c:pt>
                <c:pt idx="319">
                  <c:v>1417.8582834688364</c:v>
                </c:pt>
                <c:pt idx="320">
                  <c:v>1415.8411883792644</c:v>
                </c:pt>
                <c:pt idx="321">
                  <c:v>1413.7305821738946</c:v>
                </c:pt>
                <c:pt idx="322">
                  <c:v>1411.5267691995355</c:v>
                </c:pt>
                <c:pt idx="323">
                  <c:v>1409.2300635923946</c:v>
                </c:pt>
                <c:pt idx="324">
                  <c:v>1406.840789332482</c:v>
                </c:pt>
                <c:pt idx="325">
                  <c:v>1404.359280274216</c:v>
                </c:pt>
                <c:pt idx="326">
                  <c:v>1401.7858801551538</c:v>
                </c:pt>
                <c:pt idx="327">
                  <c:v>1399.1209425846375</c:v>
                </c:pt>
                <c:pt idx="328">
                  <c:v>1396.3648310140113</c:v>
                </c:pt>
                <c:pt idx="329">
                  <c:v>1393.5179186899352</c:v>
                </c:pt>
                <c:pt idx="330">
                  <c:v>1390.5805885922011</c:v>
                </c:pt>
                <c:pt idx="331">
                  <c:v>1387.5532333573371</c:v>
                </c:pt>
                <c:pt idx="332">
                  <c:v>1384.4362551891802</c:v>
                </c:pt>
                <c:pt idx="333">
                  <c:v>1381.2300657574979</c:v>
                </c:pt>
                <c:pt idx="334">
                  <c:v>1377.9350860856496</c:v>
                </c:pt>
                <c:pt idx="335">
                  <c:v>1374.5517464281907</c:v>
                </c:pt>
                <c:pt idx="336">
                  <c:v>1371.080486139253</c:v>
                </c:pt>
                <c:pt idx="337">
                  <c:v>1367.5217535324641</c:v>
                </c:pt>
                <c:pt idx="338">
                  <c:v>1363.8760057331049</c:v>
                </c:pt>
                <c:pt idx="339">
                  <c:v>1360.1437085231535</c:v>
                </c:pt>
                <c:pt idx="340">
                  <c:v>1356.3253361798122</c:v>
                </c:pt>
                <c:pt idx="341">
                  <c:v>1352.4213713080683</c:v>
                </c:pt>
                <c:pt idx="342">
                  <c:v>1348.4323046678016</c:v>
                </c:pt>
                <c:pt idx="343">
                  <c:v>1344.358634995916</c:v>
                </c:pt>
                <c:pt idx="344">
                  <c:v>1340.2008688239362</c:v>
                </c:pt>
                <c:pt idx="345">
                  <c:v>1335.9595202914907</c:v>
                </c:pt>
                <c:pt idx="346">
                  <c:v>1331.635110956064</c:v>
                </c:pt>
                <c:pt idx="347">
                  <c:v>1327.2281695993895</c:v>
                </c:pt>
                <c:pt idx="348">
                  <c:v>1322.7392320308247</c:v>
                </c:pt>
                <c:pt idx="349">
                  <c:v>1318.1688408880361</c:v>
                </c:pt>
                <c:pt idx="350">
                  <c:v>1313.5175454353023</c:v>
                </c:pt>
                <c:pt idx="351">
                  <c:v>1308.7859013597276</c:v>
                </c:pt>
                <c:pt idx="352">
                  <c:v>1303.9744705656447</c:v>
                </c:pt>
                <c:pt idx="353">
                  <c:v>1299.0838209674714</c:v>
                </c:pt>
                <c:pt idx="354">
                  <c:v>1294.1145262812745</c:v>
                </c:pt>
                <c:pt idx="355">
                  <c:v>1289.0671658152817</c:v>
                </c:pt>
                <c:pt idx="356">
                  <c:v>1283.9423242595742</c:v>
                </c:pt>
                <c:pt idx="357">
                  <c:v>1278.7405914751796</c:v>
                </c:pt>
                <c:pt idx="358">
                  <c:v>1273.4625622827773</c:v>
                </c:pt>
                <c:pt idx="359">
                  <c:v>1268.1088362512221</c:v>
                </c:pt>
                <c:pt idx="360">
                  <c:v>1262.6800174860789</c:v>
                </c:pt>
                <c:pt idx="361">
                  <c:v>1257.1767144183573</c:v>
                </c:pt>
                <c:pt idx="362">
                  <c:v>1251.5995395936259</c:v>
                </c:pt>
                <c:pt idx="363">
                  <c:v>1245.9491094616801</c:v>
                </c:pt>
                <c:pt idx="364">
                  <c:v>1240.2260441669289</c:v>
                </c:pt>
                <c:pt idx="365">
                  <c:v>1234.4309673396617</c:v>
                </c:pt>
                <c:pt idx="366">
                  <c:v>1228.5645058883467</c:v>
                </c:pt>
                <c:pt idx="367">
                  <c:v>1222.6272897931099</c:v>
                </c:pt>
                <c:pt idx="368">
                  <c:v>1216.6199519005359</c:v>
                </c:pt>
                <c:pt idx="369">
                  <c:v>1210.5431277199248</c:v>
                </c:pt>
                <c:pt idx="370">
                  <c:v>1204.3974552211364</c:v>
                </c:pt>
                <c:pt idx="371">
                  <c:v>1198.1835746341451</c:v>
                </c:pt>
                <c:pt idx="372">
                  <c:v>1191.9021282504248</c:v>
                </c:pt>
                <c:pt idx="373">
                  <c:v>1185.5537602262771</c:v>
                </c:pt>
                <c:pt idx="374">
                  <c:v>1179.1391163882111</c:v>
                </c:pt>
                <c:pt idx="375">
                  <c:v>1172.6588440404776</c:v>
                </c:pt>
                <c:pt idx="376">
                  <c:v>1166.1135917748568</c:v>
                </c:pt>
                <c:pt idx="377">
                  <c:v>1159.5040092827908</c:v>
                </c:pt>
                <c:pt idx="378">
                  <c:v>1152.8307471699504</c:v>
                </c:pt>
                <c:pt idx="379">
                  <c:v>1146.0944567733197</c:v>
                </c:pt>
                <c:pt idx="380">
                  <c:v>1139.2957899808757</c:v>
                </c:pt>
                <c:pt idx="381">
                  <c:v>1132.4353990539387</c:v>
                </c:pt>
                <c:pt idx="382">
                  <c:v>1125.5139364522611</c:v>
                </c:pt>
                <c:pt idx="383">
                  <c:v>1118.5320546619214</c:v>
                </c:pt>
                <c:pt idx="384">
                  <c:v>1111.4904060260812</c:v>
                </c:pt>
                <c:pt idx="385">
                  <c:v>1104.3896425786652</c:v>
                </c:pt>
                <c:pt idx="386">
                  <c:v>1097.2304158810111</c:v>
                </c:pt>
                <c:pt idx="387">
                  <c:v>1090.0133768615424</c:v>
                </c:pt>
                <c:pt idx="388">
                  <c:v>1082.7391756585027</c:v>
                </c:pt>
                <c:pt idx="389">
                  <c:v>1075.4084614657957</c:v>
                </c:pt>
                <c:pt idx="390">
                  <c:v>1068.0218823819619</c:v>
                </c:pt>
                <c:pt idx="391">
                  <c:v>1060.5800852623283</c:v>
                </c:pt>
                <c:pt idx="392">
                  <c:v>1053.0837155743554</c:v>
                </c:pt>
                <c:pt idx="393">
                  <c:v>1045.5334172562084</c:v>
                </c:pt>
                <c:pt idx="394">
                  <c:v>1037.9298325785714</c:v>
                </c:pt>
                <c:pt idx="395">
                  <c:v>1030.2736020097252</c:v>
                </c:pt>
                <c:pt idx="396">
                  <c:v>1022.565364083897</c:v>
                </c:pt>
                <c:pt idx="397">
                  <c:v>1014.8057552728993</c:v>
                </c:pt>
                <c:pt idx="398">
                  <c:v>1006.9954098610605</c:v>
                </c:pt>
                <c:pt idx="399">
                  <c:v>999.13495982345273</c:v>
                </c:pt>
                <c:pt idx="400">
                  <c:v>991.22503470741992</c:v>
                </c:pt>
                <c:pt idx="401">
                  <c:v>983.26626151740197</c:v>
                </c:pt>
                <c:pt idx="402">
                  <c:v>975.25926460305243</c:v>
                </c:pt>
                <c:pt idx="403">
                  <c:v>967.20466555064149</c:v>
                </c:pt>
                <c:pt idx="404">
                  <c:v>959.10308307773505</c:v>
                </c:pt>
                <c:pt idx="405">
                  <c:v>950.95513293113675</c:v>
                </c:pt>
                <c:pt idx="406">
                  <c:v>942.761427788079</c:v>
                </c:pt>
                <c:pt idx="407">
                  <c:v>934.52257716064548</c:v>
                </c:pt>
                <c:pt idx="408">
                  <c:v>926.23918730340574</c:v>
                </c:pt>
                <c:pt idx="409">
                  <c:v>917.91186112424009</c:v>
                </c:pt>
                <c:pt idx="410">
                  <c:v>909.54119809833173</c:v>
                </c:pt>
                <c:pt idx="411">
                  <c:v>901.12779418529999</c:v>
                </c:pt>
                <c:pt idx="412">
                  <c:v>892.67224174944761</c:v>
                </c:pt>
                <c:pt idx="413">
                  <c:v>884.17512948309286</c:v>
                </c:pt>
                <c:pt idx="414">
                  <c:v>875.63704233295482</c:v>
                </c:pt>
                <c:pt idx="415">
                  <c:v>867.05856142956043</c:v>
                </c:pt>
                <c:pt idx="416">
                  <c:v>858.44026401963845</c:v>
                </c:pt>
                <c:pt idx="417">
                  <c:v>849.78272340146509</c:v>
                </c:pt>
                <c:pt idx="418">
                  <c:v>841.08650886312466</c:v>
                </c:pt>
                <c:pt idx="419">
                  <c:v>832.35218562364673</c:v>
                </c:pt>
                <c:pt idx="420">
                  <c:v>823.58031477698114</c:v>
                </c:pt>
                <c:pt idx="421">
                  <c:v>814.77145323876982</c:v>
                </c:pt>
                <c:pt idx="422">
                  <c:v>805.92615369587509</c:v>
                </c:pt>
                <c:pt idx="423">
                  <c:v>797.04496455862079</c:v>
                </c:pt>
                <c:pt idx="424">
                  <c:v>788.12842991570403</c:v>
                </c:pt>
                <c:pt idx="425">
                  <c:v>779.17708949173357</c:v>
                </c:pt>
                <c:pt idx="426">
                  <c:v>770.19147860734972</c:v>
                </c:pt>
                <c:pt idx="427">
                  <c:v>761.17212814188099</c:v>
                </c:pt>
                <c:pt idx="428">
                  <c:v>752.11956449849094</c:v>
                </c:pt>
                <c:pt idx="429">
                  <c:v>743.0343095717692</c:v>
                </c:pt>
                <c:pt idx="430">
                  <c:v>733.91688071772035</c:v>
                </c:pt>
                <c:pt idx="431">
                  <c:v>724.76779072610213</c:v>
                </c:pt>
                <c:pt idx="432">
                  <c:v>715.58754779506694</c:v>
                </c:pt>
                <c:pt idx="433">
                  <c:v>706.37665550805741</c:v>
                </c:pt>
                <c:pt idx="434">
                  <c:v>697.13561281290913</c:v>
                </c:pt>
                <c:pt idx="435">
                  <c:v>687.86491400311161</c:v>
                </c:pt>
                <c:pt idx="436">
                  <c:v>678.56504870117988</c:v>
                </c:pt>
                <c:pt idx="437">
                  <c:v>669.23650184408723</c:v>
                </c:pt>
                <c:pt idx="438">
                  <c:v>659.8797536707126</c:v>
                </c:pt>
                <c:pt idx="439">
                  <c:v>650.49527971125212</c:v>
                </c:pt>
                <c:pt idx="440">
                  <c:v>641.0835507785489</c:v>
                </c:pt>
                <c:pt idx="441">
                  <c:v>631.64503296129067</c:v>
                </c:pt>
                <c:pt idx="442">
                  <c:v>622.18018761902954</c:v>
                </c:pt>
                <c:pt idx="443">
                  <c:v>612.68947137897487</c:v>
                </c:pt>
                <c:pt idx="444">
                  <c:v>603.17333613451194</c:v>
                </c:pt>
                <c:pt idx="445">
                  <c:v>593.63222904539987</c:v>
                </c:pt>
                <c:pt idx="446">
                  <c:v>584.06659253960152</c:v>
                </c:pt>
                <c:pt idx="447">
                  <c:v>574.47686431669877</c:v>
                </c:pt>
                <c:pt idx="448">
                  <c:v>564.86347735284778</c:v>
                </c:pt>
                <c:pt idx="449">
                  <c:v>555.22685990722789</c:v>
                </c:pt>
                <c:pt idx="450">
                  <c:v>545.56743552993896</c:v>
                </c:pt>
                <c:pt idx="451">
                  <c:v>535.88562307130258</c:v>
                </c:pt>
                <c:pt idx="452">
                  <c:v>526.18183669252312</c:v>
                </c:pt>
                <c:pt idx="453">
                  <c:v>516.45648587766448</c:v>
                </c:pt>
                <c:pt idx="454">
                  <c:v>506.70997544689885</c:v>
                </c:pt>
                <c:pt idx="455">
                  <c:v>496.94270557098611</c:v>
                </c:pt>
                <c:pt idx="456">
                  <c:v>487.15507178694014</c:v>
                </c:pt>
                <c:pt idx="457">
                  <c:v>477.34746501484176</c:v>
                </c:pt>
                <c:pt idx="458">
                  <c:v>467.52027157575657</c:v>
                </c:pt>
                <c:pt idx="459">
                  <c:v>457.67387321071777</c:v>
                </c:pt>
                <c:pt idx="460">
                  <c:v>447.80864710073394</c:v>
                </c:pt>
                <c:pt idx="461">
                  <c:v>437.92496588778283</c:v>
                </c:pt>
                <c:pt idx="462">
                  <c:v>428.02319769675302</c:v>
                </c:pt>
                <c:pt idx="463">
                  <c:v>418.10370615829493</c:v>
                </c:pt>
                <c:pt idx="464">
                  <c:v>408.16685043254466</c:v>
                </c:pt>
                <c:pt idx="465">
                  <c:v>398.21298523368432</c:v>
                </c:pt>
                <c:pt idx="466">
                  <c:v>388.24246085530223</c:v>
                </c:pt>
                <c:pt idx="467">
                  <c:v>378.25562319651902</c:v>
                </c:pt>
                <c:pt idx="468">
                  <c:v>368.25281378884426</c:v>
                </c:pt>
                <c:pt idx="469">
                  <c:v>358.23436982373033</c:v>
                </c:pt>
                <c:pt idx="470">
                  <c:v>348.20062418079067</c:v>
                </c:pt>
                <c:pt idx="471">
                  <c:v>338.15190545664939</c:v>
                </c:pt>
                <c:pt idx="472">
                  <c:v>328.08853799439152</c:v>
                </c:pt>
                <c:pt idx="473">
                  <c:v>318.01084191358194</c:v>
                </c:pt>
                <c:pt idx="474">
                  <c:v>307.91913314082353</c:v>
                </c:pt>
                <c:pt idx="475">
                  <c:v>297.81372344082445</c:v>
                </c:pt>
                <c:pt idx="476">
                  <c:v>287.69492044794578</c:v>
                </c:pt>
                <c:pt idx="477">
                  <c:v>277.56302769820138</c:v>
                </c:pt>
                <c:pt idx="478">
                  <c:v>267.41834466168228</c:v>
                </c:pt>
                <c:pt idx="479">
                  <c:v>257.26116677537902</c:v>
                </c:pt>
                <c:pt idx="480">
                  <c:v>247.09178547637524</c:v>
                </c:pt>
                <c:pt idx="481">
                  <c:v>236.91048823538736</c:v>
                </c:pt>
                <c:pt idx="482">
                  <c:v>226.71755859062563</c:v>
                </c:pt>
                <c:pt idx="483">
                  <c:v>216.51327618195171</c:v>
                </c:pt>
                <c:pt idx="484">
                  <c:v>206.29791678530995</c:v>
                </c:pt>
                <c:pt idx="485">
                  <c:v>196.07175234740882</c:v>
                </c:pt>
                <c:pt idx="486">
                  <c:v>185.83505102063063</c:v>
                </c:pt>
                <c:pt idx="487">
                  <c:v>175.58807719814769</c:v>
                </c:pt>
                <c:pt idx="488">
                  <c:v>165.33109154922377</c:v>
                </c:pt>
                <c:pt idx="489">
                  <c:v>155.06435105468066</c:v>
                </c:pt>
                <c:pt idx="490">
                  <c:v>144.7881090425098</c:v>
                </c:pt>
                <c:pt idx="491">
                  <c:v>134.50261522360992</c:v>
                </c:pt>
                <c:pt idx="492">
                  <c:v>124.20811572763181</c:v>
                </c:pt>
                <c:pt idx="493">
                  <c:v>113.90485313891234</c:v>
                </c:pt>
                <c:pt idx="494">
                  <c:v>103.59306653248024</c:v>
                </c:pt>
                <c:pt idx="495">
                  <c:v>93.272991510116469</c:v>
                </c:pt>
                <c:pt idx="496">
                  <c:v>82.94486023645311</c:v>
                </c:pt>
                <c:pt idx="497">
                  <c:v>72.608901475094655</c:v>
                </c:pt>
                <c:pt idx="498">
                  <c:v>62.265340624746507</c:v>
                </c:pt>
                <c:pt idx="499">
                  <c:v>51.914399755335907</c:v>
                </c:pt>
                <c:pt idx="500">
                  <c:v>41.556297644110948</c:v>
                </c:pt>
                <c:pt idx="501">
                  <c:v>31.191249811703891</c:v>
                </c:pt>
                <c:pt idx="502">
                  <c:v>20.819468558145587</c:v>
                </c:pt>
                <c:pt idx="503">
                  <c:v>10.441162998818086</c:v>
                </c:pt>
                <c:pt idx="504">
                  <c:v>5.6539100333203862E-2</c:v>
                </c:pt>
                <c:pt idx="505">
                  <c:v>-10.334200283674891</c:v>
                </c:pt>
                <c:pt idx="506">
                  <c:v>-10.344594033383434</c:v>
                </c:pt>
                <c:pt idx="507">
                  <c:v>-10.354987788908463</c:v>
                </c:pt>
                <c:pt idx="508">
                  <c:v>-10.365381550249786</c:v>
                </c:pt>
                <c:pt idx="509">
                  <c:v>-10.375775317407209</c:v>
                </c:pt>
                <c:pt idx="510">
                  <c:v>-10.386169090380534</c:v>
                </c:pt>
                <c:pt idx="511">
                  <c:v>-10.396562869169568</c:v>
                </c:pt>
                <c:pt idx="512">
                  <c:v>-10.406956653774115</c:v>
                </c:pt>
                <c:pt idx="513">
                  <c:v>-10.41735044419398</c:v>
                </c:pt>
                <c:pt idx="514">
                  <c:v>-10.42774424042897</c:v>
                </c:pt>
                <c:pt idx="515">
                  <c:v>-10.438138042478888</c:v>
                </c:pt>
                <c:pt idx="516">
                  <c:v>-10.44853185034354</c:v>
                </c:pt>
                <c:pt idx="517">
                  <c:v>-10.458925664022731</c:v>
                </c:pt>
                <c:pt idx="518">
                  <c:v>-10.469319483516264</c:v>
                </c:pt>
                <c:pt idx="519">
                  <c:v>-10.479713308823946</c:v>
                </c:pt>
                <c:pt idx="520">
                  <c:v>-10.490107139945582</c:v>
                </c:pt>
                <c:pt idx="521">
                  <c:v>-10.500500976880977</c:v>
                </c:pt>
                <c:pt idx="522">
                  <c:v>-10.510894819629934</c:v>
                </c:pt>
                <c:pt idx="523">
                  <c:v>-10.521288668192261</c:v>
                </c:pt>
                <c:pt idx="524">
                  <c:v>-10.531682522567761</c:v>
                </c:pt>
                <c:pt idx="525">
                  <c:v>-10.542076382756241</c:v>
                </c:pt>
                <c:pt idx="526">
                  <c:v>-10.552470248757505</c:v>
                </c:pt>
                <c:pt idx="527">
                  <c:v>-10.562864120571357</c:v>
                </c:pt>
                <c:pt idx="528">
                  <c:v>-10.573257998197603</c:v>
                </c:pt>
                <c:pt idx="529">
                  <c:v>-10.583651881636049</c:v>
                </c:pt>
                <c:pt idx="530">
                  <c:v>-10.594045770886499</c:v>
                </c:pt>
                <c:pt idx="531">
                  <c:v>-10.604439665948759</c:v>
                </c:pt>
                <c:pt idx="532">
                  <c:v>-10.614833566822632</c:v>
                </c:pt>
                <c:pt idx="533">
                  <c:v>-10.625227473507925</c:v>
                </c:pt>
                <c:pt idx="534">
                  <c:v>-10.635621386004443</c:v>
                </c:pt>
                <c:pt idx="535">
                  <c:v>-10.646015304311991</c:v>
                </c:pt>
                <c:pt idx="536">
                  <c:v>-10.656409228430373</c:v>
                </c:pt>
                <c:pt idx="537">
                  <c:v>-10.666803158359395</c:v>
                </c:pt>
                <c:pt idx="538">
                  <c:v>-10.677197094098862</c:v>
                </c:pt>
                <c:pt idx="539">
                  <c:v>-10.687591035648579</c:v>
                </c:pt>
                <c:pt idx="540">
                  <c:v>-10.69798498300835</c:v>
                </c:pt>
                <c:pt idx="541">
                  <c:v>-10.708378936177983</c:v>
                </c:pt>
                <c:pt idx="542">
                  <c:v>-10.718772895157279</c:v>
                </c:pt>
                <c:pt idx="543">
                  <c:v>-10.729166859946048</c:v>
                </c:pt>
                <c:pt idx="544">
                  <c:v>-10.739560830544091</c:v>
                </c:pt>
                <c:pt idx="545">
                  <c:v>-10.749954806951216</c:v>
                </c:pt>
                <c:pt idx="546">
                  <c:v>-10.760348789167226</c:v>
                </c:pt>
                <c:pt idx="547">
                  <c:v>-10.770742777191927</c:v>
                </c:pt>
                <c:pt idx="548">
                  <c:v>-10.781136771025123</c:v>
                </c:pt>
                <c:pt idx="549">
                  <c:v>-10.79153077066662</c:v>
                </c:pt>
                <c:pt idx="550">
                  <c:v>-10.801924776116223</c:v>
                </c:pt>
                <c:pt idx="551">
                  <c:v>-10.812318787373739</c:v>
                </c:pt>
                <c:pt idx="552">
                  <c:v>-10.822712804438972</c:v>
                </c:pt>
                <c:pt idx="553">
                  <c:v>-10.833106827311726</c:v>
                </c:pt>
                <c:pt idx="554">
                  <c:v>-10.843500855991806</c:v>
                </c:pt>
                <c:pt idx="555">
                  <c:v>-10.853894890479019</c:v>
                </c:pt>
                <c:pt idx="556">
                  <c:v>-10.864288930773169</c:v>
                </c:pt>
                <c:pt idx="557">
                  <c:v>-10.874682976874061</c:v>
                </c:pt>
                <c:pt idx="558">
                  <c:v>-10.885077028781499</c:v>
                </c:pt>
                <c:pt idx="559">
                  <c:v>-10.89547108649529</c:v>
                </c:pt>
                <c:pt idx="560">
                  <c:v>-10.90586515001524</c:v>
                </c:pt>
                <c:pt idx="561">
                  <c:v>-10.916259219341152</c:v>
                </c:pt>
                <c:pt idx="562">
                  <c:v>-10.926653294472832</c:v>
                </c:pt>
                <c:pt idx="563">
                  <c:v>-10.937047375410085</c:v>
                </c:pt>
                <c:pt idx="564">
                  <c:v>-10.947441462152717</c:v>
                </c:pt>
                <c:pt idx="565">
                  <c:v>-10.957835554700532</c:v>
                </c:pt>
                <c:pt idx="566">
                  <c:v>-10.968229653053337</c:v>
                </c:pt>
                <c:pt idx="567">
                  <c:v>-10.978623757210935</c:v>
                </c:pt>
                <c:pt idx="568">
                  <c:v>-10.989017867173132</c:v>
                </c:pt>
                <c:pt idx="569">
                  <c:v>-10.999411982939733</c:v>
                </c:pt>
                <c:pt idx="570">
                  <c:v>-11.009806104510544</c:v>
                </c:pt>
                <c:pt idx="571">
                  <c:v>-11.020200231885369</c:v>
                </c:pt>
                <c:pt idx="572">
                  <c:v>-11.030594365064013</c:v>
                </c:pt>
                <c:pt idx="573">
                  <c:v>-11.040988504046284</c:v>
                </c:pt>
                <c:pt idx="574">
                  <c:v>-11.051382648831986</c:v>
                </c:pt>
                <c:pt idx="575">
                  <c:v>-11.061776799420922</c:v>
                </c:pt>
                <c:pt idx="576">
                  <c:v>-11.072170955812899</c:v>
                </c:pt>
                <c:pt idx="577">
                  <c:v>-11.082565118007722</c:v>
                </c:pt>
                <c:pt idx="578">
                  <c:v>-11.092959286005195</c:v>
                </c:pt>
                <c:pt idx="579">
                  <c:v>-11.103353459805126</c:v>
                </c:pt>
                <c:pt idx="580">
                  <c:v>-11.113747639407316</c:v>
                </c:pt>
                <c:pt idx="581">
                  <c:v>-11.124141824811575</c:v>
                </c:pt>
                <c:pt idx="582">
                  <c:v>-11.134536016017705</c:v>
                </c:pt>
                <c:pt idx="583">
                  <c:v>-11.144930213025512</c:v>
                </c:pt>
                <c:pt idx="584">
                  <c:v>-11.155324415834801</c:v>
                </c:pt>
                <c:pt idx="585">
                  <c:v>-11.165718624445379</c:v>
                </c:pt>
                <c:pt idx="586">
                  <c:v>-11.176112838857049</c:v>
                </c:pt>
                <c:pt idx="587">
                  <c:v>-11.186507059069617</c:v>
                </c:pt>
                <c:pt idx="588">
                  <c:v>-11.196901285082889</c:v>
                </c:pt>
                <c:pt idx="589">
                  <c:v>-11.20729551689667</c:v>
                </c:pt>
                <c:pt idx="590">
                  <c:v>-11.217689754510763</c:v>
                </c:pt>
                <c:pt idx="591">
                  <c:v>-11.228083997924976</c:v>
                </c:pt>
                <c:pt idx="592">
                  <c:v>-11.238478247139113</c:v>
                </c:pt>
                <c:pt idx="593">
                  <c:v>-11.248872502152981</c:v>
                </c:pt>
                <c:pt idx="594">
                  <c:v>-11.259266762966384</c:v>
                </c:pt>
                <c:pt idx="595">
                  <c:v>-11.269661029579126</c:v>
                </c:pt>
                <c:pt idx="596">
                  <c:v>-11.280055301991014</c:v>
                </c:pt>
                <c:pt idx="597">
                  <c:v>-11.290449580201853</c:v>
                </c:pt>
                <c:pt idx="598">
                  <c:v>-11.300843864211448</c:v>
                </c:pt>
                <c:pt idx="599">
                  <c:v>-11.311238154019604</c:v>
                </c:pt>
                <c:pt idx="600">
                  <c:v>-11.321632449626126</c:v>
                </c:pt>
                <c:pt idx="601">
                  <c:v>-11.332026751030821</c:v>
                </c:pt>
                <c:pt idx="602">
                  <c:v>-11.342421058233493</c:v>
                </c:pt>
                <c:pt idx="603">
                  <c:v>-11.352815371233946</c:v>
                </c:pt>
                <c:pt idx="604">
                  <c:v>-11.363209690031988</c:v>
                </c:pt>
                <c:pt idx="605">
                  <c:v>-11.373604014627423</c:v>
                </c:pt>
                <c:pt idx="606">
                  <c:v>-11.383998345020055</c:v>
                </c:pt>
                <c:pt idx="607">
                  <c:v>-11.394392681209691</c:v>
                </c:pt>
                <c:pt idx="608">
                  <c:v>-11.404787023196135</c:v>
                </c:pt>
                <c:pt idx="609">
                  <c:v>-11.415181370979194</c:v>
                </c:pt>
                <c:pt idx="610">
                  <c:v>-11.425575724558673</c:v>
                </c:pt>
                <c:pt idx="611">
                  <c:v>-11.435970083934377</c:v>
                </c:pt>
                <c:pt idx="612">
                  <c:v>-11.44636444910611</c:v>
                </c:pt>
                <c:pt idx="613">
                  <c:v>-11.456758820073679</c:v>
                </c:pt>
                <c:pt idx="614">
                  <c:v>-11.467153196836888</c:v>
                </c:pt>
                <c:pt idx="615">
                  <c:v>-11.477547579395543</c:v>
                </c:pt>
                <c:pt idx="616">
                  <c:v>-11.48794196774945</c:v>
                </c:pt>
                <c:pt idx="617">
                  <c:v>-11.498336361898414</c:v>
                </c:pt>
                <c:pt idx="618">
                  <c:v>-11.508730761842239</c:v>
                </c:pt>
                <c:pt idx="619">
                  <c:v>-11.519125167580732</c:v>
                </c:pt>
                <c:pt idx="620">
                  <c:v>-11.529519579113698</c:v>
                </c:pt>
                <c:pt idx="621">
                  <c:v>-11.539913996440943</c:v>
                </c:pt>
                <c:pt idx="622">
                  <c:v>-11.550308419562271</c:v>
                </c:pt>
                <c:pt idx="623">
                  <c:v>-11.560702848477487</c:v>
                </c:pt>
                <c:pt idx="624">
                  <c:v>-11.571097283186397</c:v>
                </c:pt>
                <c:pt idx="625">
                  <c:v>-11.581491723688806</c:v>
                </c:pt>
                <c:pt idx="626">
                  <c:v>-11.591886169984521</c:v>
                </c:pt>
                <c:pt idx="627">
                  <c:v>-11.602280622073346</c:v>
                </c:pt>
                <c:pt idx="628">
                  <c:v>-11.612675079955086</c:v>
                </c:pt>
                <c:pt idx="629">
                  <c:v>-11.623069543629546</c:v>
                </c:pt>
                <c:pt idx="630">
                  <c:v>-11.633464013096534</c:v>
                </c:pt>
                <c:pt idx="631">
                  <c:v>-11.643858488355852</c:v>
                </c:pt>
                <c:pt idx="632">
                  <c:v>-11.654252969407308</c:v>
                </c:pt>
                <c:pt idx="633">
                  <c:v>-11.664647456250705</c:v>
                </c:pt>
                <c:pt idx="634">
                  <c:v>-11.675041948885852</c:v>
                </c:pt>
                <c:pt idx="635">
                  <c:v>-11.685436447312551</c:v>
                </c:pt>
                <c:pt idx="636">
                  <c:v>-11.695830951530608</c:v>
                </c:pt>
                <c:pt idx="637">
                  <c:v>-11.70622546153983</c:v>
                </c:pt>
                <c:pt idx="638">
                  <c:v>-11.71661997734002</c:v>
                </c:pt>
                <c:pt idx="639">
                  <c:v>-11.727014498930986</c:v>
                </c:pt>
                <c:pt idx="640">
                  <c:v>-11.737409026312532</c:v>
                </c:pt>
                <c:pt idx="641">
                  <c:v>-11.747803559484463</c:v>
                </c:pt>
                <c:pt idx="642">
                  <c:v>-11.758198098446584</c:v>
                </c:pt>
                <c:pt idx="643">
                  <c:v>-11.768592643198703</c:v>
                </c:pt>
                <c:pt idx="644">
                  <c:v>-11.778987193740623</c:v>
                </c:pt>
                <c:pt idx="645">
                  <c:v>-11.789381750072149</c:v>
                </c:pt>
                <c:pt idx="646">
                  <c:v>-11.799776312193089</c:v>
                </c:pt>
                <c:pt idx="647">
                  <c:v>-11.810170880103247</c:v>
                </c:pt>
                <c:pt idx="648">
                  <c:v>-11.820565453802427</c:v>
                </c:pt>
                <c:pt idx="649">
                  <c:v>-11.830960033290436</c:v>
                </c:pt>
                <c:pt idx="650">
                  <c:v>-11.841354618567079</c:v>
                </c:pt>
                <c:pt idx="651">
                  <c:v>-11.851749209632162</c:v>
                </c:pt>
                <c:pt idx="652">
                  <c:v>-11.862143806485491</c:v>
                </c:pt>
                <c:pt idx="653">
                  <c:v>-11.87253840912687</c:v>
                </c:pt>
                <c:pt idx="654">
                  <c:v>-11.882933017556105</c:v>
                </c:pt>
                <c:pt idx="655">
                  <c:v>-11.893327631773001</c:v>
                </c:pt>
                <c:pt idx="656">
                  <c:v>-11.903722251777364</c:v>
                </c:pt>
                <c:pt idx="657">
                  <c:v>-11.914116877568999</c:v>
                </c:pt>
                <c:pt idx="658">
                  <c:v>-11.924511509147711</c:v>
                </c:pt>
                <c:pt idx="659">
                  <c:v>-11.934906146513308</c:v>
                </c:pt>
                <c:pt idx="660">
                  <c:v>-11.945300789665593</c:v>
                </c:pt>
                <c:pt idx="661">
                  <c:v>-11.955695438604373</c:v>
                </c:pt>
                <c:pt idx="662">
                  <c:v>-11.966090093329452</c:v>
                </c:pt>
                <c:pt idx="663">
                  <c:v>-11.976484753840635</c:v>
                </c:pt>
                <c:pt idx="664">
                  <c:v>-11.986879420137729</c:v>
                </c:pt>
                <c:pt idx="665">
                  <c:v>-11.99727409222054</c:v>
                </c:pt>
                <c:pt idx="666">
                  <c:v>-12.007668770088872</c:v>
                </c:pt>
                <c:pt idx="667">
                  <c:v>-12.018063453742529</c:v>
                </c:pt>
                <c:pt idx="668">
                  <c:v>-12.02845814318132</c:v>
                </c:pt>
                <c:pt idx="669">
                  <c:v>-12.038852838405049</c:v>
                </c:pt>
                <c:pt idx="670">
                  <c:v>-12.049247539413521</c:v>
                </c:pt>
                <c:pt idx="671">
                  <c:v>-12.059642246206542</c:v>
                </c:pt>
                <c:pt idx="672">
                  <c:v>-12.070036958783916</c:v>
                </c:pt>
                <c:pt idx="673">
                  <c:v>-12.080431677145452</c:v>
                </c:pt>
                <c:pt idx="674">
                  <c:v>-12.090826401290952</c:v>
                </c:pt>
                <c:pt idx="675">
                  <c:v>-12.101221131220223</c:v>
                </c:pt>
                <c:pt idx="676">
                  <c:v>-12.11161586693307</c:v>
                </c:pt>
                <c:pt idx="677">
                  <c:v>-12.122010608429299</c:v>
                </c:pt>
                <c:pt idx="678">
                  <c:v>-12.132405355708716</c:v>
                </c:pt>
                <c:pt idx="679">
                  <c:v>-12.142800108771127</c:v>
                </c:pt>
                <c:pt idx="680">
                  <c:v>-12.153194867616335</c:v>
                </c:pt>
                <c:pt idx="681">
                  <c:v>-12.163589632244147</c:v>
                </c:pt>
                <c:pt idx="682">
                  <c:v>-12.173984402654368</c:v>
                </c:pt>
                <c:pt idx="683">
                  <c:v>-12.184379178846804</c:v>
                </c:pt>
                <c:pt idx="684">
                  <c:v>-12.19477396082126</c:v>
                </c:pt>
                <c:pt idx="685">
                  <c:v>-12.205168748577544</c:v>
                </c:pt>
                <c:pt idx="686">
                  <c:v>-12.215563542115458</c:v>
                </c:pt>
                <c:pt idx="687">
                  <c:v>-12.22595834143481</c:v>
                </c:pt>
                <c:pt idx="688">
                  <c:v>-12.236353146535404</c:v>
                </c:pt>
                <c:pt idx="689">
                  <c:v>-12.246747957417046</c:v>
                </c:pt>
                <c:pt idx="690">
                  <c:v>-12.257142774079542</c:v>
                </c:pt>
                <c:pt idx="691">
                  <c:v>-12.267537596522697</c:v>
                </c:pt>
                <c:pt idx="692">
                  <c:v>-12.277932424746318</c:v>
                </c:pt>
                <c:pt idx="693">
                  <c:v>-12.288327258750208</c:v>
                </c:pt>
                <c:pt idx="694">
                  <c:v>-12.298722098534174</c:v>
                </c:pt>
                <c:pt idx="695">
                  <c:v>-12.309116944098022</c:v>
                </c:pt>
                <c:pt idx="696">
                  <c:v>-12.319511795441558</c:v>
                </c:pt>
                <c:pt idx="697">
                  <c:v>-12.329906652564587</c:v>
                </c:pt>
                <c:pt idx="698">
                  <c:v>-12.340301515466912</c:v>
                </c:pt>
                <c:pt idx="699">
                  <c:v>-12.350696384148341</c:v>
                </c:pt>
                <c:pt idx="700">
                  <c:v>-12.361091258608679</c:v>
                </c:pt>
                <c:pt idx="701">
                  <c:v>-12.371486138847732</c:v>
                </c:pt>
                <c:pt idx="702">
                  <c:v>-12.381881024865306</c:v>
                </c:pt>
                <c:pt idx="703">
                  <c:v>-12.392275916661207</c:v>
                </c:pt>
                <c:pt idx="704">
                  <c:v>-12.40267081423524</c:v>
                </c:pt>
                <c:pt idx="705">
                  <c:v>-12.413065717587209</c:v>
                </c:pt>
                <c:pt idx="706">
                  <c:v>-12.423460626716921</c:v>
                </c:pt>
                <c:pt idx="707">
                  <c:v>-12.433855541624181</c:v>
                </c:pt>
                <c:pt idx="708">
                  <c:v>-12.444250462308796</c:v>
                </c:pt>
                <c:pt idx="709">
                  <c:v>-12.454645388770571</c:v>
                </c:pt>
                <c:pt idx="710">
                  <c:v>-12.46504032100931</c:v>
                </c:pt>
                <c:pt idx="711">
                  <c:v>-12.47543525902482</c:v>
                </c:pt>
                <c:pt idx="712">
                  <c:v>-12.485830202816906</c:v>
                </c:pt>
                <c:pt idx="713">
                  <c:v>-12.496225152385374</c:v>
                </c:pt>
                <c:pt idx="714">
                  <c:v>-12.506620107730031</c:v>
                </c:pt>
                <c:pt idx="715">
                  <c:v>-12.51701506885068</c:v>
                </c:pt>
                <c:pt idx="716">
                  <c:v>-12.527410035747129</c:v>
                </c:pt>
                <c:pt idx="717">
                  <c:v>-12.537805008419182</c:v>
                </c:pt>
                <c:pt idx="718">
                  <c:v>-12.548199986866646</c:v>
                </c:pt>
                <c:pt idx="719">
                  <c:v>-12.558594971089326</c:v>
                </c:pt>
                <c:pt idx="720">
                  <c:v>-12.568989961087027</c:v>
                </c:pt>
                <c:pt idx="721">
                  <c:v>-12.579384956859554</c:v>
                </c:pt>
                <c:pt idx="722">
                  <c:v>-12.589779958406716</c:v>
                </c:pt>
                <c:pt idx="723">
                  <c:v>-12.600174965728314</c:v>
                </c:pt>
                <c:pt idx="724">
                  <c:v>-12.610569978824158</c:v>
                </c:pt>
                <c:pt idx="725">
                  <c:v>-12.620964997694051</c:v>
                </c:pt>
                <c:pt idx="726">
                  <c:v>-12.631360022337798</c:v>
                </c:pt>
                <c:pt idx="727">
                  <c:v>-12.641755052755206</c:v>
                </c:pt>
                <c:pt idx="728">
                  <c:v>-12.652150088946081</c:v>
                </c:pt>
                <c:pt idx="729">
                  <c:v>-12.66254513091023</c:v>
                </c:pt>
                <c:pt idx="730">
                  <c:v>-12.672940178647456</c:v>
                </c:pt>
                <c:pt idx="731">
                  <c:v>-12.683335232157566</c:v>
                </c:pt>
                <c:pt idx="732">
                  <c:v>-12.693730291440364</c:v>
                </c:pt>
                <c:pt idx="733">
                  <c:v>-12.704125356495657</c:v>
                </c:pt>
                <c:pt idx="734">
                  <c:v>-12.714520427323251</c:v>
                </c:pt>
                <c:pt idx="735">
                  <c:v>-12.724915503922951</c:v>
                </c:pt>
                <c:pt idx="736">
                  <c:v>-12.735310586294563</c:v>
                </c:pt>
                <c:pt idx="737">
                  <c:v>-12.745705674437893</c:v>
                </c:pt>
                <c:pt idx="738">
                  <c:v>-12.756100768352747</c:v>
                </c:pt>
                <c:pt idx="739">
                  <c:v>-12.76649586803893</c:v>
                </c:pt>
                <c:pt idx="740">
                  <c:v>-12.776890973496249</c:v>
                </c:pt>
                <c:pt idx="741">
                  <c:v>-12.787286084724506</c:v>
                </c:pt>
                <c:pt idx="742">
                  <c:v>-12.797681201723512</c:v>
                </c:pt>
                <c:pt idx="743">
                  <c:v>-12.808076324493067</c:v>
                </c:pt>
                <c:pt idx="744">
                  <c:v>-12.818471453032981</c:v>
                </c:pt>
                <c:pt idx="745">
                  <c:v>-12.828866587343057</c:v>
                </c:pt>
                <c:pt idx="746">
                  <c:v>-12.839261727423104</c:v>
                </c:pt>
                <c:pt idx="747">
                  <c:v>-12.849656873272924</c:v>
                </c:pt>
                <c:pt idx="748">
                  <c:v>-12.860052024892324</c:v>
                </c:pt>
                <c:pt idx="749">
                  <c:v>-12.870447182281112</c:v>
                </c:pt>
                <c:pt idx="750">
                  <c:v>-12.88084234543909</c:v>
                </c:pt>
                <c:pt idx="751">
                  <c:v>-12.891237514366066</c:v>
                </c:pt>
                <c:pt idx="752">
                  <c:v>-12.901632689061847</c:v>
                </c:pt>
                <c:pt idx="753">
                  <c:v>-12.912027869526236</c:v>
                </c:pt>
                <c:pt idx="754">
                  <c:v>-12.92242305575904</c:v>
                </c:pt>
                <c:pt idx="755">
                  <c:v>-12.932818247760064</c:v>
                </c:pt>
                <c:pt idx="756">
                  <c:v>-12.943213445529114</c:v>
                </c:pt>
                <c:pt idx="757">
                  <c:v>-12.953608649065997</c:v>
                </c:pt>
                <c:pt idx="758">
                  <c:v>-12.964003858370516</c:v>
                </c:pt>
                <c:pt idx="759">
                  <c:v>-12.974399073442481</c:v>
                </c:pt>
                <c:pt idx="760">
                  <c:v>-12.984794294281693</c:v>
                </c:pt>
                <c:pt idx="761">
                  <c:v>-12.995189520887962</c:v>
                </c:pt>
                <c:pt idx="762">
                  <c:v>-13.005584753261092</c:v>
                </c:pt>
                <c:pt idx="763">
                  <c:v>-13.015979991400886</c:v>
                </c:pt>
                <c:pt idx="764">
                  <c:v>-13.026375235307155</c:v>
                </c:pt>
                <c:pt idx="765">
                  <c:v>-13.036770484979701</c:v>
                </c:pt>
                <c:pt idx="766">
                  <c:v>-13.047165740418331</c:v>
                </c:pt>
                <c:pt idx="767">
                  <c:v>-13.057561001622849</c:v>
                </c:pt>
                <c:pt idx="768">
                  <c:v>-13.067956268593063</c:v>
                </c:pt>
                <c:pt idx="769">
                  <c:v>-13.078351541328779</c:v>
                </c:pt>
                <c:pt idx="770">
                  <c:v>-13.088746819829801</c:v>
                </c:pt>
                <c:pt idx="771">
                  <c:v>-13.099142104095936</c:v>
                </c:pt>
                <c:pt idx="772">
                  <c:v>-13.10953739412699</c:v>
                </c:pt>
                <c:pt idx="773">
                  <c:v>-13.119932689922768</c:v>
                </c:pt>
                <c:pt idx="774">
                  <c:v>-13.130327991483076</c:v>
                </c:pt>
                <c:pt idx="775">
                  <c:v>-13.140723298807721</c:v>
                </c:pt>
                <c:pt idx="776">
                  <c:v>-13.151118611896507</c:v>
                </c:pt>
                <c:pt idx="777">
                  <c:v>-13.161513930749241</c:v>
                </c:pt>
                <c:pt idx="778">
                  <c:v>-13.171909255365728</c:v>
                </c:pt>
                <c:pt idx="779">
                  <c:v>-13.182304585745774</c:v>
                </c:pt>
                <c:pt idx="780">
                  <c:v>-13.192699921889185</c:v>
                </c:pt>
                <c:pt idx="781">
                  <c:v>-13.203095263795767</c:v>
                </c:pt>
                <c:pt idx="782">
                  <c:v>-13.213490611465325</c:v>
                </c:pt>
                <c:pt idx="783">
                  <c:v>-13.223885964897665</c:v>
                </c:pt>
                <c:pt idx="784">
                  <c:v>-13.234281324092594</c:v>
                </c:pt>
                <c:pt idx="785">
                  <c:v>-13.244676689049916</c:v>
                </c:pt>
                <c:pt idx="786">
                  <c:v>-13.255072059769439</c:v>
                </c:pt>
                <c:pt idx="787">
                  <c:v>-13.265467436250967</c:v>
                </c:pt>
                <c:pt idx="788">
                  <c:v>-13.275862818494307</c:v>
                </c:pt>
                <c:pt idx="789">
                  <c:v>-13.286258206499264</c:v>
                </c:pt>
                <c:pt idx="790">
                  <c:v>-13.296653600265644</c:v>
                </c:pt>
                <c:pt idx="791">
                  <c:v>-13.307048999793254</c:v>
                </c:pt>
                <c:pt idx="792">
                  <c:v>-13.317444405081899</c:v>
                </c:pt>
                <c:pt idx="793">
                  <c:v>-13.327839816131384</c:v>
                </c:pt>
                <c:pt idx="794">
                  <c:v>-13.338235232941516</c:v>
                </c:pt>
                <c:pt idx="795">
                  <c:v>-13.3486306555121</c:v>
                </c:pt>
                <c:pt idx="796">
                  <c:v>-13.359026083842942</c:v>
                </c:pt>
                <c:pt idx="797">
                  <c:v>-13.369421517933848</c:v>
                </c:pt>
                <c:pt idx="798">
                  <c:v>-13.379816957784625</c:v>
                </c:pt>
                <c:pt idx="799">
                  <c:v>-13.390212403395077</c:v>
                </c:pt>
                <c:pt idx="800">
                  <c:v>-13.400607854765012</c:v>
                </c:pt>
                <c:pt idx="801">
                  <c:v>-13.411003311894234</c:v>
                </c:pt>
                <c:pt idx="802">
                  <c:v>-13.421398774782549</c:v>
                </c:pt>
                <c:pt idx="803">
                  <c:v>-13.431794243429765</c:v>
                </c:pt>
                <c:pt idx="804">
                  <c:v>-13.442189717835685</c:v>
                </c:pt>
                <c:pt idx="805">
                  <c:v>-13.452585198000117</c:v>
                </c:pt>
                <c:pt idx="806">
                  <c:v>-13.462980683922865</c:v>
                </c:pt>
                <c:pt idx="807">
                  <c:v>-13.473376175603738</c:v>
                </c:pt>
                <c:pt idx="808">
                  <c:v>-13.483771673042538</c:v>
                </c:pt>
                <c:pt idx="809">
                  <c:v>-13.494167176239074</c:v>
                </c:pt>
                <c:pt idx="810">
                  <c:v>-13.50456268519315</c:v>
                </c:pt>
                <c:pt idx="811">
                  <c:v>-13.514958199904573</c:v>
                </c:pt>
                <c:pt idx="812">
                  <c:v>-13.525353720373149</c:v>
                </c:pt>
                <c:pt idx="813">
                  <c:v>-13.535749246598682</c:v>
                </c:pt>
                <c:pt idx="814">
                  <c:v>-13.546144778580979</c:v>
                </c:pt>
                <c:pt idx="815">
                  <c:v>-13.556540316319847</c:v>
                </c:pt>
                <c:pt idx="816">
                  <c:v>-13.566935859815091</c:v>
                </c:pt>
                <c:pt idx="817">
                  <c:v>-13.577331409066518</c:v>
                </c:pt>
                <c:pt idx="818">
                  <c:v>-13.587726964073934</c:v>
                </c:pt>
                <c:pt idx="819">
                  <c:v>-13.598122524837143</c:v>
                </c:pt>
                <c:pt idx="820">
                  <c:v>-13.60851809135595</c:v>
                </c:pt>
                <c:pt idx="821">
                  <c:v>-13.618913663630165</c:v>
                </c:pt>
                <c:pt idx="822">
                  <c:v>-13.629309241659591</c:v>
                </c:pt>
                <c:pt idx="823">
                  <c:v>-13.639704825444035</c:v>
                </c:pt>
                <c:pt idx="824">
                  <c:v>-13.650100414983303</c:v>
                </c:pt>
                <c:pt idx="825">
                  <c:v>-13.6604960102772</c:v>
                </c:pt>
                <c:pt idx="826">
                  <c:v>-13.670891611325532</c:v>
                </c:pt>
                <c:pt idx="827">
                  <c:v>-13.681287218128105</c:v>
                </c:pt>
                <c:pt idx="828">
                  <c:v>-13.691682830684726</c:v>
                </c:pt>
                <c:pt idx="829">
                  <c:v>-13.7020784489952</c:v>
                </c:pt>
                <c:pt idx="830">
                  <c:v>-13.712474073059335</c:v>
                </c:pt>
                <c:pt idx="831">
                  <c:v>-13.722869702876935</c:v>
                </c:pt>
                <c:pt idx="832">
                  <c:v>-13.733265338447804</c:v>
                </c:pt>
                <c:pt idx="833">
                  <c:v>-13.743660979771752</c:v>
                </c:pt>
                <c:pt idx="834">
                  <c:v>-13.754056626848582</c:v>
                </c:pt>
                <c:pt idx="835">
                  <c:v>-13.764452279678101</c:v>
                </c:pt>
                <c:pt idx="836">
                  <c:v>-13.774847938260116</c:v>
                </c:pt>
                <c:pt idx="837">
                  <c:v>-13.785243602594432</c:v>
                </c:pt>
                <c:pt idx="838">
                  <c:v>-13.795639272680855</c:v>
                </c:pt>
                <c:pt idx="839">
                  <c:v>-13.806034948519192</c:v>
                </c:pt>
                <c:pt idx="840">
                  <c:v>-13.816430630109249</c:v>
                </c:pt>
                <c:pt idx="841">
                  <c:v>-13.826826317450829</c:v>
                </c:pt>
                <c:pt idx="842">
                  <c:v>-13.837222010543741</c:v>
                </c:pt>
                <c:pt idx="843">
                  <c:v>-13.847617709387789</c:v>
                </c:pt>
                <c:pt idx="844">
                  <c:v>-13.85801341398278</c:v>
                </c:pt>
                <c:pt idx="845">
                  <c:v>-13.868409124328521</c:v>
                </c:pt>
                <c:pt idx="846">
                  <c:v>-13.878804840424817</c:v>
                </c:pt>
                <c:pt idx="847">
                  <c:v>-13.889200562271474</c:v>
                </c:pt>
                <c:pt idx="848">
                  <c:v>-13.899596289868299</c:v>
                </c:pt>
                <c:pt idx="849">
                  <c:v>-13.909992023215096</c:v>
                </c:pt>
                <c:pt idx="850">
                  <c:v>-13.920387762311673</c:v>
                </c:pt>
                <c:pt idx="851">
                  <c:v>-13.930783507157836</c:v>
                </c:pt>
                <c:pt idx="852">
                  <c:v>-13.941179257753388</c:v>
                </c:pt>
                <c:pt idx="853">
                  <c:v>-13.951575014098138</c:v>
                </c:pt>
                <c:pt idx="854">
                  <c:v>-13.96197077619189</c:v>
                </c:pt>
                <c:pt idx="855">
                  <c:v>-13.972366544034452</c:v>
                </c:pt>
                <c:pt idx="856">
                  <c:v>-13.98276231762563</c:v>
                </c:pt>
                <c:pt idx="857">
                  <c:v>-13.99315809696523</c:v>
                </c:pt>
                <c:pt idx="858">
                  <c:v>-14.003553882053057</c:v>
                </c:pt>
                <c:pt idx="859">
                  <c:v>-14.013949672888916</c:v>
                </c:pt>
                <c:pt idx="860">
                  <c:v>-14.024345469472616</c:v>
                </c:pt>
                <c:pt idx="861">
                  <c:v>-14.034741271803961</c:v>
                </c:pt>
                <c:pt idx="862">
                  <c:v>-14.045137079882759</c:v>
                </c:pt>
                <c:pt idx="863">
                  <c:v>-14.055532893708813</c:v>
                </c:pt>
                <c:pt idx="864">
                  <c:v>-14.065928713281931</c:v>
                </c:pt>
                <c:pt idx="865">
                  <c:v>-14.076324538601918</c:v>
                </c:pt>
                <c:pt idx="866">
                  <c:v>-14.086720369668582</c:v>
                </c:pt>
                <c:pt idx="867">
                  <c:v>-14.097116206481727</c:v>
                </c:pt>
                <c:pt idx="868">
                  <c:v>-14.107512049041162</c:v>
                </c:pt>
                <c:pt idx="869">
                  <c:v>-14.11790789734669</c:v>
                </c:pt>
                <c:pt idx="870">
                  <c:v>-14.128303751398118</c:v>
                </c:pt>
                <c:pt idx="871">
                  <c:v>-14.138699611195252</c:v>
                </c:pt>
                <c:pt idx="872">
                  <c:v>-14.149095476737898</c:v>
                </c:pt>
                <c:pt idx="873">
                  <c:v>-14.159491348025863</c:v>
                </c:pt>
                <c:pt idx="874">
                  <c:v>-14.169887225058954</c:v>
                </c:pt>
                <c:pt idx="875">
                  <c:v>-14.180283107836974</c:v>
                </c:pt>
                <c:pt idx="876">
                  <c:v>-14.190678996359731</c:v>
                </c:pt>
                <c:pt idx="877">
                  <c:v>-14.20107489062703</c:v>
                </c:pt>
                <c:pt idx="878">
                  <c:v>-14.211470790638678</c:v>
                </c:pt>
                <c:pt idx="879">
                  <c:v>-14.221866696394482</c:v>
                </c:pt>
                <c:pt idx="880">
                  <c:v>-14.232262607894247</c:v>
                </c:pt>
                <c:pt idx="881">
                  <c:v>-14.242658525137779</c:v>
                </c:pt>
                <c:pt idx="882">
                  <c:v>-14.253054448124885</c:v>
                </c:pt>
                <c:pt idx="883">
                  <c:v>-14.263450376855371</c:v>
                </c:pt>
                <c:pt idx="884">
                  <c:v>-14.273846311329041</c:v>
                </c:pt>
                <c:pt idx="885">
                  <c:v>-14.284242251545704</c:v>
                </c:pt>
                <c:pt idx="886">
                  <c:v>-14.294638197505165</c:v>
                </c:pt>
                <c:pt idx="887">
                  <c:v>-14.305034149207229</c:v>
                </c:pt>
                <c:pt idx="888">
                  <c:v>-14.315430106651704</c:v>
                </c:pt>
                <c:pt idx="889">
                  <c:v>-14.325826069838394</c:v>
                </c:pt>
                <c:pt idx="890">
                  <c:v>-14.336222038767106</c:v>
                </c:pt>
                <c:pt idx="891">
                  <c:v>-14.346618013437647</c:v>
                </c:pt>
                <c:pt idx="892">
                  <c:v>-14.357013993849822</c:v>
                </c:pt>
                <c:pt idx="893">
                  <c:v>-14.367409980003439</c:v>
                </c:pt>
                <c:pt idx="894">
                  <c:v>-14.377805971898303</c:v>
                </c:pt>
                <c:pt idx="895">
                  <c:v>-14.388201969534219</c:v>
                </c:pt>
                <c:pt idx="896">
                  <c:v>-14.398597972910995</c:v>
                </c:pt>
                <c:pt idx="897">
                  <c:v>-14.408993982028436</c:v>
                </c:pt>
                <c:pt idx="898">
                  <c:v>-14.419389996886348</c:v>
                </c:pt>
                <c:pt idx="899">
                  <c:v>-14.429786017484538</c:v>
                </c:pt>
                <c:pt idx="900">
                  <c:v>-14.440182043822812</c:v>
                </c:pt>
                <c:pt idx="901">
                  <c:v>-14.450578075900976</c:v>
                </c:pt>
                <c:pt idx="902">
                  <c:v>-14.460974113718837</c:v>
                </c:pt>
                <c:pt idx="903">
                  <c:v>-14.471370157276201</c:v>
                </c:pt>
                <c:pt idx="904">
                  <c:v>-14.481766206572873</c:v>
                </c:pt>
                <c:pt idx="905">
                  <c:v>-14.492162261608661</c:v>
                </c:pt>
                <c:pt idx="906">
                  <c:v>-14.502558322383369</c:v>
                </c:pt>
                <c:pt idx="907">
                  <c:v>-14.512954388896803</c:v>
                </c:pt>
                <c:pt idx="908">
                  <c:v>-14.523350461148771</c:v>
                </c:pt>
                <c:pt idx="909">
                  <c:v>-14.533746539139079</c:v>
                </c:pt>
                <c:pt idx="910">
                  <c:v>-14.544142622867533</c:v>
                </c:pt>
                <c:pt idx="911">
                  <c:v>-14.554538712333938</c:v>
                </c:pt>
                <c:pt idx="912">
                  <c:v>-14.564934807538101</c:v>
                </c:pt>
                <c:pt idx="913">
                  <c:v>-14.575330908479829</c:v>
                </c:pt>
                <c:pt idx="914">
                  <c:v>-14.585727015158929</c:v>
                </c:pt>
                <c:pt idx="915">
                  <c:v>-14.596123127575204</c:v>
                </c:pt>
                <c:pt idx="916">
                  <c:v>-14.606519245728462</c:v>
                </c:pt>
                <c:pt idx="917">
                  <c:v>-14.616915369618509</c:v>
                </c:pt>
                <c:pt idx="918">
                  <c:v>-14.627311499245153</c:v>
                </c:pt>
                <c:pt idx="919">
                  <c:v>-14.637707634608198</c:v>
                </c:pt>
                <c:pt idx="920">
                  <c:v>-14.648103775707451</c:v>
                </c:pt>
                <c:pt idx="921">
                  <c:v>-14.658499922542719</c:v>
                </c:pt>
                <c:pt idx="922">
                  <c:v>-14.668896075113805</c:v>
                </c:pt>
                <c:pt idx="923">
                  <c:v>-14.679292233420519</c:v>
                </c:pt>
                <c:pt idx="924">
                  <c:v>-14.689688397462666</c:v>
                </c:pt>
                <c:pt idx="925">
                  <c:v>-14.700084567240051</c:v>
                </c:pt>
                <c:pt idx="926">
                  <c:v>-14.710480742752482</c:v>
                </c:pt>
                <c:pt idx="927">
                  <c:v>-14.720876923999764</c:v>
                </c:pt>
                <c:pt idx="928">
                  <c:v>-14.731273110981704</c:v>
                </c:pt>
                <c:pt idx="929">
                  <c:v>-14.741669303698108</c:v>
                </c:pt>
                <c:pt idx="930">
                  <c:v>-14.752065502148783</c:v>
                </c:pt>
                <c:pt idx="931">
                  <c:v>-14.762461706333534</c:v>
                </c:pt>
                <c:pt idx="932">
                  <c:v>-14.772857916252168</c:v>
                </c:pt>
                <c:pt idx="933">
                  <c:v>-14.78325413190449</c:v>
                </c:pt>
                <c:pt idx="934">
                  <c:v>-14.793650353290309</c:v>
                </c:pt>
                <c:pt idx="935">
                  <c:v>-14.804046580409429</c:v>
                </c:pt>
                <c:pt idx="936">
                  <c:v>-14.814442813261657</c:v>
                </c:pt>
                <c:pt idx="937">
                  <c:v>-14.8248390518468</c:v>
                </c:pt>
                <c:pt idx="938">
                  <c:v>-14.835235296164662</c:v>
                </c:pt>
                <c:pt idx="939">
                  <c:v>-14.845631546215051</c:v>
                </c:pt>
                <c:pt idx="940">
                  <c:v>-14.856027801997774</c:v>
                </c:pt>
                <c:pt idx="941">
                  <c:v>-14.866424063512635</c:v>
                </c:pt>
                <c:pt idx="942">
                  <c:v>-14.876820330759443</c:v>
                </c:pt>
                <c:pt idx="943">
                  <c:v>-14.887216603738002</c:v>
                </c:pt>
                <c:pt idx="944">
                  <c:v>-14.89761288244812</c:v>
                </c:pt>
                <c:pt idx="945">
                  <c:v>-14.908009166889602</c:v>
                </c:pt>
                <c:pt idx="946">
                  <c:v>-14.918405457062255</c:v>
                </c:pt>
                <c:pt idx="947">
                  <c:v>-14.928801752965885</c:v>
                </c:pt>
                <c:pt idx="948">
                  <c:v>-14.939198054600299</c:v>
                </c:pt>
                <c:pt idx="949">
                  <c:v>-14.949594361965302</c:v>
                </c:pt>
                <c:pt idx="950">
                  <c:v>-14.9599906750607</c:v>
                </c:pt>
                <c:pt idx="951">
                  <c:v>-14.970386993886303</c:v>
                </c:pt>
                <c:pt idx="952">
                  <c:v>-14.980783318441913</c:v>
                </c:pt>
                <c:pt idx="953">
                  <c:v>-14.991179648727339</c:v>
                </c:pt>
                <c:pt idx="954">
                  <c:v>-15.001575984742386</c:v>
                </c:pt>
                <c:pt idx="955">
                  <c:v>-15.011972326486861</c:v>
                </c:pt>
                <c:pt idx="956">
                  <c:v>-15.022368673960569</c:v>
                </c:pt>
                <c:pt idx="957">
                  <c:v>-15.032765027163318</c:v>
                </c:pt>
                <c:pt idx="958">
                  <c:v>-15.043161386094914</c:v>
                </c:pt>
                <c:pt idx="959">
                  <c:v>-15.053557750755163</c:v>
                </c:pt>
                <c:pt idx="960">
                  <c:v>-15.063954121143871</c:v>
                </c:pt>
                <c:pt idx="961">
                  <c:v>-15.074350497260845</c:v>
                </c:pt>
                <c:pt idx="962">
                  <c:v>-15.084746879105891</c:v>
                </c:pt>
                <c:pt idx="963">
                  <c:v>-15.095143266678816</c:v>
                </c:pt>
                <c:pt idx="964">
                  <c:v>-15.105539659979424</c:v>
                </c:pt>
                <c:pt idx="965">
                  <c:v>-15.115936059007524</c:v>
                </c:pt>
                <c:pt idx="966">
                  <c:v>-15.126332463762921</c:v>
                </c:pt>
                <c:pt idx="967">
                  <c:v>-15.136728874245422</c:v>
                </c:pt>
                <c:pt idx="968">
                  <c:v>-15.147125290454834</c:v>
                </c:pt>
                <c:pt idx="969">
                  <c:v>-15.157521712390963</c:v>
                </c:pt>
                <c:pt idx="970">
                  <c:v>-15.167918140053615</c:v>
                </c:pt>
                <c:pt idx="971">
                  <c:v>-15.178314573442595</c:v>
                </c:pt>
                <c:pt idx="972">
                  <c:v>-15.188711012557711</c:v>
                </c:pt>
                <c:pt idx="973">
                  <c:v>-15.199107457398769</c:v>
                </c:pt>
                <c:pt idx="974">
                  <c:v>-15.209503907965576</c:v>
                </c:pt>
                <c:pt idx="975">
                  <c:v>-15.219900364257938</c:v>
                </c:pt>
                <c:pt idx="976">
                  <c:v>-15.230296826275662</c:v>
                </c:pt>
                <c:pt idx="977">
                  <c:v>-15.240693294018554</c:v>
                </c:pt>
                <c:pt idx="978">
                  <c:v>-15.25108976748642</c:v>
                </c:pt>
                <c:pt idx="979">
                  <c:v>-15.261486246679066</c:v>
                </c:pt>
                <c:pt idx="980">
                  <c:v>-15.271882731596298</c:v>
                </c:pt>
                <c:pt idx="981">
                  <c:v>-15.282279222237923</c:v>
                </c:pt>
                <c:pt idx="982">
                  <c:v>-15.292675718603748</c:v>
                </c:pt>
                <c:pt idx="983">
                  <c:v>-15.303072220693579</c:v>
                </c:pt>
                <c:pt idx="984">
                  <c:v>-15.313468728507223</c:v>
                </c:pt>
                <c:pt idx="985">
                  <c:v>-15.323865242044485</c:v>
                </c:pt>
                <c:pt idx="986">
                  <c:v>-15.334261761305173</c:v>
                </c:pt>
                <c:pt idx="987">
                  <c:v>-15.344658286289095</c:v>
                </c:pt>
                <c:pt idx="988">
                  <c:v>-15.355054816996054</c:v>
                </c:pt>
                <c:pt idx="989">
                  <c:v>-15.365451353425858</c:v>
                </c:pt>
                <c:pt idx="990">
                  <c:v>-15.375847895578312</c:v>
                </c:pt>
                <c:pt idx="991">
                  <c:v>-15.386244443453224</c:v>
                </c:pt>
                <c:pt idx="992">
                  <c:v>-15.396640997050399</c:v>
                </c:pt>
                <c:pt idx="993">
                  <c:v>-15.407037556369646</c:v>
                </c:pt>
                <c:pt idx="994">
                  <c:v>-15.41743412141077</c:v>
                </c:pt>
                <c:pt idx="995">
                  <c:v>-15.427830692173575</c:v>
                </c:pt>
                <c:pt idx="996">
                  <c:v>-15.438227268657872</c:v>
                </c:pt>
                <c:pt idx="997">
                  <c:v>-15.448623850863465</c:v>
                </c:pt>
                <c:pt idx="998">
                  <c:v>-15.45902043879016</c:v>
                </c:pt>
                <c:pt idx="999">
                  <c:v>-15.469417032437764</c:v>
                </c:pt>
                <c:pt idx="1000">
                  <c:v>-15.479813631806085</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16.399999999999999</c:v>
                </c:pt>
                <c:pt idx="1">
                  <c:v>75.017035121695088</c:v>
                </c:pt>
                <c:pt idx="2">
                  <c:v>133.63407024339017</c:v>
                </c:pt>
                <c:pt idx="3">
                  <c:v>132.23437329514323</c:v>
                </c:pt>
                <c:pt idx="4">
                  <c:v>133.63407024339017</c:v>
                </c:pt>
                <c:pt idx="5">
                  <c:v>128.52437329514319</c:v>
                </c:pt>
                <c:pt idx="6">
                  <c:v>133.63407024339017</c:v>
                </c:pt>
              </c:numCache>
            </c:numRef>
          </c:xVal>
          <c:yVal>
            <c:numRef>
              <c:f>Trajecto!$C$132:$C$138</c:f>
              <c:numCache>
                <c:formatCode>0</c:formatCode>
                <c:ptCount val="7"/>
                <c:pt idx="0">
                  <c:v>1438.1709179079996</c:v>
                </c:pt>
                <c:pt idx="1">
                  <c:v>719.08545895399982</c:v>
                </c:pt>
                <c:pt idx="2">
                  <c:v>0</c:v>
                </c:pt>
                <c:pt idx="3">
                  <c:v>57.440586373255002</c:v>
                </c:pt>
                <c:pt idx="4">
                  <c:v>0</c:v>
                </c:pt>
                <c:pt idx="5">
                  <c:v>22.413512146993455</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0</c:v>
                </c:pt>
                <c:pt idx="1">
                  <c:v>0</c:v>
                </c:pt>
                <c:pt idx="2">
                  <c:v>0</c:v>
                </c:pt>
                <c:pt idx="3">
                  <c:v>0</c:v>
                </c:pt>
                <c:pt idx="4">
                  <c:v>0</c:v>
                </c:pt>
                <c:pt idx="5">
                  <c:v>0</c:v>
                </c:pt>
                <c:pt idx="6">
                  <c:v>0</c:v>
                </c:pt>
              </c:numCache>
            </c:numRef>
          </c:xVal>
          <c:yVal>
            <c:numRef>
              <c:f>Trajecto!$C$149:$C$155</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Calculs!$AE$4:$AE$1004</c:f>
              <c:numCache>
                <c:formatCode>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4.0999999999999996</c:v>
                </c:pt>
              </c:numCache>
            </c:numRef>
          </c:xVal>
          <c:yVal>
            <c:numRef>
              <c:f>Trajecto!$C$158</c:f>
              <c:numCache>
                <c:formatCode>0</c:formatCode>
                <c:ptCount val="1"/>
                <c:pt idx="0">
                  <c:v>719.08545895399982</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26.750000000000075</c:v>
                </c:pt>
              </c:numCache>
            </c:numRef>
          </c:xVal>
          <c:yVal>
            <c:numRef>
              <c:f>Trajecto!$C$159</c:f>
              <c:numCache>
                <c:formatCode>0</c:formatCode>
                <c:ptCount val="1"/>
                <c:pt idx="0">
                  <c:v>719.08545895399982</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Calculs!$Q$4:$Q$1004</c:f>
              <c:numCache>
                <c:formatCode>0.00</c:formatCode>
                <c:ptCount val="1001"/>
                <c:pt idx="0">
                  <c:v>0</c:v>
                </c:pt>
                <c:pt idx="1">
                  <c:v>62.499999999998664</c:v>
                </c:pt>
                <c:pt idx="2">
                  <c:v>187.49999999999599</c:v>
                </c:pt>
                <c:pt idx="3">
                  <c:v>240.00000000000108</c:v>
                </c:pt>
                <c:pt idx="4">
                  <c:v>220.00000000000148</c:v>
                </c:pt>
                <c:pt idx="5">
                  <c:v>209.56896551724145</c:v>
                </c:pt>
                <c:pt idx="6">
                  <c:v>208.70689655172424</c:v>
                </c:pt>
                <c:pt idx="7">
                  <c:v>207.844827586207</c:v>
                </c:pt>
                <c:pt idx="8">
                  <c:v>206.98275862068979</c:v>
                </c:pt>
                <c:pt idx="9">
                  <c:v>206.12068965517258</c:v>
                </c:pt>
                <c:pt idx="10">
                  <c:v>205.25862068965534</c:v>
                </c:pt>
                <c:pt idx="11">
                  <c:v>204.39655172413813</c:v>
                </c:pt>
                <c:pt idx="12">
                  <c:v>203.5344827586209</c:v>
                </c:pt>
                <c:pt idx="13">
                  <c:v>202.67241379310369</c:v>
                </c:pt>
                <c:pt idx="14">
                  <c:v>201.81034482758645</c:v>
                </c:pt>
                <c:pt idx="15">
                  <c:v>200.94827586206924</c:v>
                </c:pt>
                <c:pt idx="16">
                  <c:v>200.086206896552</c:v>
                </c:pt>
                <c:pt idx="17">
                  <c:v>199.22413793103479</c:v>
                </c:pt>
                <c:pt idx="18">
                  <c:v>198.36206896551755</c:v>
                </c:pt>
                <c:pt idx="19">
                  <c:v>197.50000000000034</c:v>
                </c:pt>
                <c:pt idx="20">
                  <c:v>196.63793103448313</c:v>
                </c:pt>
                <c:pt idx="21">
                  <c:v>195.77586206896589</c:v>
                </c:pt>
                <c:pt idx="22">
                  <c:v>194.91379310344868</c:v>
                </c:pt>
                <c:pt idx="23">
                  <c:v>194.05172413793144</c:v>
                </c:pt>
                <c:pt idx="24">
                  <c:v>193.18965517241423</c:v>
                </c:pt>
                <c:pt idx="25">
                  <c:v>192.327586206897</c:v>
                </c:pt>
                <c:pt idx="26">
                  <c:v>191.46551724137979</c:v>
                </c:pt>
                <c:pt idx="27">
                  <c:v>190.60344827586255</c:v>
                </c:pt>
                <c:pt idx="28">
                  <c:v>189.74137931034534</c:v>
                </c:pt>
                <c:pt idx="29">
                  <c:v>188.8793103448281</c:v>
                </c:pt>
                <c:pt idx="30">
                  <c:v>188.01724137931089</c:v>
                </c:pt>
                <c:pt idx="31">
                  <c:v>187.15517241379365</c:v>
                </c:pt>
                <c:pt idx="32">
                  <c:v>186.29310344827644</c:v>
                </c:pt>
                <c:pt idx="33">
                  <c:v>185.43103448275923</c:v>
                </c:pt>
                <c:pt idx="34">
                  <c:v>184.56896551724199</c:v>
                </c:pt>
                <c:pt idx="35">
                  <c:v>183.70689655172475</c:v>
                </c:pt>
                <c:pt idx="36">
                  <c:v>182.84482758620754</c:v>
                </c:pt>
                <c:pt idx="37">
                  <c:v>181.98275862069033</c:v>
                </c:pt>
                <c:pt idx="38">
                  <c:v>181.12068965517309</c:v>
                </c:pt>
                <c:pt idx="39">
                  <c:v>180.25862068965588</c:v>
                </c:pt>
                <c:pt idx="40">
                  <c:v>179.39655172413865</c:v>
                </c:pt>
                <c:pt idx="41">
                  <c:v>178.53448275862144</c:v>
                </c:pt>
                <c:pt idx="42">
                  <c:v>177.6724137931042</c:v>
                </c:pt>
                <c:pt idx="43">
                  <c:v>176.81034482758699</c:v>
                </c:pt>
                <c:pt idx="44">
                  <c:v>175.94827586206975</c:v>
                </c:pt>
                <c:pt idx="45">
                  <c:v>175.08620689655254</c:v>
                </c:pt>
                <c:pt idx="46">
                  <c:v>174.22413793103533</c:v>
                </c:pt>
                <c:pt idx="47">
                  <c:v>173.36206896551809</c:v>
                </c:pt>
                <c:pt idx="48">
                  <c:v>172.50000000000085</c:v>
                </c:pt>
                <c:pt idx="49">
                  <c:v>171.63793103448364</c:v>
                </c:pt>
                <c:pt idx="50">
                  <c:v>170.77586206896643</c:v>
                </c:pt>
                <c:pt idx="51">
                  <c:v>169.91379310344919</c:v>
                </c:pt>
                <c:pt idx="52">
                  <c:v>169.05172413793198</c:v>
                </c:pt>
                <c:pt idx="53">
                  <c:v>168.18965517241475</c:v>
                </c:pt>
                <c:pt idx="54">
                  <c:v>167.32758620689754</c:v>
                </c:pt>
                <c:pt idx="55">
                  <c:v>166.46551724138033</c:v>
                </c:pt>
                <c:pt idx="56">
                  <c:v>165.60344827586309</c:v>
                </c:pt>
                <c:pt idx="57">
                  <c:v>164.74137931034588</c:v>
                </c:pt>
                <c:pt idx="58">
                  <c:v>163.87931034482864</c:v>
                </c:pt>
                <c:pt idx="59">
                  <c:v>163.01724137931143</c:v>
                </c:pt>
                <c:pt idx="60">
                  <c:v>162.15517241379419</c:v>
                </c:pt>
                <c:pt idx="61">
                  <c:v>161.29310344827698</c:v>
                </c:pt>
                <c:pt idx="62">
                  <c:v>160.43103448275974</c:v>
                </c:pt>
                <c:pt idx="63">
                  <c:v>158.75000000000333</c:v>
                </c:pt>
                <c:pt idx="64">
                  <c:v>156.25000000000338</c:v>
                </c:pt>
                <c:pt idx="65">
                  <c:v>153.75000000000344</c:v>
                </c:pt>
                <c:pt idx="66">
                  <c:v>151.2500000000035</c:v>
                </c:pt>
                <c:pt idx="67">
                  <c:v>148.00000000000568</c:v>
                </c:pt>
                <c:pt idx="68">
                  <c:v>144.00000000000577</c:v>
                </c:pt>
                <c:pt idx="69">
                  <c:v>138.66666666667643</c:v>
                </c:pt>
                <c:pt idx="70">
                  <c:v>132.00000000000992</c:v>
                </c:pt>
                <c:pt idx="71">
                  <c:v>125.33333333334338</c:v>
                </c:pt>
                <c:pt idx="72">
                  <c:v>118.66666666667686</c:v>
                </c:pt>
                <c:pt idx="73">
                  <c:v>112.00000000001033</c:v>
                </c:pt>
                <c:pt idx="74">
                  <c:v>105.3333333333438</c:v>
                </c:pt>
                <c:pt idx="75">
                  <c:v>98.666666666677287</c:v>
                </c:pt>
                <c:pt idx="76">
                  <c:v>92.000000000010758</c:v>
                </c:pt>
                <c:pt idx="77">
                  <c:v>85.333333333344228</c:v>
                </c:pt>
                <c:pt idx="78">
                  <c:v>78.666666666677713</c:v>
                </c:pt>
                <c:pt idx="79">
                  <c:v>72.000000000011184</c:v>
                </c:pt>
                <c:pt idx="80">
                  <c:v>65.333333333344655</c:v>
                </c:pt>
                <c:pt idx="81">
                  <c:v>60.250000000006018</c:v>
                </c:pt>
                <c:pt idx="82">
                  <c:v>56.750000000006082</c:v>
                </c:pt>
                <c:pt idx="83">
                  <c:v>53.250000000006153</c:v>
                </c:pt>
                <c:pt idx="84">
                  <c:v>49.750000000006224</c:v>
                </c:pt>
                <c:pt idx="85">
                  <c:v>46.250000000006295</c:v>
                </c:pt>
                <c:pt idx="86">
                  <c:v>42.750000000006374</c:v>
                </c:pt>
                <c:pt idx="87">
                  <c:v>39.250000000006452</c:v>
                </c:pt>
                <c:pt idx="88">
                  <c:v>35.750000000006523</c:v>
                </c:pt>
                <c:pt idx="89">
                  <c:v>32.750000000004718</c:v>
                </c:pt>
                <c:pt idx="90">
                  <c:v>30.250000000004775</c:v>
                </c:pt>
                <c:pt idx="91">
                  <c:v>27.750000000004832</c:v>
                </c:pt>
                <c:pt idx="92">
                  <c:v>25.250000000004885</c:v>
                </c:pt>
                <c:pt idx="93">
                  <c:v>22.875000000004444</c:v>
                </c:pt>
                <c:pt idx="94">
                  <c:v>20.625000000004487</c:v>
                </c:pt>
                <c:pt idx="95">
                  <c:v>18.37500000000453</c:v>
                </c:pt>
                <c:pt idx="96">
                  <c:v>16.125000000004576</c:v>
                </c:pt>
                <c:pt idx="97">
                  <c:v>14.375000000002567</c:v>
                </c:pt>
                <c:pt idx="98">
                  <c:v>13.125000000002595</c:v>
                </c:pt>
                <c:pt idx="99">
                  <c:v>11.875000000002622</c:v>
                </c:pt>
                <c:pt idx="100">
                  <c:v>10.62500000000265</c:v>
                </c:pt>
                <c:pt idx="101">
                  <c:v>9.3750000000026787</c:v>
                </c:pt>
                <c:pt idx="102">
                  <c:v>8.1250000000027072</c:v>
                </c:pt>
                <c:pt idx="103">
                  <c:v>6.8750000000027338</c:v>
                </c:pt>
                <c:pt idx="104">
                  <c:v>5.6250000000027613</c:v>
                </c:pt>
                <c:pt idx="105">
                  <c:v>4.3750000000027898</c:v>
                </c:pt>
                <c:pt idx="106">
                  <c:v>3.1250000000028173</c:v>
                </c:pt>
                <c:pt idx="107">
                  <c:v>1.8750000000028457</c:v>
                </c:pt>
                <c:pt idx="108">
                  <c:v>0.62500000000287237</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Calculs!$T$4:$T$1004</c:f>
              <c:numCache>
                <c:formatCode>0.00</c:formatCode>
                <c:ptCount val="1001"/>
                <c:pt idx="0">
                  <c:v>29.546738999999999</c:v>
                </c:pt>
                <c:pt idx="1">
                  <c:v>29.54348484035383</c:v>
                </c:pt>
                <c:pt idx="2">
                  <c:v>29.533722361415329</c:v>
                </c:pt>
                <c:pt idx="3">
                  <c:v>29.521226388374046</c:v>
                </c:pt>
                <c:pt idx="4">
                  <c:v>29.509771746419542</c:v>
                </c:pt>
                <c:pt idx="5">
                  <c:v>29.49886021248874</c:v>
                </c:pt>
                <c:pt idx="6">
                  <c:v>29.487993563518575</c:v>
                </c:pt>
                <c:pt idx="7">
                  <c:v>29.477171799509044</c:v>
                </c:pt>
                <c:pt idx="8">
                  <c:v>29.466394920460154</c:v>
                </c:pt>
                <c:pt idx="9">
                  <c:v>29.455662926371897</c:v>
                </c:pt>
                <c:pt idx="10">
                  <c:v>29.444975817244277</c:v>
                </c:pt>
                <c:pt idx="11">
                  <c:v>29.434333593077294</c:v>
                </c:pt>
                <c:pt idx="12">
                  <c:v>29.423736253870949</c:v>
                </c:pt>
                <c:pt idx="13">
                  <c:v>29.413183799625241</c:v>
                </c:pt>
                <c:pt idx="14">
                  <c:v>29.40267623034017</c:v>
                </c:pt>
                <c:pt idx="15">
                  <c:v>29.392213546015736</c:v>
                </c:pt>
                <c:pt idx="16">
                  <c:v>29.381795746651935</c:v>
                </c:pt>
                <c:pt idx="17">
                  <c:v>29.371422832248776</c:v>
                </c:pt>
                <c:pt idx="18">
                  <c:v>29.36109480280625</c:v>
                </c:pt>
                <c:pt idx="19">
                  <c:v>29.350811658324361</c:v>
                </c:pt>
                <c:pt idx="20">
                  <c:v>29.340573398803109</c:v>
                </c:pt>
                <c:pt idx="21">
                  <c:v>29.330380024242494</c:v>
                </c:pt>
                <c:pt idx="22">
                  <c:v>29.32023153464252</c:v>
                </c:pt>
                <c:pt idx="23">
                  <c:v>29.31012793000318</c:v>
                </c:pt>
                <c:pt idx="24">
                  <c:v>29.30006921032448</c:v>
                </c:pt>
                <c:pt idx="25">
                  <c:v>29.290055375606414</c:v>
                </c:pt>
                <c:pt idx="26">
                  <c:v>29.280086425848985</c:v>
                </c:pt>
                <c:pt idx="27">
                  <c:v>29.270162361052193</c:v>
                </c:pt>
                <c:pt idx="28">
                  <c:v>29.260283181216039</c:v>
                </c:pt>
                <c:pt idx="29">
                  <c:v>29.250448886340518</c:v>
                </c:pt>
                <c:pt idx="30">
                  <c:v>29.240659476425638</c:v>
                </c:pt>
                <c:pt idx="31">
                  <c:v>29.230914951471391</c:v>
                </c:pt>
                <c:pt idx="32">
                  <c:v>29.221215311477785</c:v>
                </c:pt>
                <c:pt idx="33">
                  <c:v>29.211560556444812</c:v>
                </c:pt>
                <c:pt idx="34">
                  <c:v>29.201950686372481</c:v>
                </c:pt>
                <c:pt idx="35">
                  <c:v>29.192385701260779</c:v>
                </c:pt>
                <c:pt idx="36">
                  <c:v>29.182865601109722</c:v>
                </c:pt>
                <c:pt idx="37">
                  <c:v>29.173390385919294</c:v>
                </c:pt>
                <c:pt idx="38">
                  <c:v>29.163960055689508</c:v>
                </c:pt>
                <c:pt idx="39">
                  <c:v>29.154574610420358</c:v>
                </c:pt>
                <c:pt idx="40">
                  <c:v>29.145234050111846</c:v>
                </c:pt>
                <c:pt idx="41">
                  <c:v>29.135938374763967</c:v>
                </c:pt>
                <c:pt idx="42">
                  <c:v>29.126687584376725</c:v>
                </c:pt>
                <c:pt idx="43">
                  <c:v>29.117481678950121</c:v>
                </c:pt>
                <c:pt idx="44">
                  <c:v>29.108320658484157</c:v>
                </c:pt>
                <c:pt idx="45">
                  <c:v>29.099204522978823</c:v>
                </c:pt>
                <c:pt idx="46">
                  <c:v>29.09013327243413</c:v>
                </c:pt>
                <c:pt idx="47">
                  <c:v>29.081106906850074</c:v>
                </c:pt>
                <c:pt idx="48">
                  <c:v>29.072125426226656</c:v>
                </c:pt>
                <c:pt idx="49">
                  <c:v>29.06318883056387</c:v>
                </c:pt>
                <c:pt idx="50">
                  <c:v>29.054297119861726</c:v>
                </c:pt>
                <c:pt idx="51">
                  <c:v>29.045450294120215</c:v>
                </c:pt>
                <c:pt idx="52">
                  <c:v>29.036648353339341</c:v>
                </c:pt>
                <c:pt idx="53">
                  <c:v>29.027891297519105</c:v>
                </c:pt>
                <c:pt idx="54">
                  <c:v>29.019179126659509</c:v>
                </c:pt>
                <c:pt idx="55">
                  <c:v>29.010511840760543</c:v>
                </c:pt>
                <c:pt idx="56">
                  <c:v>29.001889439822218</c:v>
                </c:pt>
                <c:pt idx="57">
                  <c:v>28.99331192384453</c:v>
                </c:pt>
                <c:pt idx="58">
                  <c:v>28.984779292827476</c:v>
                </c:pt>
                <c:pt idx="59">
                  <c:v>28.976291546771062</c:v>
                </c:pt>
                <c:pt idx="60">
                  <c:v>28.967848685675282</c:v>
                </c:pt>
                <c:pt idx="61">
                  <c:v>28.959450709540139</c:v>
                </c:pt>
                <c:pt idx="62">
                  <c:v>28.951097618365637</c:v>
                </c:pt>
                <c:pt idx="63">
                  <c:v>28.942832052864372</c:v>
                </c:pt>
                <c:pt idx="64">
                  <c:v>28.934696653748958</c:v>
                </c:pt>
                <c:pt idx="65">
                  <c:v>28.926691421019385</c:v>
                </c:pt>
                <c:pt idx="66">
                  <c:v>28.918816354675659</c:v>
                </c:pt>
                <c:pt idx="67">
                  <c:v>28.911110504633537</c:v>
                </c:pt>
                <c:pt idx="68">
                  <c:v>28.903612920808769</c:v>
                </c:pt>
                <c:pt idx="69">
                  <c:v>28.896393025273806</c:v>
                </c:pt>
                <c:pt idx="70">
                  <c:v>28.889520240101103</c:v>
                </c:pt>
                <c:pt idx="71">
                  <c:v>28.882994565290655</c:v>
                </c:pt>
                <c:pt idx="72">
                  <c:v>28.876816000842464</c:v>
                </c:pt>
                <c:pt idx="73">
                  <c:v>28.870984546756532</c:v>
                </c:pt>
                <c:pt idx="74">
                  <c:v>28.865500203032855</c:v>
                </c:pt>
                <c:pt idx="75">
                  <c:v>28.860362969671439</c:v>
                </c:pt>
                <c:pt idx="76">
                  <c:v>28.855572846672281</c:v>
                </c:pt>
                <c:pt idx="77">
                  <c:v>28.85112983403538</c:v>
                </c:pt>
                <c:pt idx="78">
                  <c:v>28.847033931760734</c:v>
                </c:pt>
                <c:pt idx="79">
                  <c:v>28.843285139848348</c:v>
                </c:pt>
                <c:pt idx="80">
                  <c:v>28.839883458298221</c:v>
                </c:pt>
                <c:pt idx="81">
                  <c:v>28.836746448399314</c:v>
                </c:pt>
                <c:pt idx="82">
                  <c:v>28.833791671440594</c:v>
                </c:pt>
                <c:pt idx="83">
                  <c:v>28.831019127422056</c:v>
                </c:pt>
                <c:pt idx="84">
                  <c:v>28.82842881634371</c:v>
                </c:pt>
                <c:pt idx="85">
                  <c:v>28.82602073820555</c:v>
                </c:pt>
                <c:pt idx="86">
                  <c:v>28.82379489300757</c:v>
                </c:pt>
                <c:pt idx="87">
                  <c:v>28.821751280749776</c:v>
                </c:pt>
                <c:pt idx="88">
                  <c:v>28.81988990143217</c:v>
                </c:pt>
                <c:pt idx="89">
                  <c:v>28.818184721777573</c:v>
                </c:pt>
                <c:pt idx="90">
                  <c:v>28.816609708508832</c:v>
                </c:pt>
                <c:pt idx="91">
                  <c:v>28.815164861625934</c:v>
                </c:pt>
                <c:pt idx="92">
                  <c:v>28.813850181128881</c:v>
                </c:pt>
                <c:pt idx="93">
                  <c:v>28.812659158698384</c:v>
                </c:pt>
                <c:pt idx="94">
                  <c:v>28.811585286015148</c:v>
                </c:pt>
                <c:pt idx="95">
                  <c:v>28.810628563079177</c:v>
                </c:pt>
                <c:pt idx="96">
                  <c:v>28.809788989890468</c:v>
                </c:pt>
                <c:pt idx="97">
                  <c:v>28.809040533171849</c:v>
                </c:pt>
                <c:pt idx="98">
                  <c:v>28.808357159646153</c:v>
                </c:pt>
                <c:pt idx="99">
                  <c:v>28.807738869313383</c:v>
                </c:pt>
                <c:pt idx="100">
                  <c:v>28.807185662173534</c:v>
                </c:pt>
                <c:pt idx="101">
                  <c:v>28.806697538226608</c:v>
                </c:pt>
                <c:pt idx="102">
                  <c:v>28.806274497472607</c:v>
                </c:pt>
                <c:pt idx="103">
                  <c:v>28.805916539911529</c:v>
                </c:pt>
                <c:pt idx="104">
                  <c:v>28.805623665543372</c:v>
                </c:pt>
                <c:pt idx="105">
                  <c:v>28.805395874368141</c:v>
                </c:pt>
                <c:pt idx="106">
                  <c:v>28.805233166385833</c:v>
                </c:pt>
                <c:pt idx="107">
                  <c:v>28.805135541596446</c:v>
                </c:pt>
                <c:pt idx="108">
                  <c:v>28.805102999999985</c:v>
                </c:pt>
                <c:pt idx="109">
                  <c:v>28.805102999999985</c:v>
                </c:pt>
                <c:pt idx="110">
                  <c:v>28.805102999999985</c:v>
                </c:pt>
                <c:pt idx="111">
                  <c:v>28.805102999999985</c:v>
                </c:pt>
                <c:pt idx="112">
                  <c:v>28.805102999999985</c:v>
                </c:pt>
                <c:pt idx="113">
                  <c:v>28.805102999999985</c:v>
                </c:pt>
                <c:pt idx="114">
                  <c:v>28.805102999999985</c:v>
                </c:pt>
                <c:pt idx="115">
                  <c:v>28.805102999999985</c:v>
                </c:pt>
                <c:pt idx="116">
                  <c:v>28.805102999999985</c:v>
                </c:pt>
                <c:pt idx="117">
                  <c:v>28.805102999999985</c:v>
                </c:pt>
                <c:pt idx="118">
                  <c:v>28.805102999999985</c:v>
                </c:pt>
                <c:pt idx="119">
                  <c:v>28.805102999999985</c:v>
                </c:pt>
                <c:pt idx="120">
                  <c:v>28.805102999999985</c:v>
                </c:pt>
                <c:pt idx="121">
                  <c:v>28.805102999999985</c:v>
                </c:pt>
                <c:pt idx="122">
                  <c:v>28.805102999999985</c:v>
                </c:pt>
                <c:pt idx="123">
                  <c:v>28.805102999999985</c:v>
                </c:pt>
                <c:pt idx="124">
                  <c:v>28.805102999999985</c:v>
                </c:pt>
                <c:pt idx="125">
                  <c:v>28.805102999999985</c:v>
                </c:pt>
                <c:pt idx="126">
                  <c:v>28.805102999999985</c:v>
                </c:pt>
                <c:pt idx="127">
                  <c:v>28.805102999999985</c:v>
                </c:pt>
                <c:pt idx="128">
                  <c:v>28.805102999999985</c:v>
                </c:pt>
                <c:pt idx="129">
                  <c:v>28.805102999999985</c:v>
                </c:pt>
                <c:pt idx="130">
                  <c:v>28.805102999999985</c:v>
                </c:pt>
                <c:pt idx="131">
                  <c:v>28.805102999999985</c:v>
                </c:pt>
                <c:pt idx="132">
                  <c:v>28.805102999999985</c:v>
                </c:pt>
                <c:pt idx="133">
                  <c:v>28.805102999999985</c:v>
                </c:pt>
                <c:pt idx="134">
                  <c:v>28.805102999999985</c:v>
                </c:pt>
                <c:pt idx="135">
                  <c:v>28.805102999999985</c:v>
                </c:pt>
                <c:pt idx="136">
                  <c:v>28.805102999999985</c:v>
                </c:pt>
                <c:pt idx="137">
                  <c:v>28.805102999999985</c:v>
                </c:pt>
                <c:pt idx="138">
                  <c:v>28.805102999999985</c:v>
                </c:pt>
                <c:pt idx="139">
                  <c:v>28.805102999999985</c:v>
                </c:pt>
                <c:pt idx="140">
                  <c:v>28.805102999999985</c:v>
                </c:pt>
                <c:pt idx="141">
                  <c:v>28.805102999999985</c:v>
                </c:pt>
                <c:pt idx="142">
                  <c:v>28.805102999999985</c:v>
                </c:pt>
                <c:pt idx="143">
                  <c:v>28.805102999999985</c:v>
                </c:pt>
                <c:pt idx="144">
                  <c:v>28.805102999999985</c:v>
                </c:pt>
                <c:pt idx="145">
                  <c:v>28.805102999999985</c:v>
                </c:pt>
                <c:pt idx="146">
                  <c:v>28.805102999999985</c:v>
                </c:pt>
                <c:pt idx="147">
                  <c:v>28.805102999999985</c:v>
                </c:pt>
                <c:pt idx="148">
                  <c:v>28.805102999999985</c:v>
                </c:pt>
                <c:pt idx="149">
                  <c:v>28.805102999999985</c:v>
                </c:pt>
                <c:pt idx="150">
                  <c:v>28.805102999999985</c:v>
                </c:pt>
                <c:pt idx="151">
                  <c:v>28.805102999999985</c:v>
                </c:pt>
                <c:pt idx="152">
                  <c:v>28.805102999999985</c:v>
                </c:pt>
                <c:pt idx="153">
                  <c:v>28.805102999999985</c:v>
                </c:pt>
                <c:pt idx="154">
                  <c:v>28.805102999999985</c:v>
                </c:pt>
                <c:pt idx="155">
                  <c:v>28.805102999999985</c:v>
                </c:pt>
                <c:pt idx="156">
                  <c:v>28.805102999999985</c:v>
                </c:pt>
                <c:pt idx="157">
                  <c:v>28.805102999999985</c:v>
                </c:pt>
                <c:pt idx="158">
                  <c:v>28.805102999999985</c:v>
                </c:pt>
                <c:pt idx="159">
                  <c:v>28.805102999999985</c:v>
                </c:pt>
                <c:pt idx="160">
                  <c:v>28.805102999999985</c:v>
                </c:pt>
                <c:pt idx="161">
                  <c:v>28.805102999999985</c:v>
                </c:pt>
                <c:pt idx="162">
                  <c:v>28.805102999999985</c:v>
                </c:pt>
                <c:pt idx="163">
                  <c:v>28.805102999999985</c:v>
                </c:pt>
                <c:pt idx="164">
                  <c:v>28.805102999999985</c:v>
                </c:pt>
                <c:pt idx="165">
                  <c:v>28.805102999999985</c:v>
                </c:pt>
                <c:pt idx="166">
                  <c:v>28.805102999999985</c:v>
                </c:pt>
                <c:pt idx="167">
                  <c:v>28.805102999999985</c:v>
                </c:pt>
                <c:pt idx="168">
                  <c:v>28.805102999999985</c:v>
                </c:pt>
                <c:pt idx="169">
                  <c:v>28.805102999999985</c:v>
                </c:pt>
                <c:pt idx="170">
                  <c:v>28.805102999999985</c:v>
                </c:pt>
                <c:pt idx="171">
                  <c:v>28.805102999999985</c:v>
                </c:pt>
                <c:pt idx="172">
                  <c:v>28.805102999999985</c:v>
                </c:pt>
                <c:pt idx="173">
                  <c:v>28.805102999999985</c:v>
                </c:pt>
                <c:pt idx="174">
                  <c:v>28.805102999999985</c:v>
                </c:pt>
                <c:pt idx="175">
                  <c:v>28.805102999999985</c:v>
                </c:pt>
                <c:pt idx="176">
                  <c:v>28.805102999999985</c:v>
                </c:pt>
                <c:pt idx="177">
                  <c:v>28.805102999999985</c:v>
                </c:pt>
                <c:pt idx="178">
                  <c:v>28.805102999999985</c:v>
                </c:pt>
                <c:pt idx="179">
                  <c:v>28.805102999999985</c:v>
                </c:pt>
                <c:pt idx="180">
                  <c:v>28.805102999999985</c:v>
                </c:pt>
                <c:pt idx="181">
                  <c:v>28.805102999999985</c:v>
                </c:pt>
                <c:pt idx="182">
                  <c:v>28.805102999999985</c:v>
                </c:pt>
                <c:pt idx="183">
                  <c:v>28.805102999999985</c:v>
                </c:pt>
                <c:pt idx="184">
                  <c:v>28.805102999999985</c:v>
                </c:pt>
                <c:pt idx="185">
                  <c:v>28.805102999999985</c:v>
                </c:pt>
                <c:pt idx="186">
                  <c:v>28.805102999999985</c:v>
                </c:pt>
                <c:pt idx="187">
                  <c:v>28.805102999999985</c:v>
                </c:pt>
                <c:pt idx="188">
                  <c:v>28.805102999999985</c:v>
                </c:pt>
                <c:pt idx="189">
                  <c:v>28.805102999999985</c:v>
                </c:pt>
                <c:pt idx="190">
                  <c:v>28.805102999999985</c:v>
                </c:pt>
                <c:pt idx="191">
                  <c:v>28.805102999999985</c:v>
                </c:pt>
                <c:pt idx="192">
                  <c:v>28.805102999999985</c:v>
                </c:pt>
                <c:pt idx="193">
                  <c:v>28.805102999999985</c:v>
                </c:pt>
                <c:pt idx="194">
                  <c:v>28.805102999999985</c:v>
                </c:pt>
                <c:pt idx="195">
                  <c:v>28.805102999999985</c:v>
                </c:pt>
                <c:pt idx="196">
                  <c:v>28.805102999999985</c:v>
                </c:pt>
                <c:pt idx="197">
                  <c:v>28.805102999999985</c:v>
                </c:pt>
                <c:pt idx="198">
                  <c:v>28.805102999999985</c:v>
                </c:pt>
                <c:pt idx="199">
                  <c:v>28.805102999999985</c:v>
                </c:pt>
                <c:pt idx="200">
                  <c:v>28.805102999999985</c:v>
                </c:pt>
                <c:pt idx="201">
                  <c:v>28.805102999999985</c:v>
                </c:pt>
                <c:pt idx="202">
                  <c:v>28.805102999999985</c:v>
                </c:pt>
                <c:pt idx="203">
                  <c:v>28.805102999999985</c:v>
                </c:pt>
                <c:pt idx="204">
                  <c:v>28.805102999999985</c:v>
                </c:pt>
                <c:pt idx="205">
                  <c:v>28.805102999999985</c:v>
                </c:pt>
                <c:pt idx="206">
                  <c:v>28.805102999999985</c:v>
                </c:pt>
                <c:pt idx="207">
                  <c:v>28.805102999999985</c:v>
                </c:pt>
                <c:pt idx="208">
                  <c:v>28.805102999999985</c:v>
                </c:pt>
                <c:pt idx="209">
                  <c:v>28.805102999999985</c:v>
                </c:pt>
                <c:pt idx="210">
                  <c:v>28.805102999999985</c:v>
                </c:pt>
                <c:pt idx="211">
                  <c:v>28.805102999999985</c:v>
                </c:pt>
                <c:pt idx="212">
                  <c:v>28.805102999999985</c:v>
                </c:pt>
                <c:pt idx="213">
                  <c:v>28.805102999999985</c:v>
                </c:pt>
                <c:pt idx="214">
                  <c:v>28.805102999999985</c:v>
                </c:pt>
                <c:pt idx="215">
                  <c:v>28.805102999999985</c:v>
                </c:pt>
                <c:pt idx="216">
                  <c:v>28.805102999999985</c:v>
                </c:pt>
                <c:pt idx="217">
                  <c:v>28.805102999999985</c:v>
                </c:pt>
                <c:pt idx="218">
                  <c:v>28.805102999999985</c:v>
                </c:pt>
                <c:pt idx="219">
                  <c:v>28.805102999999985</c:v>
                </c:pt>
                <c:pt idx="220">
                  <c:v>28.805102999999985</c:v>
                </c:pt>
                <c:pt idx="221">
                  <c:v>28.805102999999985</c:v>
                </c:pt>
                <c:pt idx="222">
                  <c:v>28.805102999999985</c:v>
                </c:pt>
                <c:pt idx="223">
                  <c:v>28.805102999999985</c:v>
                </c:pt>
                <c:pt idx="224">
                  <c:v>28.805102999999985</c:v>
                </c:pt>
                <c:pt idx="225">
                  <c:v>28.805102999999985</c:v>
                </c:pt>
                <c:pt idx="226">
                  <c:v>28.805102999999985</c:v>
                </c:pt>
                <c:pt idx="227">
                  <c:v>28.805102999999985</c:v>
                </c:pt>
                <c:pt idx="228">
                  <c:v>28.805102999999985</c:v>
                </c:pt>
                <c:pt idx="229">
                  <c:v>28.805102999999985</c:v>
                </c:pt>
                <c:pt idx="230">
                  <c:v>28.805102999999985</c:v>
                </c:pt>
                <c:pt idx="231">
                  <c:v>28.805102999999985</c:v>
                </c:pt>
                <c:pt idx="232">
                  <c:v>28.805102999999985</c:v>
                </c:pt>
                <c:pt idx="233">
                  <c:v>28.805102999999985</c:v>
                </c:pt>
                <c:pt idx="234">
                  <c:v>28.805102999999985</c:v>
                </c:pt>
                <c:pt idx="235">
                  <c:v>28.805102999999985</c:v>
                </c:pt>
                <c:pt idx="236">
                  <c:v>28.805102999999985</c:v>
                </c:pt>
                <c:pt idx="237">
                  <c:v>28.805102999999985</c:v>
                </c:pt>
                <c:pt idx="238">
                  <c:v>28.805102999999985</c:v>
                </c:pt>
                <c:pt idx="239">
                  <c:v>28.805102999999985</c:v>
                </c:pt>
                <c:pt idx="240">
                  <c:v>28.805102999999985</c:v>
                </c:pt>
                <c:pt idx="241">
                  <c:v>28.805102999999985</c:v>
                </c:pt>
                <c:pt idx="242">
                  <c:v>28.805102999999985</c:v>
                </c:pt>
                <c:pt idx="243">
                  <c:v>28.805102999999985</c:v>
                </c:pt>
                <c:pt idx="244">
                  <c:v>28.805102999999985</c:v>
                </c:pt>
                <c:pt idx="245">
                  <c:v>28.805102999999985</c:v>
                </c:pt>
                <c:pt idx="246">
                  <c:v>28.805102999999985</c:v>
                </c:pt>
                <c:pt idx="247">
                  <c:v>28.805102999999985</c:v>
                </c:pt>
                <c:pt idx="248">
                  <c:v>28.805102999999985</c:v>
                </c:pt>
                <c:pt idx="249">
                  <c:v>28.805102999999985</c:v>
                </c:pt>
                <c:pt idx="250">
                  <c:v>28.805102999999985</c:v>
                </c:pt>
                <c:pt idx="251">
                  <c:v>28.805102999999985</c:v>
                </c:pt>
                <c:pt idx="252">
                  <c:v>28.805102999999985</c:v>
                </c:pt>
                <c:pt idx="253">
                  <c:v>28.805102999999985</c:v>
                </c:pt>
                <c:pt idx="254">
                  <c:v>28.805102999999985</c:v>
                </c:pt>
                <c:pt idx="255">
                  <c:v>28.805102999999985</c:v>
                </c:pt>
                <c:pt idx="256">
                  <c:v>28.805102999999985</c:v>
                </c:pt>
                <c:pt idx="257">
                  <c:v>28.805102999999985</c:v>
                </c:pt>
                <c:pt idx="258">
                  <c:v>28.805102999999985</c:v>
                </c:pt>
                <c:pt idx="259">
                  <c:v>28.805102999999985</c:v>
                </c:pt>
                <c:pt idx="260">
                  <c:v>28.805102999999985</c:v>
                </c:pt>
                <c:pt idx="261">
                  <c:v>28.805102999999985</c:v>
                </c:pt>
                <c:pt idx="262">
                  <c:v>28.805102999999985</c:v>
                </c:pt>
                <c:pt idx="263">
                  <c:v>28.805102999999985</c:v>
                </c:pt>
                <c:pt idx="264">
                  <c:v>28.805102999999985</c:v>
                </c:pt>
                <c:pt idx="265">
                  <c:v>28.805102999999985</c:v>
                </c:pt>
                <c:pt idx="266">
                  <c:v>28.805102999999985</c:v>
                </c:pt>
                <c:pt idx="267">
                  <c:v>28.805102999999985</c:v>
                </c:pt>
                <c:pt idx="268">
                  <c:v>28.805102999999985</c:v>
                </c:pt>
                <c:pt idx="269">
                  <c:v>28.805102999999985</c:v>
                </c:pt>
                <c:pt idx="270">
                  <c:v>28.805102999999985</c:v>
                </c:pt>
                <c:pt idx="271">
                  <c:v>28.805102999999985</c:v>
                </c:pt>
                <c:pt idx="272">
                  <c:v>28.805102999999985</c:v>
                </c:pt>
                <c:pt idx="273">
                  <c:v>28.805102999999985</c:v>
                </c:pt>
                <c:pt idx="274">
                  <c:v>28.805102999999985</c:v>
                </c:pt>
                <c:pt idx="275">
                  <c:v>28.805102999999985</c:v>
                </c:pt>
                <c:pt idx="276">
                  <c:v>28.805102999999985</c:v>
                </c:pt>
                <c:pt idx="277">
                  <c:v>28.805102999999985</c:v>
                </c:pt>
                <c:pt idx="278">
                  <c:v>28.805102999999985</c:v>
                </c:pt>
                <c:pt idx="279">
                  <c:v>28.805102999999985</c:v>
                </c:pt>
                <c:pt idx="280">
                  <c:v>28.805102999999985</c:v>
                </c:pt>
                <c:pt idx="281">
                  <c:v>28.805102999999985</c:v>
                </c:pt>
                <c:pt idx="282">
                  <c:v>28.805102999999985</c:v>
                </c:pt>
                <c:pt idx="283">
                  <c:v>28.805102999999985</c:v>
                </c:pt>
                <c:pt idx="284">
                  <c:v>28.805102999999985</c:v>
                </c:pt>
                <c:pt idx="285">
                  <c:v>28.805102999999985</c:v>
                </c:pt>
                <c:pt idx="286">
                  <c:v>28.805102999999985</c:v>
                </c:pt>
                <c:pt idx="287">
                  <c:v>28.805102999999985</c:v>
                </c:pt>
                <c:pt idx="288">
                  <c:v>28.805102999999985</c:v>
                </c:pt>
                <c:pt idx="289">
                  <c:v>28.805102999999985</c:v>
                </c:pt>
                <c:pt idx="290">
                  <c:v>28.805102999999985</c:v>
                </c:pt>
                <c:pt idx="291">
                  <c:v>28.805102999999985</c:v>
                </c:pt>
                <c:pt idx="292">
                  <c:v>28.805102999999985</c:v>
                </c:pt>
                <c:pt idx="293">
                  <c:v>28.805102999999985</c:v>
                </c:pt>
                <c:pt idx="294">
                  <c:v>28.805102999999985</c:v>
                </c:pt>
                <c:pt idx="295">
                  <c:v>28.805102999999985</c:v>
                </c:pt>
                <c:pt idx="296">
                  <c:v>28.805102999999985</c:v>
                </c:pt>
                <c:pt idx="297">
                  <c:v>28.805102999999985</c:v>
                </c:pt>
                <c:pt idx="298">
                  <c:v>28.805102999999985</c:v>
                </c:pt>
                <c:pt idx="299">
                  <c:v>28.805102999999985</c:v>
                </c:pt>
                <c:pt idx="300">
                  <c:v>28.805102999999985</c:v>
                </c:pt>
                <c:pt idx="301">
                  <c:v>28.805102999999985</c:v>
                </c:pt>
                <c:pt idx="302">
                  <c:v>28.805102999999985</c:v>
                </c:pt>
                <c:pt idx="303">
                  <c:v>28.805102999999985</c:v>
                </c:pt>
                <c:pt idx="304">
                  <c:v>28.805102999999985</c:v>
                </c:pt>
                <c:pt idx="305">
                  <c:v>28.805102999999985</c:v>
                </c:pt>
                <c:pt idx="306">
                  <c:v>28.805102999999985</c:v>
                </c:pt>
                <c:pt idx="307">
                  <c:v>28.805102999999985</c:v>
                </c:pt>
                <c:pt idx="308">
                  <c:v>28.805102999999985</c:v>
                </c:pt>
                <c:pt idx="309">
                  <c:v>28.805102999999985</c:v>
                </c:pt>
                <c:pt idx="310">
                  <c:v>28.805102999999985</c:v>
                </c:pt>
                <c:pt idx="311">
                  <c:v>28.805102999999985</c:v>
                </c:pt>
                <c:pt idx="312">
                  <c:v>28.805102999999985</c:v>
                </c:pt>
                <c:pt idx="313">
                  <c:v>28.805102999999985</c:v>
                </c:pt>
                <c:pt idx="314">
                  <c:v>28.805102999999985</c:v>
                </c:pt>
                <c:pt idx="315">
                  <c:v>28.805102999999985</c:v>
                </c:pt>
                <c:pt idx="316">
                  <c:v>28.805102999999985</c:v>
                </c:pt>
                <c:pt idx="317">
                  <c:v>28.805102999999985</c:v>
                </c:pt>
                <c:pt idx="318">
                  <c:v>28.805102999999985</c:v>
                </c:pt>
                <c:pt idx="319">
                  <c:v>28.805102999999985</c:v>
                </c:pt>
                <c:pt idx="320">
                  <c:v>28.805102999999985</c:v>
                </c:pt>
                <c:pt idx="321">
                  <c:v>28.805102999999985</c:v>
                </c:pt>
                <c:pt idx="322">
                  <c:v>28.805102999999985</c:v>
                </c:pt>
                <c:pt idx="323">
                  <c:v>28.805102999999985</c:v>
                </c:pt>
                <c:pt idx="324">
                  <c:v>28.805102999999985</c:v>
                </c:pt>
                <c:pt idx="325">
                  <c:v>28.805102999999985</c:v>
                </c:pt>
                <c:pt idx="326">
                  <c:v>28.805102999999985</c:v>
                </c:pt>
                <c:pt idx="327">
                  <c:v>28.805102999999985</c:v>
                </c:pt>
                <c:pt idx="328">
                  <c:v>28.805102999999985</c:v>
                </c:pt>
                <c:pt idx="329">
                  <c:v>28.805102999999985</c:v>
                </c:pt>
                <c:pt idx="330">
                  <c:v>28.805102999999985</c:v>
                </c:pt>
                <c:pt idx="331">
                  <c:v>28.805102999999985</c:v>
                </c:pt>
                <c:pt idx="332">
                  <c:v>28.805102999999985</c:v>
                </c:pt>
                <c:pt idx="333">
                  <c:v>28.805102999999985</c:v>
                </c:pt>
                <c:pt idx="334">
                  <c:v>28.805102999999985</c:v>
                </c:pt>
                <c:pt idx="335">
                  <c:v>28.805102999999985</c:v>
                </c:pt>
                <c:pt idx="336">
                  <c:v>28.805102999999985</c:v>
                </c:pt>
                <c:pt idx="337">
                  <c:v>28.805102999999985</c:v>
                </c:pt>
                <c:pt idx="338">
                  <c:v>28.805102999999985</c:v>
                </c:pt>
                <c:pt idx="339">
                  <c:v>28.805102999999985</c:v>
                </c:pt>
                <c:pt idx="340">
                  <c:v>28.805102999999985</c:v>
                </c:pt>
                <c:pt idx="341">
                  <c:v>28.805102999999985</c:v>
                </c:pt>
                <c:pt idx="342">
                  <c:v>28.805102999999985</c:v>
                </c:pt>
                <c:pt idx="343">
                  <c:v>28.805102999999985</c:v>
                </c:pt>
                <c:pt idx="344">
                  <c:v>28.805102999999985</c:v>
                </c:pt>
                <c:pt idx="345">
                  <c:v>28.805102999999985</c:v>
                </c:pt>
                <c:pt idx="346">
                  <c:v>28.805102999999985</c:v>
                </c:pt>
                <c:pt idx="347">
                  <c:v>28.805102999999985</c:v>
                </c:pt>
                <c:pt idx="348">
                  <c:v>28.805102999999985</c:v>
                </c:pt>
                <c:pt idx="349">
                  <c:v>28.805102999999985</c:v>
                </c:pt>
                <c:pt idx="350">
                  <c:v>28.805102999999985</c:v>
                </c:pt>
                <c:pt idx="351">
                  <c:v>28.805102999999985</c:v>
                </c:pt>
                <c:pt idx="352">
                  <c:v>28.805102999999985</c:v>
                </c:pt>
                <c:pt idx="353">
                  <c:v>28.805102999999985</c:v>
                </c:pt>
                <c:pt idx="354">
                  <c:v>28.805102999999985</c:v>
                </c:pt>
                <c:pt idx="355">
                  <c:v>28.805102999999985</c:v>
                </c:pt>
                <c:pt idx="356">
                  <c:v>28.805102999999985</c:v>
                </c:pt>
                <c:pt idx="357">
                  <c:v>28.805102999999985</c:v>
                </c:pt>
                <c:pt idx="358">
                  <c:v>28.805102999999985</c:v>
                </c:pt>
                <c:pt idx="359">
                  <c:v>28.805102999999985</c:v>
                </c:pt>
                <c:pt idx="360">
                  <c:v>28.805102999999985</c:v>
                </c:pt>
                <c:pt idx="361">
                  <c:v>28.805102999999985</c:v>
                </c:pt>
                <c:pt idx="362">
                  <c:v>28.805102999999985</c:v>
                </c:pt>
                <c:pt idx="363">
                  <c:v>28.805102999999985</c:v>
                </c:pt>
                <c:pt idx="364">
                  <c:v>28.805102999999985</c:v>
                </c:pt>
                <c:pt idx="365">
                  <c:v>28.805102999999985</c:v>
                </c:pt>
                <c:pt idx="366">
                  <c:v>28.805102999999985</c:v>
                </c:pt>
                <c:pt idx="367">
                  <c:v>28.805102999999985</c:v>
                </c:pt>
                <c:pt idx="368">
                  <c:v>28.805102999999985</c:v>
                </c:pt>
                <c:pt idx="369">
                  <c:v>28.805102999999985</c:v>
                </c:pt>
                <c:pt idx="370">
                  <c:v>28.805102999999985</c:v>
                </c:pt>
                <c:pt idx="371">
                  <c:v>28.805102999999985</c:v>
                </c:pt>
                <c:pt idx="372">
                  <c:v>28.805102999999985</c:v>
                </c:pt>
                <c:pt idx="373">
                  <c:v>28.805102999999985</c:v>
                </c:pt>
                <c:pt idx="374">
                  <c:v>28.805102999999985</c:v>
                </c:pt>
                <c:pt idx="375">
                  <c:v>28.805102999999985</c:v>
                </c:pt>
                <c:pt idx="376">
                  <c:v>28.805102999999985</c:v>
                </c:pt>
                <c:pt idx="377">
                  <c:v>28.805102999999985</c:v>
                </c:pt>
                <c:pt idx="378">
                  <c:v>28.805102999999985</c:v>
                </c:pt>
                <c:pt idx="379">
                  <c:v>28.805102999999985</c:v>
                </c:pt>
                <c:pt idx="380">
                  <c:v>28.805102999999985</c:v>
                </c:pt>
                <c:pt idx="381">
                  <c:v>28.805102999999985</c:v>
                </c:pt>
                <c:pt idx="382">
                  <c:v>28.805102999999985</c:v>
                </c:pt>
                <c:pt idx="383">
                  <c:v>28.805102999999985</c:v>
                </c:pt>
                <c:pt idx="384">
                  <c:v>28.805102999999985</c:v>
                </c:pt>
                <c:pt idx="385">
                  <c:v>28.805102999999985</c:v>
                </c:pt>
                <c:pt idx="386">
                  <c:v>28.805102999999985</c:v>
                </c:pt>
                <c:pt idx="387">
                  <c:v>28.805102999999985</c:v>
                </c:pt>
                <c:pt idx="388">
                  <c:v>28.805102999999985</c:v>
                </c:pt>
                <c:pt idx="389">
                  <c:v>28.805102999999985</c:v>
                </c:pt>
                <c:pt idx="390">
                  <c:v>28.805102999999985</c:v>
                </c:pt>
                <c:pt idx="391">
                  <c:v>28.805102999999985</c:v>
                </c:pt>
                <c:pt idx="392">
                  <c:v>28.805102999999985</c:v>
                </c:pt>
                <c:pt idx="393">
                  <c:v>28.805102999999985</c:v>
                </c:pt>
                <c:pt idx="394">
                  <c:v>28.805102999999985</c:v>
                </c:pt>
                <c:pt idx="395">
                  <c:v>28.805102999999985</c:v>
                </c:pt>
                <c:pt idx="396">
                  <c:v>28.805102999999985</c:v>
                </c:pt>
                <c:pt idx="397">
                  <c:v>28.805102999999985</c:v>
                </c:pt>
                <c:pt idx="398">
                  <c:v>28.805102999999985</c:v>
                </c:pt>
                <c:pt idx="399">
                  <c:v>28.805102999999985</c:v>
                </c:pt>
                <c:pt idx="400">
                  <c:v>28.805102999999985</c:v>
                </c:pt>
                <c:pt idx="401">
                  <c:v>28.805102999999985</c:v>
                </c:pt>
                <c:pt idx="402">
                  <c:v>28.805102999999985</c:v>
                </c:pt>
                <c:pt idx="403">
                  <c:v>28.805102999999985</c:v>
                </c:pt>
                <c:pt idx="404">
                  <c:v>28.805102999999985</c:v>
                </c:pt>
                <c:pt idx="405">
                  <c:v>28.805102999999985</c:v>
                </c:pt>
                <c:pt idx="406">
                  <c:v>28.805102999999985</c:v>
                </c:pt>
                <c:pt idx="407">
                  <c:v>28.805102999999985</c:v>
                </c:pt>
                <c:pt idx="408">
                  <c:v>28.805102999999985</c:v>
                </c:pt>
                <c:pt idx="409">
                  <c:v>28.805102999999985</c:v>
                </c:pt>
                <c:pt idx="410">
                  <c:v>28.805102999999985</c:v>
                </c:pt>
                <c:pt idx="411">
                  <c:v>28.805102999999985</c:v>
                </c:pt>
                <c:pt idx="412">
                  <c:v>28.805102999999985</c:v>
                </c:pt>
                <c:pt idx="413">
                  <c:v>28.805102999999985</c:v>
                </c:pt>
                <c:pt idx="414">
                  <c:v>28.805102999999985</c:v>
                </c:pt>
                <c:pt idx="415">
                  <c:v>28.805102999999985</c:v>
                </c:pt>
                <c:pt idx="416">
                  <c:v>28.805102999999985</c:v>
                </c:pt>
                <c:pt idx="417">
                  <c:v>28.805102999999985</c:v>
                </c:pt>
                <c:pt idx="418">
                  <c:v>28.805102999999985</c:v>
                </c:pt>
                <c:pt idx="419">
                  <c:v>28.805102999999985</c:v>
                </c:pt>
                <c:pt idx="420">
                  <c:v>28.805102999999985</c:v>
                </c:pt>
                <c:pt idx="421">
                  <c:v>28.805102999999985</c:v>
                </c:pt>
                <c:pt idx="422">
                  <c:v>28.805102999999985</c:v>
                </c:pt>
                <c:pt idx="423">
                  <c:v>28.805102999999985</c:v>
                </c:pt>
                <c:pt idx="424">
                  <c:v>28.805102999999985</c:v>
                </c:pt>
                <c:pt idx="425">
                  <c:v>28.805102999999985</c:v>
                </c:pt>
                <c:pt idx="426">
                  <c:v>28.805102999999985</c:v>
                </c:pt>
                <c:pt idx="427">
                  <c:v>28.805102999999985</c:v>
                </c:pt>
                <c:pt idx="428">
                  <c:v>28.805102999999985</c:v>
                </c:pt>
                <c:pt idx="429">
                  <c:v>28.805102999999985</c:v>
                </c:pt>
                <c:pt idx="430">
                  <c:v>28.805102999999985</c:v>
                </c:pt>
                <c:pt idx="431">
                  <c:v>28.805102999999985</c:v>
                </c:pt>
                <c:pt idx="432">
                  <c:v>28.805102999999985</c:v>
                </c:pt>
                <c:pt idx="433">
                  <c:v>28.805102999999985</c:v>
                </c:pt>
                <c:pt idx="434">
                  <c:v>28.805102999999985</c:v>
                </c:pt>
                <c:pt idx="435">
                  <c:v>28.805102999999985</c:v>
                </c:pt>
                <c:pt idx="436">
                  <c:v>28.805102999999985</c:v>
                </c:pt>
                <c:pt idx="437">
                  <c:v>28.805102999999985</c:v>
                </c:pt>
                <c:pt idx="438">
                  <c:v>28.805102999999985</c:v>
                </c:pt>
                <c:pt idx="439">
                  <c:v>28.805102999999985</c:v>
                </c:pt>
                <c:pt idx="440">
                  <c:v>28.805102999999985</c:v>
                </c:pt>
                <c:pt idx="441">
                  <c:v>28.805102999999985</c:v>
                </c:pt>
                <c:pt idx="442">
                  <c:v>28.805102999999985</c:v>
                </c:pt>
                <c:pt idx="443">
                  <c:v>28.805102999999985</c:v>
                </c:pt>
                <c:pt idx="444">
                  <c:v>28.805102999999985</c:v>
                </c:pt>
                <c:pt idx="445">
                  <c:v>28.805102999999985</c:v>
                </c:pt>
                <c:pt idx="446">
                  <c:v>28.805102999999985</c:v>
                </c:pt>
                <c:pt idx="447">
                  <c:v>28.805102999999985</c:v>
                </c:pt>
                <c:pt idx="448">
                  <c:v>28.805102999999985</c:v>
                </c:pt>
                <c:pt idx="449">
                  <c:v>28.805102999999985</c:v>
                </c:pt>
                <c:pt idx="450">
                  <c:v>28.805102999999985</c:v>
                </c:pt>
                <c:pt idx="451">
                  <c:v>28.805102999999985</c:v>
                </c:pt>
                <c:pt idx="452">
                  <c:v>28.805102999999985</c:v>
                </c:pt>
                <c:pt idx="453">
                  <c:v>28.805102999999985</c:v>
                </c:pt>
                <c:pt idx="454">
                  <c:v>28.805102999999985</c:v>
                </c:pt>
                <c:pt idx="455">
                  <c:v>28.805102999999985</c:v>
                </c:pt>
                <c:pt idx="456">
                  <c:v>28.805102999999985</c:v>
                </c:pt>
                <c:pt idx="457">
                  <c:v>28.805102999999985</c:v>
                </c:pt>
                <c:pt idx="458">
                  <c:v>28.805102999999985</c:v>
                </c:pt>
                <c:pt idx="459">
                  <c:v>28.805102999999985</c:v>
                </c:pt>
                <c:pt idx="460">
                  <c:v>28.805102999999985</c:v>
                </c:pt>
                <c:pt idx="461">
                  <c:v>28.805102999999985</c:v>
                </c:pt>
                <c:pt idx="462">
                  <c:v>28.805102999999985</c:v>
                </c:pt>
                <c:pt idx="463">
                  <c:v>28.805102999999985</c:v>
                </c:pt>
                <c:pt idx="464">
                  <c:v>28.805102999999985</c:v>
                </c:pt>
                <c:pt idx="465">
                  <c:v>28.805102999999985</c:v>
                </c:pt>
                <c:pt idx="466">
                  <c:v>28.805102999999985</c:v>
                </c:pt>
                <c:pt idx="467">
                  <c:v>28.805102999999985</c:v>
                </c:pt>
                <c:pt idx="468">
                  <c:v>28.805102999999985</c:v>
                </c:pt>
                <c:pt idx="469">
                  <c:v>28.805102999999985</c:v>
                </c:pt>
                <c:pt idx="470">
                  <c:v>28.805102999999985</c:v>
                </c:pt>
                <c:pt idx="471">
                  <c:v>28.805102999999985</c:v>
                </c:pt>
                <c:pt idx="472">
                  <c:v>28.805102999999985</c:v>
                </c:pt>
                <c:pt idx="473">
                  <c:v>28.805102999999985</c:v>
                </c:pt>
                <c:pt idx="474">
                  <c:v>28.805102999999985</c:v>
                </c:pt>
                <c:pt idx="475">
                  <c:v>28.805102999999985</c:v>
                </c:pt>
                <c:pt idx="476">
                  <c:v>28.805102999999985</c:v>
                </c:pt>
                <c:pt idx="477">
                  <c:v>28.805102999999985</c:v>
                </c:pt>
                <c:pt idx="478">
                  <c:v>28.805102999999985</c:v>
                </c:pt>
                <c:pt idx="479">
                  <c:v>28.805102999999985</c:v>
                </c:pt>
                <c:pt idx="480">
                  <c:v>28.805102999999985</c:v>
                </c:pt>
                <c:pt idx="481">
                  <c:v>28.805102999999985</c:v>
                </c:pt>
                <c:pt idx="482">
                  <c:v>28.805102999999985</c:v>
                </c:pt>
                <c:pt idx="483">
                  <c:v>28.805102999999985</c:v>
                </c:pt>
                <c:pt idx="484">
                  <c:v>28.805102999999985</c:v>
                </c:pt>
                <c:pt idx="485">
                  <c:v>28.805102999999985</c:v>
                </c:pt>
                <c:pt idx="486">
                  <c:v>28.805102999999985</c:v>
                </c:pt>
                <c:pt idx="487">
                  <c:v>28.805102999999985</c:v>
                </c:pt>
                <c:pt idx="488">
                  <c:v>28.805102999999985</c:v>
                </c:pt>
                <c:pt idx="489">
                  <c:v>28.805102999999985</c:v>
                </c:pt>
                <c:pt idx="490">
                  <c:v>28.805102999999985</c:v>
                </c:pt>
                <c:pt idx="491">
                  <c:v>28.805102999999985</c:v>
                </c:pt>
                <c:pt idx="492">
                  <c:v>28.805102999999985</c:v>
                </c:pt>
                <c:pt idx="493">
                  <c:v>28.805102999999985</c:v>
                </c:pt>
                <c:pt idx="494">
                  <c:v>28.805102999999985</c:v>
                </c:pt>
                <c:pt idx="495">
                  <c:v>28.805102999999985</c:v>
                </c:pt>
                <c:pt idx="496">
                  <c:v>28.805102999999985</c:v>
                </c:pt>
                <c:pt idx="497">
                  <c:v>28.805102999999985</c:v>
                </c:pt>
                <c:pt idx="498">
                  <c:v>28.805102999999985</c:v>
                </c:pt>
                <c:pt idx="499">
                  <c:v>28.805102999999985</c:v>
                </c:pt>
                <c:pt idx="500">
                  <c:v>28.805102999999985</c:v>
                </c:pt>
                <c:pt idx="501">
                  <c:v>28.805102999999985</c:v>
                </c:pt>
                <c:pt idx="502">
                  <c:v>28.805102999999985</c:v>
                </c:pt>
                <c:pt idx="503">
                  <c:v>28.805102999999985</c:v>
                </c:pt>
                <c:pt idx="504">
                  <c:v>28.805102999999985</c:v>
                </c:pt>
                <c:pt idx="505">
                  <c:v>28.805102999999985</c:v>
                </c:pt>
                <c:pt idx="506">
                  <c:v>28.805102999999985</c:v>
                </c:pt>
                <c:pt idx="507">
                  <c:v>28.805102999999985</c:v>
                </c:pt>
                <c:pt idx="508">
                  <c:v>28.805102999999985</c:v>
                </c:pt>
                <c:pt idx="509">
                  <c:v>28.805102999999985</c:v>
                </c:pt>
                <c:pt idx="510">
                  <c:v>28.805102999999985</c:v>
                </c:pt>
                <c:pt idx="511">
                  <c:v>28.805102999999985</c:v>
                </c:pt>
                <c:pt idx="512">
                  <c:v>28.805102999999985</c:v>
                </c:pt>
                <c:pt idx="513">
                  <c:v>28.805102999999985</c:v>
                </c:pt>
                <c:pt idx="514">
                  <c:v>28.805102999999985</c:v>
                </c:pt>
                <c:pt idx="515">
                  <c:v>28.805102999999985</c:v>
                </c:pt>
                <c:pt idx="516">
                  <c:v>28.805102999999985</c:v>
                </c:pt>
                <c:pt idx="517">
                  <c:v>28.805102999999985</c:v>
                </c:pt>
                <c:pt idx="518">
                  <c:v>28.805102999999985</c:v>
                </c:pt>
                <c:pt idx="519">
                  <c:v>28.805102999999985</c:v>
                </c:pt>
                <c:pt idx="520">
                  <c:v>28.805102999999985</c:v>
                </c:pt>
                <c:pt idx="521">
                  <c:v>28.805102999999985</c:v>
                </c:pt>
                <c:pt idx="522">
                  <c:v>28.805102999999985</c:v>
                </c:pt>
                <c:pt idx="523">
                  <c:v>28.805102999999985</c:v>
                </c:pt>
                <c:pt idx="524">
                  <c:v>28.805102999999985</c:v>
                </c:pt>
                <c:pt idx="525">
                  <c:v>28.805102999999985</c:v>
                </c:pt>
                <c:pt idx="526">
                  <c:v>28.805102999999985</c:v>
                </c:pt>
                <c:pt idx="527">
                  <c:v>28.805102999999985</c:v>
                </c:pt>
                <c:pt idx="528">
                  <c:v>28.805102999999985</c:v>
                </c:pt>
                <c:pt idx="529">
                  <c:v>28.805102999999985</c:v>
                </c:pt>
                <c:pt idx="530">
                  <c:v>28.805102999999985</c:v>
                </c:pt>
                <c:pt idx="531">
                  <c:v>28.805102999999985</c:v>
                </c:pt>
                <c:pt idx="532">
                  <c:v>28.805102999999985</c:v>
                </c:pt>
                <c:pt idx="533">
                  <c:v>28.805102999999985</c:v>
                </c:pt>
                <c:pt idx="534">
                  <c:v>28.805102999999985</c:v>
                </c:pt>
                <c:pt idx="535">
                  <c:v>28.805102999999985</c:v>
                </c:pt>
                <c:pt idx="536">
                  <c:v>28.805102999999985</c:v>
                </c:pt>
                <c:pt idx="537">
                  <c:v>28.805102999999985</c:v>
                </c:pt>
                <c:pt idx="538">
                  <c:v>28.805102999999985</c:v>
                </c:pt>
                <c:pt idx="539">
                  <c:v>28.805102999999985</c:v>
                </c:pt>
                <c:pt idx="540">
                  <c:v>28.805102999999985</c:v>
                </c:pt>
                <c:pt idx="541">
                  <c:v>28.805102999999985</c:v>
                </c:pt>
                <c:pt idx="542">
                  <c:v>28.805102999999985</c:v>
                </c:pt>
                <c:pt idx="543">
                  <c:v>28.805102999999985</c:v>
                </c:pt>
                <c:pt idx="544">
                  <c:v>28.805102999999985</c:v>
                </c:pt>
                <c:pt idx="545">
                  <c:v>28.805102999999985</c:v>
                </c:pt>
                <c:pt idx="546">
                  <c:v>28.805102999999985</c:v>
                </c:pt>
                <c:pt idx="547">
                  <c:v>28.805102999999985</c:v>
                </c:pt>
                <c:pt idx="548">
                  <c:v>28.805102999999985</c:v>
                </c:pt>
                <c:pt idx="549">
                  <c:v>28.805102999999985</c:v>
                </c:pt>
                <c:pt idx="550">
                  <c:v>28.805102999999985</c:v>
                </c:pt>
                <c:pt idx="551">
                  <c:v>28.805102999999985</c:v>
                </c:pt>
                <c:pt idx="552">
                  <c:v>28.805102999999985</c:v>
                </c:pt>
                <c:pt idx="553">
                  <c:v>28.805102999999985</c:v>
                </c:pt>
                <c:pt idx="554">
                  <c:v>28.805102999999985</c:v>
                </c:pt>
                <c:pt idx="555">
                  <c:v>28.805102999999985</c:v>
                </c:pt>
                <c:pt idx="556">
                  <c:v>28.805102999999985</c:v>
                </c:pt>
                <c:pt idx="557">
                  <c:v>28.805102999999985</c:v>
                </c:pt>
                <c:pt idx="558">
                  <c:v>28.805102999999985</c:v>
                </c:pt>
                <c:pt idx="559">
                  <c:v>28.805102999999985</c:v>
                </c:pt>
                <c:pt idx="560">
                  <c:v>28.805102999999985</c:v>
                </c:pt>
                <c:pt idx="561">
                  <c:v>28.805102999999985</c:v>
                </c:pt>
                <c:pt idx="562">
                  <c:v>28.805102999999985</c:v>
                </c:pt>
                <c:pt idx="563">
                  <c:v>28.805102999999985</c:v>
                </c:pt>
                <c:pt idx="564">
                  <c:v>28.805102999999985</c:v>
                </c:pt>
                <c:pt idx="565">
                  <c:v>28.805102999999985</c:v>
                </c:pt>
                <c:pt idx="566">
                  <c:v>28.805102999999985</c:v>
                </c:pt>
                <c:pt idx="567">
                  <c:v>28.805102999999985</c:v>
                </c:pt>
                <c:pt idx="568">
                  <c:v>28.805102999999985</c:v>
                </c:pt>
                <c:pt idx="569">
                  <c:v>28.805102999999985</c:v>
                </c:pt>
                <c:pt idx="570">
                  <c:v>28.805102999999985</c:v>
                </c:pt>
                <c:pt idx="571">
                  <c:v>28.805102999999985</c:v>
                </c:pt>
                <c:pt idx="572">
                  <c:v>28.805102999999985</c:v>
                </c:pt>
                <c:pt idx="573">
                  <c:v>28.805102999999985</c:v>
                </c:pt>
                <c:pt idx="574">
                  <c:v>28.805102999999985</c:v>
                </c:pt>
                <c:pt idx="575">
                  <c:v>28.805102999999985</c:v>
                </c:pt>
                <c:pt idx="576">
                  <c:v>28.805102999999985</c:v>
                </c:pt>
                <c:pt idx="577">
                  <c:v>28.805102999999985</c:v>
                </c:pt>
                <c:pt idx="578">
                  <c:v>28.805102999999985</c:v>
                </c:pt>
                <c:pt idx="579">
                  <c:v>28.805102999999985</c:v>
                </c:pt>
                <c:pt idx="580">
                  <c:v>28.805102999999985</c:v>
                </c:pt>
                <c:pt idx="581">
                  <c:v>28.805102999999985</c:v>
                </c:pt>
                <c:pt idx="582">
                  <c:v>28.805102999999985</c:v>
                </c:pt>
                <c:pt idx="583">
                  <c:v>28.805102999999985</c:v>
                </c:pt>
                <c:pt idx="584">
                  <c:v>28.805102999999985</c:v>
                </c:pt>
                <c:pt idx="585">
                  <c:v>28.805102999999985</c:v>
                </c:pt>
                <c:pt idx="586">
                  <c:v>28.805102999999985</c:v>
                </c:pt>
                <c:pt idx="587">
                  <c:v>28.805102999999985</c:v>
                </c:pt>
                <c:pt idx="588">
                  <c:v>28.805102999999985</c:v>
                </c:pt>
                <c:pt idx="589">
                  <c:v>28.805102999999985</c:v>
                </c:pt>
                <c:pt idx="590">
                  <c:v>28.805102999999985</c:v>
                </c:pt>
                <c:pt idx="591">
                  <c:v>28.805102999999985</c:v>
                </c:pt>
                <c:pt idx="592">
                  <c:v>28.805102999999985</c:v>
                </c:pt>
                <c:pt idx="593">
                  <c:v>28.805102999999985</c:v>
                </c:pt>
                <c:pt idx="594">
                  <c:v>28.805102999999985</c:v>
                </c:pt>
                <c:pt idx="595">
                  <c:v>28.805102999999985</c:v>
                </c:pt>
                <c:pt idx="596">
                  <c:v>28.805102999999985</c:v>
                </c:pt>
                <c:pt idx="597">
                  <c:v>28.805102999999985</c:v>
                </c:pt>
                <c:pt idx="598">
                  <c:v>28.805102999999985</c:v>
                </c:pt>
                <c:pt idx="599">
                  <c:v>28.805102999999985</c:v>
                </c:pt>
                <c:pt idx="600">
                  <c:v>28.805102999999985</c:v>
                </c:pt>
                <c:pt idx="601">
                  <c:v>28.805102999999985</c:v>
                </c:pt>
                <c:pt idx="602">
                  <c:v>28.805102999999985</c:v>
                </c:pt>
                <c:pt idx="603">
                  <c:v>28.805102999999985</c:v>
                </c:pt>
                <c:pt idx="604">
                  <c:v>28.805102999999985</c:v>
                </c:pt>
                <c:pt idx="605">
                  <c:v>28.805102999999985</c:v>
                </c:pt>
                <c:pt idx="606">
                  <c:v>28.805102999999985</c:v>
                </c:pt>
                <c:pt idx="607">
                  <c:v>28.805102999999985</c:v>
                </c:pt>
                <c:pt idx="608">
                  <c:v>28.805102999999985</c:v>
                </c:pt>
                <c:pt idx="609">
                  <c:v>28.805102999999985</c:v>
                </c:pt>
                <c:pt idx="610">
                  <c:v>28.805102999999985</c:v>
                </c:pt>
                <c:pt idx="611">
                  <c:v>28.805102999999985</c:v>
                </c:pt>
                <c:pt idx="612">
                  <c:v>28.805102999999985</c:v>
                </c:pt>
                <c:pt idx="613">
                  <c:v>28.805102999999985</c:v>
                </c:pt>
                <c:pt idx="614">
                  <c:v>28.805102999999985</c:v>
                </c:pt>
                <c:pt idx="615">
                  <c:v>28.805102999999985</c:v>
                </c:pt>
                <c:pt idx="616">
                  <c:v>28.805102999999985</c:v>
                </c:pt>
                <c:pt idx="617">
                  <c:v>28.805102999999985</c:v>
                </c:pt>
                <c:pt idx="618">
                  <c:v>28.805102999999985</c:v>
                </c:pt>
                <c:pt idx="619">
                  <c:v>28.805102999999985</c:v>
                </c:pt>
                <c:pt idx="620">
                  <c:v>28.805102999999985</c:v>
                </c:pt>
                <c:pt idx="621">
                  <c:v>28.805102999999985</c:v>
                </c:pt>
                <c:pt idx="622">
                  <c:v>28.805102999999985</c:v>
                </c:pt>
                <c:pt idx="623">
                  <c:v>28.805102999999985</c:v>
                </c:pt>
                <c:pt idx="624">
                  <c:v>28.805102999999985</c:v>
                </c:pt>
                <c:pt idx="625">
                  <c:v>28.805102999999985</c:v>
                </c:pt>
                <c:pt idx="626">
                  <c:v>28.805102999999985</c:v>
                </c:pt>
                <c:pt idx="627">
                  <c:v>28.805102999999985</c:v>
                </c:pt>
                <c:pt idx="628">
                  <c:v>28.805102999999985</c:v>
                </c:pt>
                <c:pt idx="629">
                  <c:v>28.805102999999985</c:v>
                </c:pt>
                <c:pt idx="630">
                  <c:v>28.805102999999985</c:v>
                </c:pt>
                <c:pt idx="631">
                  <c:v>28.805102999999985</c:v>
                </c:pt>
                <c:pt idx="632">
                  <c:v>28.805102999999985</c:v>
                </c:pt>
                <c:pt idx="633">
                  <c:v>28.805102999999985</c:v>
                </c:pt>
                <c:pt idx="634">
                  <c:v>28.805102999999985</c:v>
                </c:pt>
                <c:pt idx="635">
                  <c:v>28.805102999999985</c:v>
                </c:pt>
                <c:pt idx="636">
                  <c:v>28.805102999999985</c:v>
                </c:pt>
                <c:pt idx="637">
                  <c:v>28.805102999999985</c:v>
                </c:pt>
                <c:pt idx="638">
                  <c:v>28.805102999999985</c:v>
                </c:pt>
                <c:pt idx="639">
                  <c:v>28.805102999999985</c:v>
                </c:pt>
                <c:pt idx="640">
                  <c:v>28.805102999999985</c:v>
                </c:pt>
                <c:pt idx="641">
                  <c:v>28.805102999999985</c:v>
                </c:pt>
                <c:pt idx="642">
                  <c:v>28.805102999999985</c:v>
                </c:pt>
                <c:pt idx="643">
                  <c:v>28.805102999999985</c:v>
                </c:pt>
                <c:pt idx="644">
                  <c:v>28.805102999999985</c:v>
                </c:pt>
                <c:pt idx="645">
                  <c:v>28.805102999999985</c:v>
                </c:pt>
                <c:pt idx="646">
                  <c:v>28.805102999999985</c:v>
                </c:pt>
                <c:pt idx="647">
                  <c:v>28.805102999999985</c:v>
                </c:pt>
                <c:pt idx="648">
                  <c:v>28.805102999999985</c:v>
                </c:pt>
                <c:pt idx="649">
                  <c:v>28.805102999999985</c:v>
                </c:pt>
                <c:pt idx="650">
                  <c:v>28.805102999999985</c:v>
                </c:pt>
                <c:pt idx="651">
                  <c:v>28.805102999999985</c:v>
                </c:pt>
                <c:pt idx="652">
                  <c:v>28.805102999999985</c:v>
                </c:pt>
                <c:pt idx="653">
                  <c:v>28.805102999999985</c:v>
                </c:pt>
                <c:pt idx="654">
                  <c:v>28.805102999999985</c:v>
                </c:pt>
                <c:pt idx="655">
                  <c:v>28.805102999999985</c:v>
                </c:pt>
                <c:pt idx="656">
                  <c:v>28.805102999999985</c:v>
                </c:pt>
                <c:pt idx="657">
                  <c:v>28.805102999999985</c:v>
                </c:pt>
                <c:pt idx="658">
                  <c:v>28.805102999999985</c:v>
                </c:pt>
                <c:pt idx="659">
                  <c:v>28.805102999999985</c:v>
                </c:pt>
                <c:pt idx="660">
                  <c:v>28.805102999999985</c:v>
                </c:pt>
                <c:pt idx="661">
                  <c:v>28.805102999999985</c:v>
                </c:pt>
                <c:pt idx="662">
                  <c:v>28.805102999999985</c:v>
                </c:pt>
                <c:pt idx="663">
                  <c:v>28.805102999999985</c:v>
                </c:pt>
                <c:pt idx="664">
                  <c:v>28.805102999999985</c:v>
                </c:pt>
                <c:pt idx="665">
                  <c:v>28.805102999999985</c:v>
                </c:pt>
                <c:pt idx="666">
                  <c:v>28.805102999999985</c:v>
                </c:pt>
                <c:pt idx="667">
                  <c:v>28.805102999999985</c:v>
                </c:pt>
                <c:pt idx="668">
                  <c:v>28.805102999999985</c:v>
                </c:pt>
                <c:pt idx="669">
                  <c:v>28.805102999999985</c:v>
                </c:pt>
                <c:pt idx="670">
                  <c:v>28.805102999999985</c:v>
                </c:pt>
                <c:pt idx="671">
                  <c:v>28.805102999999985</c:v>
                </c:pt>
                <c:pt idx="672">
                  <c:v>28.805102999999985</c:v>
                </c:pt>
                <c:pt idx="673">
                  <c:v>28.805102999999985</c:v>
                </c:pt>
                <c:pt idx="674">
                  <c:v>28.805102999999985</c:v>
                </c:pt>
                <c:pt idx="675">
                  <c:v>28.805102999999985</c:v>
                </c:pt>
                <c:pt idx="676">
                  <c:v>28.805102999999985</c:v>
                </c:pt>
                <c:pt idx="677">
                  <c:v>28.805102999999985</c:v>
                </c:pt>
                <c:pt idx="678">
                  <c:v>28.805102999999985</c:v>
                </c:pt>
                <c:pt idx="679">
                  <c:v>28.805102999999985</c:v>
                </c:pt>
                <c:pt idx="680">
                  <c:v>28.805102999999985</c:v>
                </c:pt>
                <c:pt idx="681">
                  <c:v>28.805102999999985</c:v>
                </c:pt>
                <c:pt idx="682">
                  <c:v>28.805102999999985</c:v>
                </c:pt>
                <c:pt idx="683">
                  <c:v>28.805102999999985</c:v>
                </c:pt>
                <c:pt idx="684">
                  <c:v>28.805102999999985</c:v>
                </c:pt>
                <c:pt idx="685">
                  <c:v>28.805102999999985</c:v>
                </c:pt>
                <c:pt idx="686">
                  <c:v>28.805102999999985</c:v>
                </c:pt>
                <c:pt idx="687">
                  <c:v>28.805102999999985</c:v>
                </c:pt>
                <c:pt idx="688">
                  <c:v>28.805102999999985</c:v>
                </c:pt>
                <c:pt idx="689">
                  <c:v>28.805102999999985</c:v>
                </c:pt>
                <c:pt idx="690">
                  <c:v>28.805102999999985</c:v>
                </c:pt>
                <c:pt idx="691">
                  <c:v>28.805102999999985</c:v>
                </c:pt>
                <c:pt idx="692">
                  <c:v>28.805102999999985</c:v>
                </c:pt>
                <c:pt idx="693">
                  <c:v>28.805102999999985</c:v>
                </c:pt>
                <c:pt idx="694">
                  <c:v>28.805102999999985</c:v>
                </c:pt>
                <c:pt idx="695">
                  <c:v>28.805102999999985</c:v>
                </c:pt>
                <c:pt idx="696">
                  <c:v>28.805102999999985</c:v>
                </c:pt>
                <c:pt idx="697">
                  <c:v>28.805102999999985</c:v>
                </c:pt>
                <c:pt idx="698">
                  <c:v>28.805102999999985</c:v>
                </c:pt>
                <c:pt idx="699">
                  <c:v>28.805102999999985</c:v>
                </c:pt>
                <c:pt idx="700">
                  <c:v>28.805102999999985</c:v>
                </c:pt>
                <c:pt idx="701">
                  <c:v>28.805102999999985</c:v>
                </c:pt>
                <c:pt idx="702">
                  <c:v>28.805102999999985</c:v>
                </c:pt>
                <c:pt idx="703">
                  <c:v>28.805102999999985</c:v>
                </c:pt>
                <c:pt idx="704">
                  <c:v>28.805102999999985</c:v>
                </c:pt>
                <c:pt idx="705">
                  <c:v>28.805102999999985</c:v>
                </c:pt>
                <c:pt idx="706">
                  <c:v>28.805102999999985</c:v>
                </c:pt>
                <c:pt idx="707">
                  <c:v>28.805102999999985</c:v>
                </c:pt>
                <c:pt idx="708">
                  <c:v>28.805102999999985</c:v>
                </c:pt>
                <c:pt idx="709">
                  <c:v>28.805102999999985</c:v>
                </c:pt>
                <c:pt idx="710">
                  <c:v>28.805102999999985</c:v>
                </c:pt>
                <c:pt idx="711">
                  <c:v>28.805102999999985</c:v>
                </c:pt>
                <c:pt idx="712">
                  <c:v>28.805102999999985</c:v>
                </c:pt>
                <c:pt idx="713">
                  <c:v>28.805102999999985</c:v>
                </c:pt>
                <c:pt idx="714">
                  <c:v>28.805102999999985</c:v>
                </c:pt>
                <c:pt idx="715">
                  <c:v>28.805102999999985</c:v>
                </c:pt>
                <c:pt idx="716">
                  <c:v>28.805102999999985</c:v>
                </c:pt>
                <c:pt idx="717">
                  <c:v>28.805102999999985</c:v>
                </c:pt>
                <c:pt idx="718">
                  <c:v>28.805102999999985</c:v>
                </c:pt>
                <c:pt idx="719">
                  <c:v>28.805102999999985</c:v>
                </c:pt>
                <c:pt idx="720">
                  <c:v>28.805102999999985</c:v>
                </c:pt>
                <c:pt idx="721">
                  <c:v>28.805102999999985</c:v>
                </c:pt>
                <c:pt idx="722">
                  <c:v>28.805102999999985</c:v>
                </c:pt>
                <c:pt idx="723">
                  <c:v>28.805102999999985</c:v>
                </c:pt>
                <c:pt idx="724">
                  <c:v>28.805102999999985</c:v>
                </c:pt>
                <c:pt idx="725">
                  <c:v>28.805102999999985</c:v>
                </c:pt>
                <c:pt idx="726">
                  <c:v>28.805102999999985</c:v>
                </c:pt>
                <c:pt idx="727">
                  <c:v>28.805102999999985</c:v>
                </c:pt>
                <c:pt idx="728">
                  <c:v>28.805102999999985</c:v>
                </c:pt>
                <c:pt idx="729">
                  <c:v>28.805102999999985</c:v>
                </c:pt>
                <c:pt idx="730">
                  <c:v>28.805102999999985</c:v>
                </c:pt>
                <c:pt idx="731">
                  <c:v>28.805102999999985</c:v>
                </c:pt>
                <c:pt idx="732">
                  <c:v>28.805102999999985</c:v>
                </c:pt>
                <c:pt idx="733">
                  <c:v>28.805102999999985</c:v>
                </c:pt>
                <c:pt idx="734">
                  <c:v>28.805102999999985</c:v>
                </c:pt>
                <c:pt idx="735">
                  <c:v>28.805102999999985</c:v>
                </c:pt>
                <c:pt idx="736">
                  <c:v>28.805102999999985</c:v>
                </c:pt>
                <c:pt idx="737">
                  <c:v>28.805102999999985</c:v>
                </c:pt>
                <c:pt idx="738">
                  <c:v>28.805102999999985</c:v>
                </c:pt>
                <c:pt idx="739">
                  <c:v>28.805102999999985</c:v>
                </c:pt>
                <c:pt idx="740">
                  <c:v>28.805102999999985</c:v>
                </c:pt>
                <c:pt idx="741">
                  <c:v>28.805102999999985</c:v>
                </c:pt>
                <c:pt idx="742">
                  <c:v>28.805102999999985</c:v>
                </c:pt>
                <c:pt idx="743">
                  <c:v>28.805102999999985</c:v>
                </c:pt>
                <c:pt idx="744">
                  <c:v>28.805102999999985</c:v>
                </c:pt>
                <c:pt idx="745">
                  <c:v>28.805102999999985</c:v>
                </c:pt>
                <c:pt idx="746">
                  <c:v>28.805102999999985</c:v>
                </c:pt>
                <c:pt idx="747">
                  <c:v>28.805102999999985</c:v>
                </c:pt>
                <c:pt idx="748">
                  <c:v>28.805102999999985</c:v>
                </c:pt>
                <c:pt idx="749">
                  <c:v>28.805102999999985</c:v>
                </c:pt>
                <c:pt idx="750">
                  <c:v>28.805102999999985</c:v>
                </c:pt>
                <c:pt idx="751">
                  <c:v>28.805102999999985</c:v>
                </c:pt>
                <c:pt idx="752">
                  <c:v>28.805102999999985</c:v>
                </c:pt>
                <c:pt idx="753">
                  <c:v>28.805102999999985</c:v>
                </c:pt>
                <c:pt idx="754">
                  <c:v>28.805102999999985</c:v>
                </c:pt>
                <c:pt idx="755">
                  <c:v>28.805102999999985</c:v>
                </c:pt>
                <c:pt idx="756">
                  <c:v>28.805102999999985</c:v>
                </c:pt>
                <c:pt idx="757">
                  <c:v>28.805102999999985</c:v>
                </c:pt>
                <c:pt idx="758">
                  <c:v>28.805102999999985</c:v>
                </c:pt>
                <c:pt idx="759">
                  <c:v>28.805102999999985</c:v>
                </c:pt>
                <c:pt idx="760">
                  <c:v>28.805102999999985</c:v>
                </c:pt>
                <c:pt idx="761">
                  <c:v>28.805102999999985</c:v>
                </c:pt>
                <c:pt idx="762">
                  <c:v>28.805102999999985</c:v>
                </c:pt>
                <c:pt idx="763">
                  <c:v>28.805102999999985</c:v>
                </c:pt>
                <c:pt idx="764">
                  <c:v>28.805102999999985</c:v>
                </c:pt>
                <c:pt idx="765">
                  <c:v>28.805102999999985</c:v>
                </c:pt>
                <c:pt idx="766">
                  <c:v>28.805102999999985</c:v>
                </c:pt>
                <c:pt idx="767">
                  <c:v>28.805102999999985</c:v>
                </c:pt>
                <c:pt idx="768">
                  <c:v>28.805102999999985</c:v>
                </c:pt>
                <c:pt idx="769">
                  <c:v>28.805102999999985</c:v>
                </c:pt>
                <c:pt idx="770">
                  <c:v>28.805102999999985</c:v>
                </c:pt>
                <c:pt idx="771">
                  <c:v>28.805102999999985</c:v>
                </c:pt>
                <c:pt idx="772">
                  <c:v>28.805102999999985</c:v>
                </c:pt>
                <c:pt idx="773">
                  <c:v>28.805102999999985</c:v>
                </c:pt>
                <c:pt idx="774">
                  <c:v>28.805102999999985</c:v>
                </c:pt>
                <c:pt idx="775">
                  <c:v>28.805102999999985</c:v>
                </c:pt>
                <c:pt idx="776">
                  <c:v>28.805102999999985</c:v>
                </c:pt>
                <c:pt idx="777">
                  <c:v>28.805102999999985</c:v>
                </c:pt>
                <c:pt idx="778">
                  <c:v>28.805102999999985</c:v>
                </c:pt>
                <c:pt idx="779">
                  <c:v>28.805102999999985</c:v>
                </c:pt>
                <c:pt idx="780">
                  <c:v>28.805102999999985</c:v>
                </c:pt>
                <c:pt idx="781">
                  <c:v>28.805102999999985</c:v>
                </c:pt>
                <c:pt idx="782">
                  <c:v>28.805102999999985</c:v>
                </c:pt>
                <c:pt idx="783">
                  <c:v>28.805102999999985</c:v>
                </c:pt>
                <c:pt idx="784">
                  <c:v>28.805102999999985</c:v>
                </c:pt>
                <c:pt idx="785">
                  <c:v>28.805102999999985</c:v>
                </c:pt>
                <c:pt idx="786">
                  <c:v>28.805102999999985</c:v>
                </c:pt>
                <c:pt idx="787">
                  <c:v>28.805102999999985</c:v>
                </c:pt>
                <c:pt idx="788">
                  <c:v>28.805102999999985</c:v>
                </c:pt>
                <c:pt idx="789">
                  <c:v>28.805102999999985</c:v>
                </c:pt>
                <c:pt idx="790">
                  <c:v>28.805102999999985</c:v>
                </c:pt>
                <c:pt idx="791">
                  <c:v>28.805102999999985</c:v>
                </c:pt>
                <c:pt idx="792">
                  <c:v>28.805102999999985</c:v>
                </c:pt>
                <c:pt idx="793">
                  <c:v>28.805102999999985</c:v>
                </c:pt>
                <c:pt idx="794">
                  <c:v>28.805102999999985</c:v>
                </c:pt>
                <c:pt idx="795">
                  <c:v>28.805102999999985</c:v>
                </c:pt>
                <c:pt idx="796">
                  <c:v>28.805102999999985</c:v>
                </c:pt>
                <c:pt idx="797">
                  <c:v>28.805102999999985</c:v>
                </c:pt>
                <c:pt idx="798">
                  <c:v>28.805102999999985</c:v>
                </c:pt>
                <c:pt idx="799">
                  <c:v>28.805102999999985</c:v>
                </c:pt>
                <c:pt idx="800">
                  <c:v>28.805102999999985</c:v>
                </c:pt>
                <c:pt idx="801">
                  <c:v>28.805102999999985</c:v>
                </c:pt>
                <c:pt idx="802">
                  <c:v>28.805102999999985</c:v>
                </c:pt>
                <c:pt idx="803">
                  <c:v>28.805102999999985</c:v>
                </c:pt>
                <c:pt idx="804">
                  <c:v>28.805102999999985</c:v>
                </c:pt>
                <c:pt idx="805">
                  <c:v>28.805102999999985</c:v>
                </c:pt>
                <c:pt idx="806">
                  <c:v>28.805102999999985</c:v>
                </c:pt>
                <c:pt idx="807">
                  <c:v>28.805102999999985</c:v>
                </c:pt>
                <c:pt idx="808">
                  <c:v>28.805102999999985</c:v>
                </c:pt>
                <c:pt idx="809">
                  <c:v>28.805102999999985</c:v>
                </c:pt>
                <c:pt idx="810">
                  <c:v>28.805102999999985</c:v>
                </c:pt>
                <c:pt idx="811">
                  <c:v>28.805102999999985</c:v>
                </c:pt>
                <c:pt idx="812">
                  <c:v>28.805102999999985</c:v>
                </c:pt>
                <c:pt idx="813">
                  <c:v>28.805102999999985</c:v>
                </c:pt>
                <c:pt idx="814">
                  <c:v>28.805102999999985</c:v>
                </c:pt>
                <c:pt idx="815">
                  <c:v>28.805102999999985</c:v>
                </c:pt>
                <c:pt idx="816">
                  <c:v>28.805102999999985</c:v>
                </c:pt>
                <c:pt idx="817">
                  <c:v>28.805102999999985</c:v>
                </c:pt>
                <c:pt idx="818">
                  <c:v>28.805102999999985</c:v>
                </c:pt>
                <c:pt idx="819">
                  <c:v>28.805102999999985</c:v>
                </c:pt>
                <c:pt idx="820">
                  <c:v>28.805102999999985</c:v>
                </c:pt>
                <c:pt idx="821">
                  <c:v>28.805102999999985</c:v>
                </c:pt>
                <c:pt idx="822">
                  <c:v>28.805102999999985</c:v>
                </c:pt>
                <c:pt idx="823">
                  <c:v>28.805102999999985</c:v>
                </c:pt>
                <c:pt idx="824">
                  <c:v>28.805102999999985</c:v>
                </c:pt>
                <c:pt idx="825">
                  <c:v>28.805102999999985</c:v>
                </c:pt>
                <c:pt idx="826">
                  <c:v>28.805102999999985</c:v>
                </c:pt>
                <c:pt idx="827">
                  <c:v>28.805102999999985</c:v>
                </c:pt>
                <c:pt idx="828">
                  <c:v>28.805102999999985</c:v>
                </c:pt>
                <c:pt idx="829">
                  <c:v>28.805102999999985</c:v>
                </c:pt>
                <c:pt idx="830">
                  <c:v>28.805102999999985</c:v>
                </c:pt>
                <c:pt idx="831">
                  <c:v>28.805102999999985</c:v>
                </c:pt>
                <c:pt idx="832">
                  <c:v>28.805102999999985</c:v>
                </c:pt>
                <c:pt idx="833">
                  <c:v>28.805102999999985</c:v>
                </c:pt>
                <c:pt idx="834">
                  <c:v>28.805102999999985</c:v>
                </c:pt>
                <c:pt idx="835">
                  <c:v>28.805102999999985</c:v>
                </c:pt>
                <c:pt idx="836">
                  <c:v>28.805102999999985</c:v>
                </c:pt>
                <c:pt idx="837">
                  <c:v>28.805102999999985</c:v>
                </c:pt>
                <c:pt idx="838">
                  <c:v>28.805102999999985</c:v>
                </c:pt>
                <c:pt idx="839">
                  <c:v>28.805102999999985</c:v>
                </c:pt>
                <c:pt idx="840">
                  <c:v>28.805102999999985</c:v>
                </c:pt>
                <c:pt idx="841">
                  <c:v>28.805102999999985</c:v>
                </c:pt>
                <c:pt idx="842">
                  <c:v>28.805102999999985</c:v>
                </c:pt>
                <c:pt idx="843">
                  <c:v>28.805102999999985</c:v>
                </c:pt>
                <c:pt idx="844">
                  <c:v>28.805102999999985</c:v>
                </c:pt>
                <c:pt idx="845">
                  <c:v>28.805102999999985</c:v>
                </c:pt>
                <c:pt idx="846">
                  <c:v>28.805102999999985</c:v>
                </c:pt>
                <c:pt idx="847">
                  <c:v>28.805102999999985</c:v>
                </c:pt>
                <c:pt idx="848">
                  <c:v>28.805102999999985</c:v>
                </c:pt>
                <c:pt idx="849">
                  <c:v>28.805102999999985</c:v>
                </c:pt>
                <c:pt idx="850">
                  <c:v>28.805102999999985</c:v>
                </c:pt>
                <c:pt idx="851">
                  <c:v>28.805102999999985</c:v>
                </c:pt>
                <c:pt idx="852">
                  <c:v>28.805102999999985</c:v>
                </c:pt>
                <c:pt idx="853">
                  <c:v>28.805102999999985</c:v>
                </c:pt>
                <c:pt idx="854">
                  <c:v>28.805102999999985</c:v>
                </c:pt>
                <c:pt idx="855">
                  <c:v>28.805102999999985</c:v>
                </c:pt>
                <c:pt idx="856">
                  <c:v>28.805102999999985</c:v>
                </c:pt>
                <c:pt idx="857">
                  <c:v>28.805102999999985</c:v>
                </c:pt>
                <c:pt idx="858">
                  <c:v>28.805102999999985</c:v>
                </c:pt>
                <c:pt idx="859">
                  <c:v>28.805102999999985</c:v>
                </c:pt>
                <c:pt idx="860">
                  <c:v>28.805102999999985</c:v>
                </c:pt>
                <c:pt idx="861">
                  <c:v>28.805102999999985</c:v>
                </c:pt>
                <c:pt idx="862">
                  <c:v>28.805102999999985</c:v>
                </c:pt>
                <c:pt idx="863">
                  <c:v>28.805102999999985</c:v>
                </c:pt>
                <c:pt idx="864">
                  <c:v>28.805102999999985</c:v>
                </c:pt>
                <c:pt idx="865">
                  <c:v>28.805102999999985</c:v>
                </c:pt>
                <c:pt idx="866">
                  <c:v>28.805102999999985</c:v>
                </c:pt>
                <c:pt idx="867">
                  <c:v>28.805102999999985</c:v>
                </c:pt>
                <c:pt idx="868">
                  <c:v>28.805102999999985</c:v>
                </c:pt>
                <c:pt idx="869">
                  <c:v>28.805102999999985</c:v>
                </c:pt>
                <c:pt idx="870">
                  <c:v>28.805102999999985</c:v>
                </c:pt>
                <c:pt idx="871">
                  <c:v>28.805102999999985</c:v>
                </c:pt>
                <c:pt idx="872">
                  <c:v>28.805102999999985</c:v>
                </c:pt>
                <c:pt idx="873">
                  <c:v>28.805102999999985</c:v>
                </c:pt>
                <c:pt idx="874">
                  <c:v>28.805102999999985</c:v>
                </c:pt>
                <c:pt idx="875">
                  <c:v>28.805102999999985</c:v>
                </c:pt>
                <c:pt idx="876">
                  <c:v>28.805102999999985</c:v>
                </c:pt>
                <c:pt idx="877">
                  <c:v>28.805102999999985</c:v>
                </c:pt>
                <c:pt idx="878">
                  <c:v>28.805102999999985</c:v>
                </c:pt>
                <c:pt idx="879">
                  <c:v>28.805102999999985</c:v>
                </c:pt>
                <c:pt idx="880">
                  <c:v>28.805102999999985</c:v>
                </c:pt>
                <c:pt idx="881">
                  <c:v>28.805102999999985</c:v>
                </c:pt>
                <c:pt idx="882">
                  <c:v>28.805102999999985</c:v>
                </c:pt>
                <c:pt idx="883">
                  <c:v>28.805102999999985</c:v>
                </c:pt>
                <c:pt idx="884">
                  <c:v>28.805102999999985</c:v>
                </c:pt>
                <c:pt idx="885">
                  <c:v>28.805102999999985</c:v>
                </c:pt>
                <c:pt idx="886">
                  <c:v>28.805102999999985</c:v>
                </c:pt>
                <c:pt idx="887">
                  <c:v>28.805102999999985</c:v>
                </c:pt>
                <c:pt idx="888">
                  <c:v>28.805102999999985</c:v>
                </c:pt>
                <c:pt idx="889">
                  <c:v>28.805102999999985</c:v>
                </c:pt>
                <c:pt idx="890">
                  <c:v>28.805102999999985</c:v>
                </c:pt>
                <c:pt idx="891">
                  <c:v>28.805102999999985</c:v>
                </c:pt>
                <c:pt idx="892">
                  <c:v>28.805102999999985</c:v>
                </c:pt>
                <c:pt idx="893">
                  <c:v>28.805102999999985</c:v>
                </c:pt>
                <c:pt idx="894">
                  <c:v>28.805102999999985</c:v>
                </c:pt>
                <c:pt idx="895">
                  <c:v>28.805102999999985</c:v>
                </c:pt>
                <c:pt idx="896">
                  <c:v>28.805102999999985</c:v>
                </c:pt>
                <c:pt idx="897">
                  <c:v>28.805102999999985</c:v>
                </c:pt>
                <c:pt idx="898">
                  <c:v>28.805102999999985</c:v>
                </c:pt>
                <c:pt idx="899">
                  <c:v>28.805102999999985</c:v>
                </c:pt>
                <c:pt idx="900">
                  <c:v>28.805102999999985</c:v>
                </c:pt>
                <c:pt idx="901">
                  <c:v>28.805102999999985</c:v>
                </c:pt>
                <c:pt idx="902">
                  <c:v>28.805102999999985</c:v>
                </c:pt>
                <c:pt idx="903">
                  <c:v>28.805102999999985</c:v>
                </c:pt>
                <c:pt idx="904">
                  <c:v>28.805102999999985</c:v>
                </c:pt>
                <c:pt idx="905">
                  <c:v>28.805102999999985</c:v>
                </c:pt>
                <c:pt idx="906">
                  <c:v>28.805102999999985</c:v>
                </c:pt>
                <c:pt idx="907">
                  <c:v>28.805102999999985</c:v>
                </c:pt>
                <c:pt idx="908">
                  <c:v>28.805102999999985</c:v>
                </c:pt>
                <c:pt idx="909">
                  <c:v>28.805102999999985</c:v>
                </c:pt>
                <c:pt idx="910">
                  <c:v>28.805102999999985</c:v>
                </c:pt>
                <c:pt idx="911">
                  <c:v>28.805102999999985</c:v>
                </c:pt>
                <c:pt idx="912">
                  <c:v>28.805102999999985</c:v>
                </c:pt>
                <c:pt idx="913">
                  <c:v>28.805102999999985</c:v>
                </c:pt>
                <c:pt idx="914">
                  <c:v>28.805102999999985</c:v>
                </c:pt>
                <c:pt idx="915">
                  <c:v>28.805102999999985</c:v>
                </c:pt>
                <c:pt idx="916">
                  <c:v>28.805102999999985</c:v>
                </c:pt>
                <c:pt idx="917">
                  <c:v>28.805102999999985</c:v>
                </c:pt>
                <c:pt idx="918">
                  <c:v>28.805102999999985</c:v>
                </c:pt>
                <c:pt idx="919">
                  <c:v>28.805102999999985</c:v>
                </c:pt>
                <c:pt idx="920">
                  <c:v>28.805102999999985</c:v>
                </c:pt>
                <c:pt idx="921">
                  <c:v>28.805102999999985</c:v>
                </c:pt>
                <c:pt idx="922">
                  <c:v>28.805102999999985</c:v>
                </c:pt>
                <c:pt idx="923">
                  <c:v>28.805102999999985</c:v>
                </c:pt>
                <c:pt idx="924">
                  <c:v>28.805102999999985</c:v>
                </c:pt>
                <c:pt idx="925">
                  <c:v>28.805102999999985</c:v>
                </c:pt>
                <c:pt idx="926">
                  <c:v>28.805102999999985</c:v>
                </c:pt>
                <c:pt idx="927">
                  <c:v>28.805102999999985</c:v>
                </c:pt>
                <c:pt idx="928">
                  <c:v>28.805102999999985</c:v>
                </c:pt>
                <c:pt idx="929">
                  <c:v>28.805102999999985</c:v>
                </c:pt>
                <c:pt idx="930">
                  <c:v>28.805102999999985</c:v>
                </c:pt>
                <c:pt idx="931">
                  <c:v>28.805102999999985</c:v>
                </c:pt>
                <c:pt idx="932">
                  <c:v>28.805102999999985</c:v>
                </c:pt>
                <c:pt idx="933">
                  <c:v>28.805102999999985</c:v>
                </c:pt>
                <c:pt idx="934">
                  <c:v>28.805102999999985</c:v>
                </c:pt>
                <c:pt idx="935">
                  <c:v>28.805102999999985</c:v>
                </c:pt>
                <c:pt idx="936">
                  <c:v>28.805102999999985</c:v>
                </c:pt>
                <c:pt idx="937">
                  <c:v>28.805102999999985</c:v>
                </c:pt>
                <c:pt idx="938">
                  <c:v>28.805102999999985</c:v>
                </c:pt>
                <c:pt idx="939">
                  <c:v>28.805102999999985</c:v>
                </c:pt>
                <c:pt idx="940">
                  <c:v>28.805102999999985</c:v>
                </c:pt>
                <c:pt idx="941">
                  <c:v>28.805102999999985</c:v>
                </c:pt>
                <c:pt idx="942">
                  <c:v>28.805102999999985</c:v>
                </c:pt>
                <c:pt idx="943">
                  <c:v>28.805102999999985</c:v>
                </c:pt>
                <c:pt idx="944">
                  <c:v>28.805102999999985</c:v>
                </c:pt>
                <c:pt idx="945">
                  <c:v>28.805102999999985</c:v>
                </c:pt>
                <c:pt idx="946">
                  <c:v>28.805102999999985</c:v>
                </c:pt>
                <c:pt idx="947">
                  <c:v>28.805102999999985</c:v>
                </c:pt>
                <c:pt idx="948">
                  <c:v>28.805102999999985</c:v>
                </c:pt>
                <c:pt idx="949">
                  <c:v>28.805102999999985</c:v>
                </c:pt>
                <c:pt idx="950">
                  <c:v>28.805102999999985</c:v>
                </c:pt>
                <c:pt idx="951">
                  <c:v>28.805102999999985</c:v>
                </c:pt>
                <c:pt idx="952">
                  <c:v>28.805102999999985</c:v>
                </c:pt>
                <c:pt idx="953">
                  <c:v>28.805102999999985</c:v>
                </c:pt>
                <c:pt idx="954">
                  <c:v>28.805102999999985</c:v>
                </c:pt>
                <c:pt idx="955">
                  <c:v>28.805102999999985</c:v>
                </c:pt>
                <c:pt idx="956">
                  <c:v>28.805102999999985</c:v>
                </c:pt>
                <c:pt idx="957">
                  <c:v>28.805102999999985</c:v>
                </c:pt>
                <c:pt idx="958">
                  <c:v>28.805102999999985</c:v>
                </c:pt>
                <c:pt idx="959">
                  <c:v>28.805102999999985</c:v>
                </c:pt>
                <c:pt idx="960">
                  <c:v>28.805102999999985</c:v>
                </c:pt>
                <c:pt idx="961">
                  <c:v>28.805102999999985</c:v>
                </c:pt>
                <c:pt idx="962">
                  <c:v>28.805102999999985</c:v>
                </c:pt>
                <c:pt idx="963">
                  <c:v>28.805102999999985</c:v>
                </c:pt>
                <c:pt idx="964">
                  <c:v>28.805102999999985</c:v>
                </c:pt>
                <c:pt idx="965">
                  <c:v>28.805102999999985</c:v>
                </c:pt>
                <c:pt idx="966">
                  <c:v>28.805102999999985</c:v>
                </c:pt>
                <c:pt idx="967">
                  <c:v>28.805102999999985</c:v>
                </c:pt>
                <c:pt idx="968">
                  <c:v>28.805102999999985</c:v>
                </c:pt>
                <c:pt idx="969">
                  <c:v>28.805102999999985</c:v>
                </c:pt>
                <c:pt idx="970">
                  <c:v>28.805102999999985</c:v>
                </c:pt>
                <c:pt idx="971">
                  <c:v>28.805102999999985</c:v>
                </c:pt>
                <c:pt idx="972">
                  <c:v>28.805102999999985</c:v>
                </c:pt>
                <c:pt idx="973">
                  <c:v>28.805102999999985</c:v>
                </c:pt>
                <c:pt idx="974">
                  <c:v>28.805102999999985</c:v>
                </c:pt>
                <c:pt idx="975">
                  <c:v>28.805102999999985</c:v>
                </c:pt>
                <c:pt idx="976">
                  <c:v>28.805102999999985</c:v>
                </c:pt>
                <c:pt idx="977">
                  <c:v>28.805102999999985</c:v>
                </c:pt>
                <c:pt idx="978">
                  <c:v>28.805102999999985</c:v>
                </c:pt>
                <c:pt idx="979">
                  <c:v>28.805102999999985</c:v>
                </c:pt>
                <c:pt idx="980">
                  <c:v>28.805102999999985</c:v>
                </c:pt>
                <c:pt idx="981">
                  <c:v>28.805102999999985</c:v>
                </c:pt>
                <c:pt idx="982">
                  <c:v>28.805102999999985</c:v>
                </c:pt>
                <c:pt idx="983">
                  <c:v>28.805102999999985</c:v>
                </c:pt>
                <c:pt idx="984">
                  <c:v>28.805102999999985</c:v>
                </c:pt>
                <c:pt idx="985">
                  <c:v>28.805102999999985</c:v>
                </c:pt>
                <c:pt idx="986">
                  <c:v>28.805102999999985</c:v>
                </c:pt>
                <c:pt idx="987">
                  <c:v>28.805102999999985</c:v>
                </c:pt>
                <c:pt idx="988">
                  <c:v>28.805102999999985</c:v>
                </c:pt>
                <c:pt idx="989">
                  <c:v>28.805102999999985</c:v>
                </c:pt>
                <c:pt idx="990">
                  <c:v>28.805102999999985</c:v>
                </c:pt>
                <c:pt idx="991">
                  <c:v>28.805102999999985</c:v>
                </c:pt>
                <c:pt idx="992">
                  <c:v>28.805102999999985</c:v>
                </c:pt>
                <c:pt idx="993">
                  <c:v>28.805102999999985</c:v>
                </c:pt>
                <c:pt idx="994">
                  <c:v>28.805102999999985</c:v>
                </c:pt>
                <c:pt idx="995">
                  <c:v>28.805102999999985</c:v>
                </c:pt>
                <c:pt idx="996">
                  <c:v>28.805102999999985</c:v>
                </c:pt>
                <c:pt idx="997">
                  <c:v>28.805102999999985</c:v>
                </c:pt>
                <c:pt idx="998">
                  <c:v>28.805102999999985</c:v>
                </c:pt>
                <c:pt idx="999">
                  <c:v>28.805102999999985</c:v>
                </c:pt>
                <c:pt idx="1000">
                  <c:v>28.805102999999985</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Calculs!$W$4:$W$1004</c:f>
              <c:numCache>
                <c:formatCode>0.00</c:formatCode>
                <c:ptCount val="1001"/>
                <c:pt idx="0">
                  <c:v>55.392737660738632</c:v>
                </c:pt>
                <c:pt idx="1">
                  <c:v>55.332929768306258</c:v>
                </c:pt>
                <c:pt idx="2">
                  <c:v>55.573736193817446</c:v>
                </c:pt>
                <c:pt idx="3">
                  <c:v>55.941303379509428</c:v>
                </c:pt>
                <c:pt idx="4">
                  <c:v>56.260812871164205</c:v>
                </c:pt>
                <c:pt idx="5">
                  <c:v>56.555181970342474</c:v>
                </c:pt>
                <c:pt idx="6">
                  <c:v>56.847573949219289</c:v>
                </c:pt>
                <c:pt idx="7">
                  <c:v>57.137970524806647</c:v>
                </c:pt>
                <c:pt idx="8">
                  <c:v>57.426353706493472</c:v>
                </c:pt>
                <c:pt idx="9">
                  <c:v>57.71270579540279</c:v>
                </c:pt>
                <c:pt idx="10">
                  <c:v>57.997009383715657</c:v>
                </c:pt>
                <c:pt idx="11">
                  <c:v>58.279247353962056</c:v>
                </c:pt>
                <c:pt idx="12">
                  <c:v>58.559402878279791</c:v>
                </c:pt>
                <c:pt idx="13">
                  <c:v>58.83745941764154</c:v>
                </c:pt>
                <c:pt idx="14">
                  <c:v>59.113400721050567</c:v>
                </c:pt>
                <c:pt idx="15">
                  <c:v>59.387210824706102</c:v>
                </c:pt>
                <c:pt idx="16">
                  <c:v>59.65887405113812</c:v>
                </c:pt>
                <c:pt idx="17">
                  <c:v>59.928375008313083</c:v>
                </c:pt>
                <c:pt idx="18">
                  <c:v>60.195698588710094</c:v>
                </c:pt>
                <c:pt idx="19">
                  <c:v>60.460829968368856</c:v>
                </c:pt>
                <c:pt idx="20">
                  <c:v>60.723754605909441</c:v>
                </c:pt>
                <c:pt idx="21">
                  <c:v>60.984458241524834</c:v>
                </c:pt>
                <c:pt idx="22">
                  <c:v>61.242926895946162</c:v>
                </c:pt>
                <c:pt idx="23">
                  <c:v>61.499146869381988</c:v>
                </c:pt>
                <c:pt idx="24">
                  <c:v>61.75310474043139</c:v>
                </c:pt>
                <c:pt idx="25">
                  <c:v>62.004787364971698</c:v>
                </c:pt>
                <c:pt idx="26">
                  <c:v>62.254181875021821</c:v>
                </c:pt>
                <c:pt idx="27">
                  <c:v>62.501275677580736</c:v>
                </c:pt>
                <c:pt idx="28">
                  <c:v>62.746056453442677</c:v>
                </c:pt>
                <c:pt idx="29">
                  <c:v>62.988512155988751</c:v>
                </c:pt>
                <c:pt idx="30">
                  <c:v>63.228631009956175</c:v>
                </c:pt>
                <c:pt idx="31">
                  <c:v>63.466401510184959</c:v>
                </c:pt>
                <c:pt idx="32">
                  <c:v>63.701812420343266</c:v>
                </c:pt>
                <c:pt idx="33">
                  <c:v>63.934852771631419</c:v>
                </c:pt>
                <c:pt idx="34">
                  <c:v>64.165511861465333</c:v>
                </c:pt>
                <c:pt idx="35">
                  <c:v>64.393779252139595</c:v>
                </c:pt>
                <c:pt idx="36">
                  <c:v>64.619644769471378</c:v>
                </c:pt>
                <c:pt idx="37">
                  <c:v>64.843098501425018</c:v>
                </c:pt>
                <c:pt idx="38">
                  <c:v>65.064130796717677</c:v>
                </c:pt>
                <c:pt idx="39">
                  <c:v>65.282732263407439</c:v>
                </c:pt>
                <c:pt idx="40">
                  <c:v>65.498893767463485</c:v>
                </c:pt>
                <c:pt idx="41">
                  <c:v>65.712606431319045</c:v>
                </c:pt>
                <c:pt idx="42">
                  <c:v>65.923861632408247</c:v>
                </c:pt>
                <c:pt idx="43">
                  <c:v>66.132651001686014</c:v>
                </c:pt>
                <c:pt idx="44">
                  <c:v>66.338966422133311</c:v>
                </c:pt>
                <c:pt idx="45">
                  <c:v>66.542800027246244</c:v>
                </c:pt>
                <c:pt idx="46">
                  <c:v>66.74414419951124</c:v>
                </c:pt>
                <c:pt idx="47">
                  <c:v>66.942991568865637</c:v>
                </c:pt>
                <c:pt idx="48">
                  <c:v>67.139335011144567</c:v>
                </c:pt>
                <c:pt idx="49">
                  <c:v>67.333167646514667</c:v>
                </c:pt>
                <c:pt idx="50">
                  <c:v>67.524482837895022</c:v>
                </c:pt>
                <c:pt idx="51">
                  <c:v>67.713274189365606</c:v>
                </c:pt>
                <c:pt idx="52">
                  <c:v>67.899535544563832</c:v>
                </c:pt>
                <c:pt idx="53">
                  <c:v>68.083260985070083</c:v>
                </c:pt>
                <c:pt idx="54">
                  <c:v>68.264444828781635</c:v>
                </c:pt>
                <c:pt idx="55">
                  <c:v>68.443081628276488</c:v>
                </c:pt>
                <c:pt idx="56">
                  <c:v>68.619166169166917</c:v>
                </c:pt>
                <c:pt idx="57">
                  <c:v>68.792693468443403</c:v>
                </c:pt>
                <c:pt idx="58">
                  <c:v>68.963658772809396</c:v>
                </c:pt>
                <c:pt idx="59">
                  <c:v>69.132057557007244</c:v>
                </c:pt>
                <c:pt idx="60">
                  <c:v>69.297885522135601</c:v>
                </c:pt>
                <c:pt idx="61">
                  <c:v>69.461138593959063</c:v>
                </c:pt>
                <c:pt idx="62">
                  <c:v>69.621812921210193</c:v>
                </c:pt>
                <c:pt idx="63">
                  <c:v>69.77766183468357</c:v>
                </c:pt>
                <c:pt idx="64">
                  <c:v>69.926433956363041</c:v>
                </c:pt>
                <c:pt idx="65">
                  <c:v>70.068122837970137</c:v>
                </c:pt>
                <c:pt idx="66">
                  <c:v>70.202723350444614</c:v>
                </c:pt>
                <c:pt idx="67">
                  <c:v>70.328167904495274</c:v>
                </c:pt>
                <c:pt idx="68">
                  <c:v>70.442388012527942</c:v>
                </c:pt>
                <c:pt idx="69">
                  <c:v>70.541707850901972</c:v>
                </c:pt>
                <c:pt idx="70">
                  <c:v>70.622454384237756</c:v>
                </c:pt>
                <c:pt idx="71">
                  <c:v>70.6846424629274</c:v>
                </c:pt>
                <c:pt idx="72">
                  <c:v>70.728295024142838</c:v>
                </c:pt>
                <c:pt idx="73">
                  <c:v>70.753443003721515</c:v>
                </c:pt>
                <c:pt idx="74">
                  <c:v>70.76012524710373</c:v>
                </c:pt>
                <c:pt idx="75">
                  <c:v>70.748388419411427</c:v>
                </c:pt>
                <c:pt idx="76">
                  <c:v>70.718286914755893</c:v>
                </c:pt>
                <c:pt idx="77">
                  <c:v>70.669882764861057</c:v>
                </c:pt>
                <c:pt idx="78">
                  <c:v>70.603245547087681</c:v>
                </c:pt>
                <c:pt idx="79">
                  <c:v>70.51845229194133</c:v>
                </c:pt>
                <c:pt idx="80">
                  <c:v>70.415587390146882</c:v>
                </c:pt>
                <c:pt idx="81">
                  <c:v>70.299103731582207</c:v>
                </c:pt>
                <c:pt idx="82">
                  <c:v>70.173432182228225</c:v>
                </c:pt>
                <c:pt idx="83">
                  <c:v>70.038624416091807</c:v>
                </c:pt>
                <c:pt idx="84">
                  <c:v>69.894733863241015</c:v>
                </c:pt>
                <c:pt idx="85">
                  <c:v>69.741815685845737</c:v>
                </c:pt>
                <c:pt idx="86">
                  <c:v>69.579926754358382</c:v>
                </c:pt>
                <c:pt idx="87">
                  <c:v>69.409125623843209</c:v>
                </c:pt>
                <c:pt idx="88">
                  <c:v>69.229472510462159</c:v>
                </c:pt>
                <c:pt idx="89">
                  <c:v>69.042394053310048</c:v>
                </c:pt>
                <c:pt idx="90">
                  <c:v>68.84930660004504</c:v>
                </c:pt>
                <c:pt idx="91">
                  <c:v>68.650254678591537</c:v>
                </c:pt>
                <c:pt idx="92">
                  <c:v>68.44528351476788</c:v>
                </c:pt>
                <c:pt idx="93">
                  <c:v>68.234778165312093</c:v>
                </c:pt>
                <c:pt idx="94">
                  <c:v>68.019121159501111</c:v>
                </c:pt>
                <c:pt idx="95">
                  <c:v>67.798354330108822</c:v>
                </c:pt>
                <c:pt idx="96">
                  <c:v>67.572520008205117</c:v>
                </c:pt>
                <c:pt idx="97">
                  <c:v>67.343008396349646</c:v>
                </c:pt>
                <c:pt idx="98">
                  <c:v>67.111196584650116</c:v>
                </c:pt>
                <c:pt idx="99">
                  <c:v>66.877105691902543</c:v>
                </c:pt>
                <c:pt idx="100">
                  <c:v>66.640756903742542</c:v>
                </c:pt>
                <c:pt idx="101">
                  <c:v>66.402171471324024</c:v>
                </c:pt>
                <c:pt idx="102">
                  <c:v>66.161370710023576</c:v>
                </c:pt>
                <c:pt idx="103">
                  <c:v>65.918375998168756</c:v>
                </c:pt>
                <c:pt idx="104">
                  <c:v>65.673208775791792</c:v>
                </c:pt>
                <c:pt idx="105">
                  <c:v>65.425890543407277</c:v>
                </c:pt>
                <c:pt idx="106">
                  <c:v>65.176442860814603</c:v>
                </c:pt>
                <c:pt idx="107">
                  <c:v>64.924887345924901</c:v>
                </c:pt>
                <c:pt idx="108">
                  <c:v>64.67124567361185</c:v>
                </c:pt>
                <c:pt idx="109">
                  <c:v>64.417185391438636</c:v>
                </c:pt>
                <c:pt idx="110">
                  <c:v>64.164355853653532</c:v>
                </c:pt>
                <c:pt idx="111">
                  <c:v>63.912749190326551</c:v>
                </c:pt>
                <c:pt idx="112">
                  <c:v>63.662357594923613</c:v>
                </c:pt>
                <c:pt idx="113">
                  <c:v>63.413173323693016</c:v>
                </c:pt>
                <c:pt idx="114">
                  <c:v>63.165188695059143</c:v>
                </c:pt>
                <c:pt idx="115">
                  <c:v>62.918396089022806</c:v>
                </c:pt>
                <c:pt idx="116">
                  <c:v>62.672787946568697</c:v>
                </c:pt>
                <c:pt idx="117">
                  <c:v>62.428356769078874</c:v>
                </c:pt>
                <c:pt idx="118">
                  <c:v>62.185095117753484</c:v>
                </c:pt>
                <c:pt idx="119">
                  <c:v>61.942995613037482</c:v>
                </c:pt>
                <c:pt idx="120">
                  <c:v>61.702050934054363</c:v>
                </c:pt>
                <c:pt idx="121">
                  <c:v>61.462253818045333</c:v>
                </c:pt>
                <c:pt idx="122">
                  <c:v>61.223597059815589</c:v>
                </c:pt>
                <c:pt idx="123">
                  <c:v>60.986073511186284</c:v>
                </c:pt>
                <c:pt idx="124">
                  <c:v>60.749676080452659</c:v>
                </c:pt>
                <c:pt idx="125">
                  <c:v>60.514397731848447</c:v>
                </c:pt>
                <c:pt idx="126">
                  <c:v>60.280231485015634</c:v>
                </c:pt>
                <c:pt idx="127">
                  <c:v>60.047170414480952</c:v>
                </c:pt>
                <c:pt idx="128">
                  <c:v>59.815207649137115</c:v>
                </c:pt>
                <c:pt idx="129">
                  <c:v>59.584336371730764</c:v>
                </c:pt>
                <c:pt idx="130">
                  <c:v>59.354549818355309</c:v>
                </c:pt>
                <c:pt idx="131">
                  <c:v>59.125841277949768</c:v>
                </c:pt>
                <c:pt idx="132">
                  <c:v>58.898204091803024</c:v>
                </c:pt>
                <c:pt idx="133">
                  <c:v>58.67163165306328</c:v>
                </c:pt>
                <c:pt idx="134">
                  <c:v>58.446117406253244</c:v>
                </c:pt>
                <c:pt idx="135">
                  <c:v>58.221654846790329</c:v>
                </c:pt>
                <c:pt idx="136">
                  <c:v>57.99823752051222</c:v>
                </c:pt>
                <c:pt idx="137">
                  <c:v>57.775859023207609</c:v>
                </c:pt>
                <c:pt idx="138">
                  <c:v>57.554513000151893</c:v>
                </c:pt>
                <c:pt idx="139">
                  <c:v>57.33419314564803</c:v>
                </c:pt>
                <c:pt idx="140">
                  <c:v>57.114893202572517</c:v>
                </c:pt>
                <c:pt idx="141">
                  <c:v>56.896606961925912</c:v>
                </c:pt>
                <c:pt idx="142">
                  <c:v>56.679328262388523</c:v>
                </c:pt>
                <c:pt idx="143">
                  <c:v>56.463050989880649</c:v>
                </c:pt>
                <c:pt idx="144">
                  <c:v>56.247769077127955</c:v>
                </c:pt>
                <c:pt idx="145">
                  <c:v>56.033476503230915</c:v>
                </c:pt>
                <c:pt idx="146">
                  <c:v>55.820167293239557</c:v>
                </c:pt>
                <c:pt idx="147">
                  <c:v>55.607835517732106</c:v>
                </c:pt>
                <c:pt idx="148">
                  <c:v>55.396475292398684</c:v>
                </c:pt>
                <c:pt idx="149">
                  <c:v>55.186080777629051</c:v>
                </c:pt>
                <c:pt idx="150">
                  <c:v>54.976646178105213</c:v>
                </c:pt>
                <c:pt idx="151">
                  <c:v>54.768165742397642</c:v>
                </c:pt>
                <c:pt idx="152">
                  <c:v>54.560633762566617</c:v>
                </c:pt>
                <c:pt idx="153">
                  <c:v>54.354044573767247</c:v>
                </c:pt>
                <c:pt idx="154">
                  <c:v>54.148392553858727</c:v>
                </c:pt>
                <c:pt idx="155">
                  <c:v>53.943672123018217</c:v>
                </c:pt>
                <c:pt idx="156">
                  <c:v>53.739877743357958</c:v>
                </c:pt>
                <c:pt idx="157">
                  <c:v>53.537003918547207</c:v>
                </c:pt>
                <c:pt idx="158">
                  <c:v>53.335045193437878</c:v>
                </c:pt>
                <c:pt idx="159">
                  <c:v>53.133996153693879</c:v>
                </c:pt>
                <c:pt idx="160">
                  <c:v>52.933851425424734</c:v>
                </c:pt>
                <c:pt idx="161">
                  <c:v>52.734605674822802</c:v>
                </c:pt>
                <c:pt idx="162">
                  <c:v>52.53625360780449</c:v>
                </c:pt>
                <c:pt idx="163">
                  <c:v>52.338789969654854</c:v>
                </c:pt>
                <c:pt idx="164">
                  <c:v>52.14220954467644</c:v>
                </c:pt>
                <c:pt idx="165">
                  <c:v>51.946507155841296</c:v>
                </c:pt>
                <c:pt idx="166">
                  <c:v>51.751677664446945</c:v>
                </c:pt>
                <c:pt idx="167">
                  <c:v>51.557715969775586</c:v>
                </c:pt>
                <c:pt idx="168">
                  <c:v>51.364617008757456</c:v>
                </c:pt>
                <c:pt idx="169">
                  <c:v>51.172375755636885</c:v>
                </c:pt>
                <c:pt idx="170">
                  <c:v>50.980987221642259</c:v>
                </c:pt>
                <c:pt idx="171">
                  <c:v>50.790446454659602</c:v>
                </c:pt>
                <c:pt idx="172">
                  <c:v>50.60074853890896</c:v>
                </c:pt>
                <c:pt idx="173">
                  <c:v>50.411888594624472</c:v>
                </c:pt>
                <c:pt idx="174">
                  <c:v>50.223861777737831</c:v>
                </c:pt>
                <c:pt idx="175">
                  <c:v>50.036663279564642</c:v>
                </c:pt>
                <c:pt idx="176">
                  <c:v>49.850288326494315</c:v>
                </c:pt>
                <c:pt idx="177">
                  <c:v>49.664732179683021</c:v>
                </c:pt>
                <c:pt idx="178">
                  <c:v>49.479990134749698</c:v>
                </c:pt>
                <c:pt idx="179">
                  <c:v>49.296057521475284</c:v>
                </c:pt>
                <c:pt idx="180">
                  <c:v>49.112929703504982</c:v>
                </c:pt>
                <c:pt idx="181">
                  <c:v>48.930602078053603</c:v>
                </c:pt>
                <c:pt idx="182">
                  <c:v>48.749070075613744</c:v>
                </c:pt>
                <c:pt idx="183">
                  <c:v>48.568329159667108</c:v>
                </c:pt>
                <c:pt idx="184">
                  <c:v>48.388374826398682</c:v>
                </c:pt>
                <c:pt idx="185">
                  <c:v>48.209202604413782</c:v>
                </c:pt>
                <c:pt idx="186">
                  <c:v>48.03080805445795</c:v>
                </c:pt>
                <c:pt idx="187">
                  <c:v>47.853186769139839</c:v>
                </c:pt>
                <c:pt idx="188">
                  <c:v>47.676334372656527</c:v>
                </c:pt>
                <c:pt idx="189">
                  <c:v>47.500246520522126</c:v>
                </c:pt>
                <c:pt idx="190">
                  <c:v>47.324918899298545</c:v>
                </c:pt>
                <c:pt idx="191">
                  <c:v>47.15034722632943</c:v>
                </c:pt>
                <c:pt idx="192">
                  <c:v>46.976527249476433</c:v>
                </c:pt>
                <c:pt idx="193">
                  <c:v>46.803454746858307</c:v>
                </c:pt>
                <c:pt idx="194">
                  <c:v>46.631125526592619</c:v>
                </c:pt>
                <c:pt idx="195">
                  <c:v>46.45953542653988</c:v>
                </c:pt>
                <c:pt idx="196">
                  <c:v>46.288680314050389</c:v>
                </c:pt>
                <c:pt idx="197">
                  <c:v>46.118556085713408</c:v>
                </c:pt>
                <c:pt idx="198">
                  <c:v>45.949158667109145</c:v>
                </c:pt>
                <c:pt idx="199">
                  <c:v>45.780484012562809</c:v>
                </c:pt>
                <c:pt idx="200">
                  <c:v>45.612528104901493</c:v>
                </c:pt>
                <c:pt idx="201">
                  <c:v>43.955569212490794</c:v>
                </c:pt>
                <c:pt idx="202">
                  <c:v>42.36787659411339</c:v>
                </c:pt>
                <c:pt idx="203">
                  <c:v>40.845720961556822</c:v>
                </c:pt>
                <c:pt idx="204">
                  <c:v>39.385624778314465</c:v>
                </c:pt>
                <c:pt idx="205">
                  <c:v>37.984342087698543</c:v>
                </c:pt>
                <c:pt idx="206">
                  <c:v>36.638840209710708</c:v>
                </c:pt>
                <c:pt idx="207">
                  <c:v>35.346283110880535</c:v>
                </c:pt>
                <c:pt idx="208">
                  <c:v>34.104016274113832</c:v>
                </c:pt>
                <c:pt idx="209">
                  <c:v>32.909552915499148</c:v>
                </c:pt>
                <c:pt idx="210">
                  <c:v>31.760561412407881</c:v>
                </c:pt>
                <c:pt idx="211">
                  <c:v>30.654853822440156</c:v>
                </c:pt>
                <c:pt idx="212">
                  <c:v>29.590375386108196</c:v>
                </c:pt>
                <c:pt idx="213">
                  <c:v>28.565194917863753</c:v>
                </c:pt>
                <c:pt idx="214">
                  <c:v>27.577496000382705</c:v>
                </c:pt>
                <c:pt idx="215">
                  <c:v>26.625568906100337</c:v>
                </c:pt>
                <c:pt idx="216">
                  <c:v>25.707803178006422</c:v>
                </c:pt>
                <c:pt idx="217">
                  <c:v>24.822680808794352</c:v>
                </c:pt>
                <c:pt idx="218">
                  <c:v>23.968769963730281</c:v>
                </c:pt>
                <c:pt idx="219">
                  <c:v>23.144719198171384</c:v>
                </c:pt>
                <c:pt idx="220">
                  <c:v>22.349252125599751</c:v>
                </c:pt>
                <c:pt idx="221">
                  <c:v>21.581162496430359</c:v>
                </c:pt>
                <c:pt idx="222">
                  <c:v>20.839309651761983</c:v>
                </c:pt>
                <c:pt idx="223">
                  <c:v>20.122614319726509</c:v>
                </c:pt>
                <c:pt idx="224">
                  <c:v>19.430054725205462</c:v>
                </c:pt>
                <c:pt idx="225">
                  <c:v>18.760662986465491</c:v>
                </c:pt>
                <c:pt idx="226">
                  <c:v>18.113521774756091</c:v>
                </c:pt>
                <c:pt idx="227">
                  <c:v>17.48776121514555</c:v>
                </c:pt>
                <c:pt idx="228">
                  <c:v>16.882556008874683</c:v>
                </c:pt>
                <c:pt idx="229">
                  <c:v>16.297122759307978</c:v>
                </c:pt>
                <c:pt idx="230">
                  <c:v>15.730717485180634</c:v>
                </c:pt>
                <c:pt idx="231">
                  <c:v>15.182633306297733</c:v>
                </c:pt>
                <c:pt idx="232">
                  <c:v>14.652198288156166</c:v>
                </c:pt>
                <c:pt idx="233">
                  <c:v>14.138773433145261</c:v>
                </c:pt>
                <c:pt idx="234">
                  <c:v>13.641750807053917</c:v>
                </c:pt>
                <c:pt idx="235">
                  <c:v>13.160551790580367</c:v>
                </c:pt>
                <c:pt idx="236">
                  <c:v>12.694625446417806</c:v>
                </c:pt>
                <c:pt idx="237">
                  <c:v>12.243446993283779</c:v>
                </c:pt>
                <c:pt idx="238">
                  <c:v>11.806516378981705</c:v>
                </c:pt>
                <c:pt idx="239">
                  <c:v>11.38335694523747</c:v>
                </c:pt>
                <c:pt idx="240">
                  <c:v>10.973514177648283</c:v>
                </c:pt>
                <c:pt idx="241">
                  <c:v>10.576554534621941</c:v>
                </c:pt>
                <c:pt idx="242">
                  <c:v>10.19206434967672</c:v>
                </c:pt>
                <c:pt idx="243">
                  <c:v>9.8196488019206072</c:v>
                </c:pt>
                <c:pt idx="244">
                  <c:v>9.4589309499375602</c:v>
                </c:pt>
                <c:pt idx="245">
                  <c:v>9.1095508246814294</c:v>
                </c:pt>
                <c:pt idx="246">
                  <c:v>8.7711645773192348</c:v>
                </c:pt>
                <c:pt idx="247">
                  <c:v>8.4434436782766191</c:v>
                </c:pt>
                <c:pt idx="248">
                  <c:v>8.1260741640234428</c:v>
                </c:pt>
                <c:pt idx="249">
                  <c:v>7.8187559283978123</c:v>
                </c:pt>
                <c:pt idx="250">
                  <c:v>7.5212020555058743</c:v>
                </c:pt>
                <c:pt idx="251">
                  <c:v>7.2331381914531692</c:v>
                </c:pt>
                <c:pt idx="252">
                  <c:v>6.9543019523639753</c:v>
                </c:pt>
                <c:pt idx="253">
                  <c:v>6.6844423663288532</c:v>
                </c:pt>
                <c:pt idx="254">
                  <c:v>6.4233193470894472</c:v>
                </c:pt>
                <c:pt idx="255">
                  <c:v>6.1707031974242321</c:v>
                </c:pt>
                <c:pt idx="256">
                  <c:v>5.9263741403411503</c:v>
                </c:pt>
                <c:pt idx="257">
                  <c:v>5.6901218763134347</c:v>
                </c:pt>
                <c:pt idx="258">
                  <c:v>5.4617451649146673</c:v>
                </c:pt>
                <c:pt idx="259">
                  <c:v>5.2410514293188051</c:v>
                </c:pt>
                <c:pt idx="260">
                  <c:v>5.0278563822318327</c:v>
                </c:pt>
                <c:pt idx="261">
                  <c:v>4.8219836719136744</c:v>
                </c:pt>
                <c:pt idx="262">
                  <c:v>4.6232645470336422</c:v>
                </c:pt>
                <c:pt idx="263">
                  <c:v>4.4315375391797218</c:v>
                </c:pt>
                <c:pt idx="264">
                  <c:v>4.2466481619122387</c:v>
                </c:pt>
                <c:pt idx="265">
                  <c:v>4.0684486253165701</c:v>
                </c:pt>
                <c:pt idx="266">
                  <c:v>3.8967975650672964</c:v>
                </c:pt>
                <c:pt idx="267">
                  <c:v>3.7315597850686171</c:v>
                </c:pt>
                <c:pt idx="268">
                  <c:v>3.5726060127826371</c:v>
                </c:pt>
                <c:pt idx="269">
                  <c:v>3.4198126663989981</c:v>
                </c:pt>
                <c:pt idx="270">
                  <c:v>3.2730616330361726</c:v>
                </c:pt>
                <c:pt idx="271">
                  <c:v>3.1322400571971296</c:v>
                </c:pt>
                <c:pt idx="272">
                  <c:v>2.9972401387297225</c:v>
                </c:pt>
                <c:pt idx="273">
                  <c:v>2.8679589395658383</c:v>
                </c:pt>
                <c:pt idx="274">
                  <c:v>2.7442981985328174</c:v>
                </c:pt>
                <c:pt idx="275">
                  <c:v>2.6261641535463496</c:v>
                </c:pt>
                <c:pt idx="276">
                  <c:v>2.5134673705062407</c:v>
                </c:pt>
                <c:pt idx="277">
                  <c:v>2.4061225782254358</c:v>
                </c:pt>
                <c:pt idx="278">
                  <c:v>2.3040485087288554</c:v>
                </c:pt>
                <c:pt idx="279">
                  <c:v>2.2071677422626199</c:v>
                </c:pt>
                <c:pt idx="280">
                  <c:v>2.115406556356632</c:v>
                </c:pt>
                <c:pt idx="281">
                  <c:v>2.0286947782851925</c:v>
                </c:pt>
                <c:pt idx="282">
                  <c:v>1.9469656402724509</c:v>
                </c:pt>
                <c:pt idx="283">
                  <c:v>1.8701556367931416</c:v>
                </c:pt>
                <c:pt idx="284">
                  <c:v>1.7982043833261099</c:v>
                </c:pt>
                <c:pt idx="285">
                  <c:v>1.7310544759299433</c:v>
                </c:pt>
                <c:pt idx="286">
                  <c:v>1.6686513510291099</c:v>
                </c:pt>
                <c:pt idx="287">
                  <c:v>1.6109431448272145</c:v>
                </c:pt>
                <c:pt idx="288">
                  <c:v>1.5578805518038288</c:v>
                </c:pt>
                <c:pt idx="289">
                  <c:v>1.5094166818050545</c:v>
                </c:pt>
                <c:pt idx="290">
                  <c:v>1.4655069153075544</c:v>
                </c:pt>
                <c:pt idx="291">
                  <c:v>1.4261087565227815</c:v>
                </c:pt>
                <c:pt idx="292">
                  <c:v>1.3911816841132545</c:v>
                </c:pt>
                <c:pt idx="293">
                  <c:v>1.3606869994157336</c:v>
                </c:pt>
                <c:pt idx="294">
                  <c:v>1.3345876722052161</c:v>
                </c:pt>
                <c:pt idx="295">
                  <c:v>1.312848184185696</c:v>
                </c:pt>
                <c:pt idx="296">
                  <c:v>1.2954343705535138</c:v>
                </c:pt>
                <c:pt idx="297">
                  <c:v>1.2823132601406175</c:v>
                </c:pt>
                <c:pt idx="298">
                  <c:v>1.2734529148003126</c:v>
                </c:pt>
                <c:pt idx="299">
                  <c:v>1.2688222688388289</c:v>
                </c:pt>
                <c:pt idx="300">
                  <c:v>1.2683909694139017</c:v>
                </c:pt>
                <c:pt idx="301">
                  <c:v>1.2721292189091113</c:v>
                </c:pt>
                <c:pt idx="302">
                  <c:v>1.280007620344082</c:v>
                </c:pt>
                <c:pt idx="303">
                  <c:v>1.2919970268924921</c:v>
                </c:pt>
                <c:pt idx="304">
                  <c:v>1.3080683965513247</c:v>
                </c:pt>
                <c:pt idx="305">
                  <c:v>1.3281926529383477</c:v>
                </c:pt>
                <c:pt idx="306">
                  <c:v>1.3523405530950039</c:v>
                </c:pt>
                <c:pt idx="307">
                  <c:v>1.3804825630458115</c:v>
                </c:pt>
                <c:pt idx="308">
                  <c:v>1.4125887417210783</c:v>
                </c:pt>
                <c:pt idx="309">
                  <c:v>1.4486286336958325</c:v>
                </c:pt>
                <c:pt idx="310">
                  <c:v>1.4885711710427036</c:v>
                </c:pt>
                <c:pt idx="311">
                  <c:v>1.5323845844472364</c:v>
                </c:pt>
                <c:pt idx="312">
                  <c:v>1.5800363235966313</c:v>
                </c:pt>
                <c:pt idx="313">
                  <c:v>1.6314929867313672</c:v>
                </c:pt>
                <c:pt idx="314">
                  <c:v>1.6867202591459478</c:v>
                </c:pt>
                <c:pt idx="315">
                  <c:v>1.7456828603412751</c:v>
                </c:pt>
                <c:pt idx="316">
                  <c:v>1.808344499466408</c:v>
                </c:pt>
                <c:pt idx="317">
                  <c:v>1.874667838640679</c:v>
                </c:pt>
                <c:pt idx="318">
                  <c:v>1.9446144637162683</c:v>
                </c:pt>
                <c:pt idx="319">
                  <c:v>2.0181448620243576</c:v>
                </c:pt>
                <c:pt idx="320">
                  <c:v>2.09521840664235</c:v>
                </c:pt>
                <c:pt idx="321">
                  <c:v>2.175793346723264</c:v>
                </c:pt>
                <c:pt idx="322">
                  <c:v>2.2598268034389783</c:v>
                </c:pt>
                <c:pt idx="323">
                  <c:v>2.3472747711047925</c:v>
                </c:pt>
                <c:pt idx="324">
                  <c:v>2.4380921230720518</c:v>
                </c:pt>
                <c:pt idx="325">
                  <c:v>2.5322326219971267</c:v>
                </c:pt>
                <c:pt idx="326">
                  <c:v>2.6296489341176561</c:v>
                </c:pt>
                <c:pt idx="327">
                  <c:v>2.7302926471900193</c:v>
                </c:pt>
                <c:pt idx="328">
                  <c:v>2.8341142917646391</c:v>
                </c:pt>
                <c:pt idx="329">
                  <c:v>2.9410633654977132</c:v>
                </c:pt>
                <c:pt idx="330">
                  <c:v>3.0510883602188912</c:v>
                </c:pt>
                <c:pt idx="331">
                  <c:v>3.1641367914941023</c:v>
                </c:pt>
                <c:pt idx="332">
                  <c:v>3.2801552304411348</c:v>
                </c:pt>
                <c:pt idx="333">
                  <c:v>3.3990893375725739</c:v>
                </c:pt>
                <c:pt idx="334">
                  <c:v>3.5208838984563906</c:v>
                </c:pt>
                <c:pt idx="335">
                  <c:v>3.6454828609988348</c:v>
                </c:pt>
                <c:pt idx="336">
                  <c:v>3.7728293741674919</c:v>
                </c:pt>
                <c:pt idx="337">
                  <c:v>3.902865827984316</c:v>
                </c:pt>
                <c:pt idx="338">
                  <c:v>4.0355338946294443</c:v>
                </c:pt>
                <c:pt idx="339">
                  <c:v>4.1707745705066532</c:v>
                </c:pt>
                <c:pt idx="340">
                  <c:v>4.3085282191303307</c:v>
                </c:pt>
                <c:pt idx="341">
                  <c:v>4.4487346147024009</c:v>
                </c:pt>
                <c:pt idx="342">
                  <c:v>4.5913329862550993</c:v>
                </c:pt>
                <c:pt idx="343">
                  <c:v>4.736262062242754</c:v>
                </c:pt>
                <c:pt idx="344">
                  <c:v>4.8834601154720954</c:v>
                </c:pt>
                <c:pt idx="345">
                  <c:v>5.0328650082667608</c:v>
                </c:pt>
                <c:pt idx="346">
                  <c:v>5.1844142377671805</c:v>
                </c:pt>
                <c:pt idx="347">
                  <c:v>5.3380449812724482</c:v>
                </c:pt>
                <c:pt idx="348">
                  <c:v>5.4936941415354585</c:v>
                </c:pt>
                <c:pt idx="349">
                  <c:v>5.6512983919275079</c:v>
                </c:pt>
                <c:pt idx="350">
                  <c:v>5.8107942213927375</c:v>
                </c:pt>
                <c:pt idx="351">
                  <c:v>5.9721179791171366</c:v>
                </c:pt>
                <c:pt idx="352">
                  <c:v>6.1352059188407173</c:v>
                </c:pt>
                <c:pt idx="353">
                  <c:v>6.2999942427453579</c:v>
                </c:pt>
                <c:pt idx="354">
                  <c:v>6.4664191448544779</c:v>
                </c:pt>
                <c:pt idx="355">
                  <c:v>6.6344168538842654</c:v>
                </c:pt>
                <c:pt idx="356">
                  <c:v>6.8039236754896413</c:v>
                </c:pt>
                <c:pt idx="357">
                  <c:v>6.9748760338514275</c:v>
                </c:pt>
                <c:pt idx="358">
                  <c:v>7.1472105125545227</c:v>
                </c:pt>
                <c:pt idx="359">
                  <c:v>7.3208638947099329</c:v>
                </c:pt>
                <c:pt idx="360">
                  <c:v>7.4957732022767241</c:v>
                </c:pt>
                <c:pt idx="361">
                  <c:v>7.6718757345428603</c:v>
                </c:pt>
                <c:pt idx="362">
                  <c:v>7.8491091057268791</c:v>
                </c:pt>
                <c:pt idx="363">
                  <c:v>8.0274112816652767</c:v>
                </c:pt>
                <c:pt idx="364">
                  <c:v>8.2067206155531753</c:v>
                </c:pt>
                <c:pt idx="365">
                  <c:v>8.3869758827087502</c:v>
                </c:pt>
                <c:pt idx="366">
                  <c:v>8.5681163143343824</c:v>
                </c:pt>
                <c:pt idx="367">
                  <c:v>8.7500816302503992</c:v>
                </c:pt>
                <c:pt idx="368">
                  <c:v>8.9328120705795424</c:v>
                </c:pt>
                <c:pt idx="369">
                  <c:v>9.1162484263630414</c:v>
                </c:pt>
                <c:pt idx="370">
                  <c:v>9.3003320690915032</c:v>
                </c:pt>
                <c:pt idx="371">
                  <c:v>9.4850049791362014</c:v>
                </c:pt>
                <c:pt idx="372">
                  <c:v>9.6702097730687768</c:v>
                </c:pt>
                <c:pt idx="373">
                  <c:v>9.8558897298594719</c:v>
                </c:pt>
                <c:pt idx="374">
                  <c:v>10.041988815946334</c:v>
                </c:pt>
                <c:pt idx="375">
                  <c:v>10.228451709169862</c:v>
                </c:pt>
                <c:pt idx="376">
                  <c:v>10.415223821569692</c:v>
                </c:pt>
                <c:pt idx="377">
                  <c:v>10.602251321041841</c:v>
                </c:pt>
                <c:pt idx="378">
                  <c:v>10.789481151857025</c:v>
                </c:pt>
                <c:pt idx="379">
                  <c:v>10.976861054042319</c:v>
                </c:pt>
                <c:pt idx="380">
                  <c:v>11.164339581630301</c:v>
                </c:pt>
                <c:pt idx="381">
                  <c:v>11.351866119781427</c:v>
                </c:pt>
                <c:pt idx="382">
                  <c:v>11.53939090078714</c:v>
                </c:pt>
                <c:pt idx="383">
                  <c:v>11.72686501896259</c:v>
                </c:pt>
                <c:pt idx="384">
                  <c:v>11.914240444439582</c:v>
                </c:pt>
                <c:pt idx="385">
                  <c:v>12.101470035871504</c:v>
                </c:pt>
                <c:pt idx="386">
                  <c:v>12.288507552063534</c:v>
                </c:pt>
                <c:pt idx="387">
                  <c:v>12.475307662542606</c:v>
                </c:pt>
                <c:pt idx="388">
                  <c:v>12.66182595708276</c:v>
                </c:pt>
                <c:pt idx="389">
                  <c:v>12.848018954202793</c:v>
                </c:pt>
                <c:pt idx="390">
                  <c:v>13.033844108653847</c:v>
                </c:pt>
                <c:pt idx="391">
                  <c:v>13.219259817916075</c:v>
                </c:pt>
                <c:pt idx="392">
                  <c:v>13.404225427723695</c:v>
                </c:pt>
                <c:pt idx="393">
                  <c:v>13.588701236639405</c:v>
                </c:pt>
                <c:pt idx="394">
                  <c:v>13.772648499699178</c:v>
                </c:pt>
                <c:pt idx="395">
                  <c:v>13.956029431149609</c:v>
                </c:pt>
                <c:pt idx="396">
                  <c:v>14.138807206300434</c:v>
                </c:pt>
                <c:pt idx="397">
                  <c:v>14.320945962515411</c:v>
                </c:pt>
                <c:pt idx="398">
                  <c:v>14.502410799365363</c:v>
                </c:pt>
                <c:pt idx="399">
                  <c:v>14.683167777967457</c:v>
                </c:pt>
                <c:pt idx="400">
                  <c:v>14.863183919535309</c:v>
                </c:pt>
                <c:pt idx="401">
                  <c:v>15.042427203164856</c:v>
                </c:pt>
                <c:pt idx="402">
                  <c:v>15.220866562880955</c:v>
                </c:pt>
                <c:pt idx="403">
                  <c:v>15.398471883970261</c:v>
                </c:pt>
                <c:pt idx="404">
                  <c:v>15.575213998625728</c:v>
                </c:pt>
                <c:pt idx="405">
                  <c:v>15.75106468092841</c:v>
                </c:pt>
                <c:pt idx="406">
                  <c:v>15.925996641192276</c:v>
                </c:pt>
                <c:pt idx="407">
                  <c:v>16.099983519697638</c:v>
                </c:pt>
                <c:pt idx="408">
                  <c:v>16.272999879838842</c:v>
                </c:pt>
                <c:pt idx="409">
                  <c:v>16.445021200711867</c:v>
                </c:pt>
                <c:pt idx="410">
                  <c:v>16.616023869167176</c:v>
                </c:pt>
                <c:pt idx="411">
                  <c:v>16.785985171353218</c:v>
                </c:pt>
                <c:pt idx="412">
                  <c:v>16.954883283775501</c:v>
                </c:pt>
                <c:pt idx="413">
                  <c:v>17.122697263896374</c:v>
                </c:pt>
                <c:pt idx="414">
                  <c:v>17.289407040299768</c:v>
                </c:pt>
                <c:pt idx="415">
                  <c:v>17.45499340244551</c:v>
                </c:pt>
                <c:pt idx="416">
                  <c:v>17.619437990036975</c:v>
                </c:pt>
                <c:pt idx="417">
                  <c:v>17.782723282025866</c:v>
                </c:pt>
                <c:pt idx="418">
                  <c:v>17.944832585277215</c:v>
                </c:pt>
                <c:pt idx="419">
                  <c:v>18.105750022917601</c:v>
                </c:pt>
                <c:pt idx="420">
                  <c:v>18.265460522388867</c:v>
                </c:pt>
                <c:pt idx="421">
                  <c:v>18.423949803229512</c:v>
                </c:pt>
                <c:pt idx="422">
                  <c:v>18.581204364605092</c:v>
                </c:pt>
                <c:pt idx="423">
                  <c:v>18.737211472608891</c:v>
                </c:pt>
                <c:pt idx="424">
                  <c:v>18.891959147353141</c:v>
                </c:pt>
                <c:pt idx="425">
                  <c:v>19.04543614987125</c:v>
                </c:pt>
                <c:pt idx="426">
                  <c:v>19.197631968850182</c:v>
                </c:pt>
                <c:pt idx="427">
                  <c:v>19.348536807212351</c:v>
                </c:pt>
                <c:pt idx="428">
                  <c:v>19.498141568565277</c:v>
                </c:pt>
                <c:pt idx="429">
                  <c:v>19.646437843537203</c:v>
                </c:pt>
                <c:pt idx="430">
                  <c:v>19.793417896015761</c:v>
                </c:pt>
                <c:pt idx="431">
                  <c:v>19.939074649306946</c:v>
                </c:pt>
                <c:pt idx="432">
                  <c:v>20.083401672230384</c:v>
                </c:pt>
                <c:pt idx="433">
                  <c:v>20.226393165166886</c:v>
                </c:pt>
                <c:pt idx="434">
                  <c:v>20.368043946073286</c:v>
                </c:pt>
                <c:pt idx="435">
                  <c:v>20.508349436479456</c:v>
                </c:pt>
                <c:pt idx="436">
                  <c:v>20.647305647481385</c:v>
                </c:pt>
                <c:pt idx="437">
                  <c:v>20.784909165744065</c:v>
                </c:pt>
                <c:pt idx="438">
                  <c:v>20.921157139526986</c:v>
                </c:pt>
                <c:pt idx="439">
                  <c:v>21.056047264744958</c:v>
                </c:pt>
                <c:pt idx="440">
                  <c:v>21.189577771075967</c:v>
                </c:pt>
                <c:pt idx="441">
                  <c:v>21.321747408127557</c:v>
                </c:pt>
                <c:pt idx="442">
                  <c:v>21.452555431672614</c:v>
                </c:pt>
                <c:pt idx="443">
                  <c:v>21.582001589965039</c:v>
                </c:pt>
                <c:pt idx="444">
                  <c:v>21.710086110144754</c:v>
                </c:pt>
                <c:pt idx="445">
                  <c:v>21.836809684741915</c:v>
                </c:pt>
                <c:pt idx="446">
                  <c:v>21.962173458288738</c:v>
                </c:pt>
                <c:pt idx="447">
                  <c:v>22.086179014047651</c:v>
                </c:pt>
                <c:pt idx="448">
                  <c:v>22.208828360863286</c:v>
                </c:pt>
                <c:pt idx="449">
                  <c:v>22.330123920146242</c:v>
                </c:pt>
                <c:pt idx="450">
                  <c:v>22.450068512995021</c:v>
                </c:pt>
                <c:pt idx="451">
                  <c:v>22.568665347463138</c:v>
                </c:pt>
                <c:pt idx="452">
                  <c:v>22.685918005977189</c:v>
                </c:pt>
                <c:pt idx="453">
                  <c:v>22.801830432911782</c:v>
                </c:pt>
                <c:pt idx="454">
                  <c:v>22.916406922326406</c:v>
                </c:pt>
                <c:pt idx="455">
                  <c:v>23.029652105869179</c:v>
                </c:pt>
                <c:pt idx="456">
                  <c:v>23.141570940851953</c:v>
                </c:pt>
                <c:pt idx="457">
                  <c:v>23.252168698500913</c:v>
                </c:pt>
                <c:pt idx="458">
                  <c:v>23.361450952386225</c:v>
                </c:pt>
                <c:pt idx="459">
                  <c:v>23.469423567034397</c:v>
                </c:pt>
                <c:pt idx="460">
                  <c:v>23.576092686726128</c:v>
                </c:pt>
                <c:pt idx="461">
                  <c:v>23.681464724482385</c:v>
                </c:pt>
                <c:pt idx="462">
                  <c:v>23.785546351241326</c:v>
                </c:pt>
                <c:pt idx="463">
                  <c:v>23.888344485227829</c:v>
                </c:pt>
                <c:pt idx="464">
                  <c:v>23.989866281517639</c:v>
                </c:pt>
                <c:pt idx="465">
                  <c:v>24.090119121797525</c:v>
                </c:pt>
                <c:pt idx="466">
                  <c:v>24.189110604322643</c:v>
                </c:pt>
                <c:pt idx="467">
                  <c:v>24.286848534072156</c:v>
                </c:pt>
                <c:pt idx="468">
                  <c:v>24.383340913103869</c:v>
                </c:pt>
                <c:pt idx="469">
                  <c:v>24.478595931108057</c:v>
                </c:pt>
                <c:pt idx="470">
                  <c:v>24.572621956161115</c:v>
                </c:pt>
                <c:pt idx="471">
                  <c:v>24.665427525678801</c:v>
                </c:pt>
                <c:pt idx="472">
                  <c:v>24.757021337568847</c:v>
                </c:pt>
                <c:pt idx="473">
                  <c:v>24.847412241582813</c:v>
                </c:pt>
                <c:pt idx="474">
                  <c:v>24.936609230866342</c:v>
                </c:pt>
                <c:pt idx="475">
                  <c:v>25.024621433707178</c:v>
                </c:pt>
                <c:pt idx="476">
                  <c:v>25.111458105479915</c:v>
                </c:pt>
                <c:pt idx="477">
                  <c:v>25.197128620786625</c:v>
                </c:pt>
                <c:pt idx="478">
                  <c:v>25.281642465791855</c:v>
                </c:pt>
                <c:pt idx="479">
                  <c:v>25.365009230750704</c:v>
                </c:pt>
                <c:pt idx="480">
                  <c:v>25.447238602728589</c:v>
                </c:pt>
                <c:pt idx="481">
                  <c:v>25.528340358510814</c:v>
                </c:pt>
                <c:pt idx="482">
                  <c:v>25.608324357700322</c:v>
                </c:pt>
                <c:pt idx="483">
                  <c:v>25.68720053600191</c:v>
                </c:pt>
                <c:pt idx="484">
                  <c:v>25.764978898690455</c:v>
                </c:pt>
                <c:pt idx="485">
                  <c:v>25.841669514261643</c:v>
                </c:pt>
                <c:pt idx="486">
                  <c:v>25.917282508262655</c:v>
                </c:pt>
                <c:pt idx="487">
                  <c:v>25.99182805730063</c:v>
                </c:pt>
                <c:pt idx="488">
                  <c:v>26.065316383226769</c:v>
                </c:pt>
                <c:pt idx="489">
                  <c:v>26.137757747493435</c:v>
                </c:pt>
                <c:pt idx="490">
                  <c:v>26.20916244568199</c:v>
                </c:pt>
                <c:pt idx="491">
                  <c:v>26.279540802198802</c:v>
                </c:pt>
                <c:pt idx="492">
                  <c:v>26.348903165136708</c:v>
                </c:pt>
                <c:pt idx="493">
                  <c:v>26.417259901299673</c:v>
                </c:pt>
                <c:pt idx="494">
                  <c:v>26.484621391387673</c:v>
                </c:pt>
                <c:pt idx="495">
                  <c:v>26.550998025339211</c:v>
                </c:pt>
                <c:pt idx="496">
                  <c:v>26.616400197828838</c:v>
                </c:pt>
                <c:pt idx="497">
                  <c:v>26.680838303916918</c:v>
                </c:pt>
                <c:pt idx="498">
                  <c:v>26.744322734848733</c:v>
                </c:pt>
                <c:pt idx="499">
                  <c:v>26.80686387400036</c:v>
                </c:pt>
                <c:pt idx="500">
                  <c:v>26.868472092968318</c:v>
                </c:pt>
                <c:pt idx="501">
                  <c:v>26.92915774780046</c:v>
                </c:pt>
                <c:pt idx="502">
                  <c:v>26.988931175364957</c:v>
                </c:pt>
                <c:pt idx="503">
                  <c:v>27.047802689854795</c:v>
                </c:pt>
                <c:pt idx="504">
                  <c:v>27.105782579425007</c:v>
                </c:pt>
                <c:pt idx="505">
                  <c:v>27.162881102959645</c:v>
                </c:pt>
                <c:pt idx="506">
                  <c:v>27.162937259939923</c:v>
                </c:pt>
                <c:pt idx="507">
                  <c:v>27.162993416063827</c:v>
                </c:pt>
                <c:pt idx="508">
                  <c:v>27.163049571331364</c:v>
                </c:pt>
                <c:pt idx="509">
                  <c:v>27.163105725742529</c:v>
                </c:pt>
                <c:pt idx="510">
                  <c:v>27.163161879297352</c:v>
                </c:pt>
                <c:pt idx="511">
                  <c:v>27.163218031995847</c:v>
                </c:pt>
                <c:pt idx="512">
                  <c:v>27.163274183837999</c:v>
                </c:pt>
                <c:pt idx="513">
                  <c:v>27.16333033482384</c:v>
                </c:pt>
                <c:pt idx="514">
                  <c:v>27.163386484953371</c:v>
                </c:pt>
                <c:pt idx="515">
                  <c:v>27.163442634226609</c:v>
                </c:pt>
                <c:pt idx="516">
                  <c:v>27.163498782643547</c:v>
                </c:pt>
                <c:pt idx="517">
                  <c:v>27.163554930204207</c:v>
                </c:pt>
                <c:pt idx="518">
                  <c:v>27.163611076908587</c:v>
                </c:pt>
                <c:pt idx="519">
                  <c:v>27.163667222756722</c:v>
                </c:pt>
                <c:pt idx="520">
                  <c:v>27.163723367748606</c:v>
                </c:pt>
                <c:pt idx="521">
                  <c:v>27.163779511884254</c:v>
                </c:pt>
                <c:pt idx="522">
                  <c:v>27.163835655163663</c:v>
                </c:pt>
                <c:pt idx="523">
                  <c:v>27.163891797586849</c:v>
                </c:pt>
                <c:pt idx="524">
                  <c:v>27.163947939153832</c:v>
                </c:pt>
                <c:pt idx="525">
                  <c:v>27.164004079864625</c:v>
                </c:pt>
                <c:pt idx="526">
                  <c:v>27.164060219719218</c:v>
                </c:pt>
                <c:pt idx="527">
                  <c:v>27.164116358717639</c:v>
                </c:pt>
                <c:pt idx="528">
                  <c:v>27.164172496859866</c:v>
                </c:pt>
                <c:pt idx="529">
                  <c:v>27.164228634145957</c:v>
                </c:pt>
                <c:pt idx="530">
                  <c:v>27.164284770575886</c:v>
                </c:pt>
                <c:pt idx="531">
                  <c:v>27.164340906149686</c:v>
                </c:pt>
                <c:pt idx="532">
                  <c:v>27.164397040867346</c:v>
                </c:pt>
                <c:pt idx="533">
                  <c:v>27.164453174728905</c:v>
                </c:pt>
                <c:pt idx="534">
                  <c:v>27.164509307734324</c:v>
                </c:pt>
                <c:pt idx="535">
                  <c:v>27.164565439883656</c:v>
                </c:pt>
                <c:pt idx="536">
                  <c:v>27.164621571176912</c:v>
                </c:pt>
                <c:pt idx="537">
                  <c:v>27.164677701614067</c:v>
                </c:pt>
                <c:pt idx="538">
                  <c:v>27.164733831195154</c:v>
                </c:pt>
                <c:pt idx="539">
                  <c:v>27.164789959920192</c:v>
                </c:pt>
                <c:pt idx="540">
                  <c:v>27.164846087789172</c:v>
                </c:pt>
                <c:pt idx="541">
                  <c:v>27.164902214802122</c:v>
                </c:pt>
                <c:pt idx="542">
                  <c:v>27.164958340959025</c:v>
                </c:pt>
                <c:pt idx="543">
                  <c:v>27.165014466259926</c:v>
                </c:pt>
                <c:pt idx="544">
                  <c:v>27.165070590704797</c:v>
                </c:pt>
                <c:pt idx="545">
                  <c:v>27.165126714293677</c:v>
                </c:pt>
                <c:pt idx="546">
                  <c:v>27.165182837026567</c:v>
                </c:pt>
                <c:pt idx="547">
                  <c:v>27.165238958903483</c:v>
                </c:pt>
                <c:pt idx="548">
                  <c:v>27.165295079924412</c:v>
                </c:pt>
                <c:pt idx="549">
                  <c:v>27.165351200089397</c:v>
                </c:pt>
                <c:pt idx="550">
                  <c:v>27.165407319398415</c:v>
                </c:pt>
                <c:pt idx="551">
                  <c:v>27.165463437851514</c:v>
                </c:pt>
                <c:pt idx="552">
                  <c:v>27.165519555448665</c:v>
                </c:pt>
                <c:pt idx="553">
                  <c:v>27.165575672189895</c:v>
                </c:pt>
                <c:pt idx="554">
                  <c:v>27.165631788075203</c:v>
                </c:pt>
                <c:pt idx="555">
                  <c:v>27.165687903104647</c:v>
                </c:pt>
                <c:pt idx="556">
                  <c:v>27.165744017278175</c:v>
                </c:pt>
                <c:pt idx="557">
                  <c:v>27.165800130595834</c:v>
                </c:pt>
                <c:pt idx="558">
                  <c:v>27.165856243057615</c:v>
                </c:pt>
                <c:pt idx="559">
                  <c:v>27.165912354663536</c:v>
                </c:pt>
                <c:pt idx="560">
                  <c:v>27.165968465413609</c:v>
                </c:pt>
                <c:pt idx="561">
                  <c:v>27.16602457530783</c:v>
                </c:pt>
                <c:pt idx="562">
                  <c:v>27.166080684346223</c:v>
                </c:pt>
                <c:pt idx="563">
                  <c:v>27.166136792528796</c:v>
                </c:pt>
                <c:pt idx="564">
                  <c:v>27.16619289985557</c:v>
                </c:pt>
                <c:pt idx="565">
                  <c:v>27.166249006326527</c:v>
                </c:pt>
                <c:pt idx="566">
                  <c:v>27.1663051119417</c:v>
                </c:pt>
                <c:pt idx="567">
                  <c:v>27.166361216701095</c:v>
                </c:pt>
                <c:pt idx="568">
                  <c:v>27.166417320604715</c:v>
                </c:pt>
                <c:pt idx="569">
                  <c:v>27.166473423652569</c:v>
                </c:pt>
                <c:pt idx="570">
                  <c:v>27.16652952584468</c:v>
                </c:pt>
                <c:pt idx="571">
                  <c:v>27.166585627181036</c:v>
                </c:pt>
                <c:pt idx="572">
                  <c:v>27.166641727661681</c:v>
                </c:pt>
                <c:pt idx="573">
                  <c:v>27.166697827286598</c:v>
                </c:pt>
                <c:pt idx="574">
                  <c:v>27.166753926055797</c:v>
                </c:pt>
                <c:pt idx="575">
                  <c:v>27.166810023969312</c:v>
                </c:pt>
                <c:pt idx="576">
                  <c:v>27.166866121027105</c:v>
                </c:pt>
                <c:pt idx="577">
                  <c:v>27.166922217229242</c:v>
                </c:pt>
                <c:pt idx="578">
                  <c:v>27.166978312575701</c:v>
                </c:pt>
                <c:pt idx="579">
                  <c:v>27.167034407066499</c:v>
                </c:pt>
                <c:pt idx="580">
                  <c:v>27.167090500701633</c:v>
                </c:pt>
                <c:pt idx="581">
                  <c:v>27.167146593481132</c:v>
                </c:pt>
                <c:pt idx="582">
                  <c:v>27.167202685405012</c:v>
                </c:pt>
                <c:pt idx="583">
                  <c:v>27.16725877647325</c:v>
                </c:pt>
                <c:pt idx="584">
                  <c:v>27.167314866685892</c:v>
                </c:pt>
                <c:pt idx="585">
                  <c:v>27.167370956042927</c:v>
                </c:pt>
                <c:pt idx="586">
                  <c:v>27.167427044544365</c:v>
                </c:pt>
                <c:pt idx="587">
                  <c:v>27.167483132190224</c:v>
                </c:pt>
                <c:pt idx="588">
                  <c:v>27.167539218980515</c:v>
                </c:pt>
                <c:pt idx="589">
                  <c:v>27.167595304915249</c:v>
                </c:pt>
                <c:pt idx="590">
                  <c:v>27.167651389994436</c:v>
                </c:pt>
                <c:pt idx="591">
                  <c:v>27.167707474218055</c:v>
                </c:pt>
                <c:pt idx="592">
                  <c:v>27.167763557586159</c:v>
                </c:pt>
                <c:pt idx="593">
                  <c:v>27.167819640098738</c:v>
                </c:pt>
                <c:pt idx="594">
                  <c:v>27.167875721755802</c:v>
                </c:pt>
                <c:pt idx="595">
                  <c:v>27.167931802557373</c:v>
                </c:pt>
                <c:pt idx="596">
                  <c:v>27.167987882503454</c:v>
                </c:pt>
                <c:pt idx="597">
                  <c:v>27.168043961594044</c:v>
                </c:pt>
                <c:pt idx="598">
                  <c:v>27.168100039829156</c:v>
                </c:pt>
                <c:pt idx="599">
                  <c:v>27.168156117208813</c:v>
                </c:pt>
                <c:pt idx="600">
                  <c:v>27.168212193733019</c:v>
                </c:pt>
                <c:pt idx="601">
                  <c:v>27.168268269401786</c:v>
                </c:pt>
                <c:pt idx="602">
                  <c:v>27.168324344215126</c:v>
                </c:pt>
                <c:pt idx="603">
                  <c:v>27.168380418173019</c:v>
                </c:pt>
                <c:pt idx="604">
                  <c:v>27.168436491275536</c:v>
                </c:pt>
                <c:pt idx="605">
                  <c:v>27.168492563522619</c:v>
                </c:pt>
                <c:pt idx="606">
                  <c:v>27.168548634914323</c:v>
                </c:pt>
                <c:pt idx="607">
                  <c:v>27.16860470545064</c:v>
                </c:pt>
                <c:pt idx="608">
                  <c:v>27.168660775131585</c:v>
                </c:pt>
                <c:pt idx="609">
                  <c:v>27.168716843957171</c:v>
                </c:pt>
                <c:pt idx="610">
                  <c:v>27.168772911927402</c:v>
                </c:pt>
                <c:pt idx="611">
                  <c:v>27.168828979042285</c:v>
                </c:pt>
                <c:pt idx="612">
                  <c:v>27.168885045301835</c:v>
                </c:pt>
                <c:pt idx="613">
                  <c:v>27.168941110706069</c:v>
                </c:pt>
                <c:pt idx="614">
                  <c:v>27.168997175254994</c:v>
                </c:pt>
                <c:pt idx="615">
                  <c:v>27.169053238948599</c:v>
                </c:pt>
                <c:pt idx="616">
                  <c:v>27.169109301786929</c:v>
                </c:pt>
                <c:pt idx="617">
                  <c:v>27.169165363769977</c:v>
                </c:pt>
                <c:pt idx="618">
                  <c:v>27.169221424897732</c:v>
                </c:pt>
                <c:pt idx="619">
                  <c:v>27.169277485170255</c:v>
                </c:pt>
                <c:pt idx="620">
                  <c:v>27.169333544587502</c:v>
                </c:pt>
                <c:pt idx="621">
                  <c:v>27.169389603149504</c:v>
                </c:pt>
                <c:pt idx="622">
                  <c:v>27.169445660856283</c:v>
                </c:pt>
                <c:pt idx="623">
                  <c:v>27.169501717707831</c:v>
                </c:pt>
                <c:pt idx="624">
                  <c:v>27.169557773704177</c:v>
                </c:pt>
                <c:pt idx="625">
                  <c:v>27.169613828845307</c:v>
                </c:pt>
                <c:pt idx="626">
                  <c:v>27.169669883131252</c:v>
                </c:pt>
                <c:pt idx="627">
                  <c:v>27.169725936562013</c:v>
                </c:pt>
                <c:pt idx="628">
                  <c:v>27.169781989137604</c:v>
                </c:pt>
                <c:pt idx="629">
                  <c:v>27.169838040858028</c:v>
                </c:pt>
                <c:pt idx="630">
                  <c:v>27.169894091723297</c:v>
                </c:pt>
                <c:pt idx="631">
                  <c:v>27.16995014173342</c:v>
                </c:pt>
                <c:pt idx="632">
                  <c:v>27.170006190888419</c:v>
                </c:pt>
                <c:pt idx="633">
                  <c:v>27.170062239188287</c:v>
                </c:pt>
                <c:pt idx="634">
                  <c:v>27.170118286633045</c:v>
                </c:pt>
                <c:pt idx="635">
                  <c:v>27.170174333222686</c:v>
                </c:pt>
                <c:pt idx="636">
                  <c:v>27.170230378957257</c:v>
                </c:pt>
                <c:pt idx="637">
                  <c:v>27.170286423836732</c:v>
                </c:pt>
                <c:pt idx="638">
                  <c:v>27.170342467861133</c:v>
                </c:pt>
                <c:pt idx="639">
                  <c:v>27.170398511030477</c:v>
                </c:pt>
                <c:pt idx="640">
                  <c:v>27.170454553344758</c:v>
                </c:pt>
                <c:pt idx="641">
                  <c:v>27.170510594804</c:v>
                </c:pt>
                <c:pt idx="642">
                  <c:v>27.170566635408218</c:v>
                </c:pt>
                <c:pt idx="643">
                  <c:v>27.170622675157396</c:v>
                </c:pt>
                <c:pt idx="644">
                  <c:v>27.170678714051572</c:v>
                </c:pt>
                <c:pt idx="645">
                  <c:v>27.170734752090738</c:v>
                </c:pt>
                <c:pt idx="646">
                  <c:v>27.170790789274907</c:v>
                </c:pt>
                <c:pt idx="647">
                  <c:v>27.170846825604102</c:v>
                </c:pt>
                <c:pt idx="648">
                  <c:v>27.170902861078314</c:v>
                </c:pt>
                <c:pt idx="649">
                  <c:v>27.170958895697549</c:v>
                </c:pt>
                <c:pt idx="650">
                  <c:v>27.171014929461847</c:v>
                </c:pt>
                <c:pt idx="651">
                  <c:v>27.171070962371218</c:v>
                </c:pt>
                <c:pt idx="652">
                  <c:v>27.17112699442562</c:v>
                </c:pt>
                <c:pt idx="653">
                  <c:v>27.171183025625119</c:v>
                </c:pt>
                <c:pt idx="654">
                  <c:v>27.1712390559697</c:v>
                </c:pt>
                <c:pt idx="655">
                  <c:v>27.171295085459388</c:v>
                </c:pt>
                <c:pt idx="656">
                  <c:v>27.171351114094151</c:v>
                </c:pt>
                <c:pt idx="657">
                  <c:v>27.171407141874056</c:v>
                </c:pt>
                <c:pt idx="658">
                  <c:v>27.171463168799079</c:v>
                </c:pt>
                <c:pt idx="659">
                  <c:v>27.17151919486923</c:v>
                </c:pt>
                <c:pt idx="660">
                  <c:v>27.171575220084531</c:v>
                </c:pt>
                <c:pt idx="661">
                  <c:v>27.171631244444992</c:v>
                </c:pt>
                <c:pt idx="662">
                  <c:v>27.17168726795062</c:v>
                </c:pt>
                <c:pt idx="663">
                  <c:v>27.171743290601416</c:v>
                </c:pt>
                <c:pt idx="664">
                  <c:v>27.1717993123974</c:v>
                </c:pt>
                <c:pt idx="665">
                  <c:v>27.171855333338584</c:v>
                </c:pt>
                <c:pt idx="666">
                  <c:v>27.171911353424981</c:v>
                </c:pt>
                <c:pt idx="667">
                  <c:v>27.171967372656578</c:v>
                </c:pt>
                <c:pt idx="668">
                  <c:v>27.172023391033395</c:v>
                </c:pt>
                <c:pt idx="669">
                  <c:v>27.172079408555469</c:v>
                </c:pt>
                <c:pt idx="670">
                  <c:v>27.172135425222773</c:v>
                </c:pt>
                <c:pt idx="671">
                  <c:v>27.172191441035334</c:v>
                </c:pt>
                <c:pt idx="672">
                  <c:v>27.172247455993158</c:v>
                </c:pt>
                <c:pt idx="673">
                  <c:v>27.172303470096267</c:v>
                </c:pt>
                <c:pt idx="674">
                  <c:v>27.17235948334465</c:v>
                </c:pt>
                <c:pt idx="675">
                  <c:v>27.172415495738335</c:v>
                </c:pt>
                <c:pt idx="676">
                  <c:v>27.172471507277322</c:v>
                </c:pt>
                <c:pt idx="677">
                  <c:v>27.172527517961637</c:v>
                </c:pt>
                <c:pt idx="678">
                  <c:v>27.172583527791261</c:v>
                </c:pt>
                <c:pt idx="679">
                  <c:v>27.172639536766233</c:v>
                </c:pt>
                <c:pt idx="680">
                  <c:v>27.172695544886526</c:v>
                </c:pt>
                <c:pt idx="681">
                  <c:v>27.172751552152189</c:v>
                </c:pt>
                <c:pt idx="682">
                  <c:v>27.172807558563218</c:v>
                </c:pt>
                <c:pt idx="683">
                  <c:v>27.17286356411962</c:v>
                </c:pt>
                <c:pt idx="684">
                  <c:v>27.17291956882141</c:v>
                </c:pt>
                <c:pt idx="685">
                  <c:v>27.172975572668594</c:v>
                </c:pt>
                <c:pt idx="686">
                  <c:v>27.173031575661177</c:v>
                </c:pt>
                <c:pt idx="687">
                  <c:v>27.173087577799187</c:v>
                </c:pt>
                <c:pt idx="688">
                  <c:v>27.173143579082602</c:v>
                </c:pt>
                <c:pt idx="689">
                  <c:v>27.173199579511468</c:v>
                </c:pt>
                <c:pt idx="690">
                  <c:v>27.173255579085772</c:v>
                </c:pt>
                <c:pt idx="691">
                  <c:v>27.173311577805535</c:v>
                </c:pt>
                <c:pt idx="692">
                  <c:v>27.173367575670746</c:v>
                </c:pt>
                <c:pt idx="693">
                  <c:v>27.173423572681461</c:v>
                </c:pt>
                <c:pt idx="694">
                  <c:v>27.173479568837649</c:v>
                </c:pt>
                <c:pt idx="695">
                  <c:v>27.173535564139325</c:v>
                </c:pt>
                <c:pt idx="696">
                  <c:v>27.173591558586509</c:v>
                </c:pt>
                <c:pt idx="697">
                  <c:v>27.173647552179197</c:v>
                </c:pt>
                <c:pt idx="698">
                  <c:v>27.173703544917409</c:v>
                </c:pt>
                <c:pt idx="699">
                  <c:v>27.173759536801178</c:v>
                </c:pt>
                <c:pt idx="700">
                  <c:v>27.173815527830467</c:v>
                </c:pt>
                <c:pt idx="701">
                  <c:v>27.173871518005317</c:v>
                </c:pt>
                <c:pt idx="702">
                  <c:v>27.173927507325732</c:v>
                </c:pt>
                <c:pt idx="703">
                  <c:v>27.173983495791724</c:v>
                </c:pt>
                <c:pt idx="704">
                  <c:v>27.174039483403298</c:v>
                </c:pt>
                <c:pt idx="705">
                  <c:v>27.174095470160459</c:v>
                </c:pt>
                <c:pt idx="706">
                  <c:v>27.174151456063225</c:v>
                </c:pt>
                <c:pt idx="707">
                  <c:v>27.174207441111623</c:v>
                </c:pt>
                <c:pt idx="708">
                  <c:v>27.174263425305615</c:v>
                </c:pt>
                <c:pt idx="709">
                  <c:v>27.174319408645275</c:v>
                </c:pt>
                <c:pt idx="710">
                  <c:v>27.174375391130557</c:v>
                </c:pt>
                <c:pt idx="711">
                  <c:v>27.1744313727615</c:v>
                </c:pt>
                <c:pt idx="712">
                  <c:v>27.174487353538083</c:v>
                </c:pt>
                <c:pt idx="713">
                  <c:v>27.174543333460377</c:v>
                </c:pt>
                <c:pt idx="714">
                  <c:v>27.174599312528343</c:v>
                </c:pt>
                <c:pt idx="715">
                  <c:v>27.174655290742002</c:v>
                </c:pt>
                <c:pt idx="716">
                  <c:v>27.174711268101358</c:v>
                </c:pt>
                <c:pt idx="717">
                  <c:v>27.174767244606432</c:v>
                </c:pt>
                <c:pt idx="718">
                  <c:v>27.174823220257235</c:v>
                </c:pt>
                <c:pt idx="719">
                  <c:v>27.174879195053748</c:v>
                </c:pt>
                <c:pt idx="720">
                  <c:v>27.174935168996033</c:v>
                </c:pt>
                <c:pt idx="721">
                  <c:v>27.17499114208405</c:v>
                </c:pt>
                <c:pt idx="722">
                  <c:v>27.175047114317827</c:v>
                </c:pt>
                <c:pt idx="723">
                  <c:v>27.175103085697401</c:v>
                </c:pt>
                <c:pt idx="724">
                  <c:v>27.175159056222743</c:v>
                </c:pt>
                <c:pt idx="725">
                  <c:v>27.175215025893888</c:v>
                </c:pt>
                <c:pt idx="726">
                  <c:v>27.175270994710825</c:v>
                </c:pt>
                <c:pt idx="727">
                  <c:v>27.175326962673569</c:v>
                </c:pt>
                <c:pt idx="728">
                  <c:v>27.17538292978216</c:v>
                </c:pt>
                <c:pt idx="729">
                  <c:v>27.175438896036578</c:v>
                </c:pt>
                <c:pt idx="730">
                  <c:v>27.175494861436821</c:v>
                </c:pt>
                <c:pt idx="731">
                  <c:v>27.175550825982928</c:v>
                </c:pt>
                <c:pt idx="732">
                  <c:v>27.175606789674902</c:v>
                </c:pt>
                <c:pt idx="733">
                  <c:v>27.175662752512732</c:v>
                </c:pt>
                <c:pt idx="734">
                  <c:v>27.175718714496462</c:v>
                </c:pt>
                <c:pt idx="735">
                  <c:v>27.175774675626087</c:v>
                </c:pt>
                <c:pt idx="736">
                  <c:v>27.17583063590159</c:v>
                </c:pt>
                <c:pt idx="737">
                  <c:v>27.175886595323043</c:v>
                </c:pt>
                <c:pt idx="738">
                  <c:v>27.175942553890398</c:v>
                </c:pt>
                <c:pt idx="739">
                  <c:v>27.175998511603684</c:v>
                </c:pt>
                <c:pt idx="740">
                  <c:v>27.176054468462919</c:v>
                </c:pt>
                <c:pt idx="741">
                  <c:v>27.176110424468099</c:v>
                </c:pt>
                <c:pt idx="742">
                  <c:v>27.176166379619236</c:v>
                </c:pt>
                <c:pt idx="743">
                  <c:v>27.176222333916371</c:v>
                </c:pt>
                <c:pt idx="744">
                  <c:v>27.176278287359459</c:v>
                </c:pt>
                <c:pt idx="745">
                  <c:v>27.176334239948567</c:v>
                </c:pt>
                <c:pt idx="746">
                  <c:v>27.176390191683662</c:v>
                </c:pt>
                <c:pt idx="747">
                  <c:v>27.176446142564764</c:v>
                </c:pt>
                <c:pt idx="748">
                  <c:v>27.176502092591903</c:v>
                </c:pt>
                <c:pt idx="749">
                  <c:v>27.176558041765063</c:v>
                </c:pt>
                <c:pt idx="750">
                  <c:v>27.176613990084256</c:v>
                </c:pt>
                <c:pt idx="751">
                  <c:v>27.176669937549512</c:v>
                </c:pt>
                <c:pt idx="752">
                  <c:v>27.176725884160838</c:v>
                </c:pt>
                <c:pt idx="753">
                  <c:v>27.176781829918227</c:v>
                </c:pt>
                <c:pt idx="754">
                  <c:v>27.176837774821696</c:v>
                </c:pt>
                <c:pt idx="755">
                  <c:v>27.176893718871245</c:v>
                </c:pt>
                <c:pt idx="756">
                  <c:v>27.176949662066914</c:v>
                </c:pt>
                <c:pt idx="757">
                  <c:v>27.177005604408709</c:v>
                </c:pt>
                <c:pt idx="758">
                  <c:v>27.17706154589661</c:v>
                </c:pt>
                <c:pt idx="759">
                  <c:v>27.177117486530634</c:v>
                </c:pt>
                <c:pt idx="760">
                  <c:v>27.177173426310819</c:v>
                </c:pt>
                <c:pt idx="761">
                  <c:v>27.177229365237135</c:v>
                </c:pt>
                <c:pt idx="762">
                  <c:v>27.177285303309624</c:v>
                </c:pt>
                <c:pt idx="763">
                  <c:v>27.177341240528289</c:v>
                </c:pt>
                <c:pt idx="764">
                  <c:v>27.177397176893127</c:v>
                </c:pt>
                <c:pt idx="765">
                  <c:v>27.177453112404166</c:v>
                </c:pt>
                <c:pt idx="766">
                  <c:v>27.177509047061402</c:v>
                </c:pt>
                <c:pt idx="767">
                  <c:v>27.17756498086484</c:v>
                </c:pt>
                <c:pt idx="768">
                  <c:v>27.177620913814511</c:v>
                </c:pt>
                <c:pt idx="769">
                  <c:v>27.177676845910394</c:v>
                </c:pt>
                <c:pt idx="770">
                  <c:v>27.177732777152546</c:v>
                </c:pt>
                <c:pt idx="771">
                  <c:v>27.17778870754093</c:v>
                </c:pt>
                <c:pt idx="772">
                  <c:v>27.177844637075584</c:v>
                </c:pt>
                <c:pt idx="773">
                  <c:v>27.177900565756506</c:v>
                </c:pt>
                <c:pt idx="774">
                  <c:v>27.177956493583714</c:v>
                </c:pt>
                <c:pt idx="775">
                  <c:v>27.178012420557209</c:v>
                </c:pt>
                <c:pt idx="776">
                  <c:v>27.178068346676994</c:v>
                </c:pt>
                <c:pt idx="777">
                  <c:v>27.178124271943101</c:v>
                </c:pt>
                <c:pt idx="778">
                  <c:v>27.178180196355523</c:v>
                </c:pt>
                <c:pt idx="779">
                  <c:v>27.178236119914295</c:v>
                </c:pt>
                <c:pt idx="780">
                  <c:v>27.1782920426194</c:v>
                </c:pt>
                <c:pt idx="781">
                  <c:v>27.178347964470845</c:v>
                </c:pt>
                <c:pt idx="782">
                  <c:v>27.178403885468658</c:v>
                </c:pt>
                <c:pt idx="783">
                  <c:v>27.178459805612828</c:v>
                </c:pt>
                <c:pt idx="784">
                  <c:v>27.178515724903395</c:v>
                </c:pt>
                <c:pt idx="785">
                  <c:v>27.178571643340355</c:v>
                </c:pt>
                <c:pt idx="786">
                  <c:v>27.178627560923704</c:v>
                </c:pt>
                <c:pt idx="787">
                  <c:v>27.178683477653465</c:v>
                </c:pt>
                <c:pt idx="788">
                  <c:v>27.178739393529654</c:v>
                </c:pt>
                <c:pt idx="789">
                  <c:v>27.178795308552278</c:v>
                </c:pt>
                <c:pt idx="790">
                  <c:v>27.17885122272132</c:v>
                </c:pt>
                <c:pt idx="791">
                  <c:v>27.178907136036841</c:v>
                </c:pt>
                <c:pt idx="792">
                  <c:v>27.178963048498812</c:v>
                </c:pt>
                <c:pt idx="793">
                  <c:v>27.179018960107253</c:v>
                </c:pt>
                <c:pt idx="794">
                  <c:v>27.179074870862173</c:v>
                </c:pt>
                <c:pt idx="795">
                  <c:v>27.179130780763586</c:v>
                </c:pt>
                <c:pt idx="796">
                  <c:v>27.179186689811488</c:v>
                </c:pt>
                <c:pt idx="797">
                  <c:v>27.179242598005906</c:v>
                </c:pt>
                <c:pt idx="798">
                  <c:v>27.17929850534685</c:v>
                </c:pt>
                <c:pt idx="799">
                  <c:v>27.179354411834318</c:v>
                </c:pt>
                <c:pt idx="800">
                  <c:v>27.179410317468335</c:v>
                </c:pt>
                <c:pt idx="801">
                  <c:v>27.179466222248895</c:v>
                </c:pt>
                <c:pt idx="802">
                  <c:v>27.17952212617601</c:v>
                </c:pt>
                <c:pt idx="803">
                  <c:v>27.179578029249694</c:v>
                </c:pt>
                <c:pt idx="804">
                  <c:v>27.179633931469983</c:v>
                </c:pt>
                <c:pt idx="805">
                  <c:v>27.179689832836832</c:v>
                </c:pt>
                <c:pt idx="806">
                  <c:v>27.179745733350295</c:v>
                </c:pt>
                <c:pt idx="807">
                  <c:v>27.179801633010374</c:v>
                </c:pt>
                <c:pt idx="808">
                  <c:v>27.179857531817067</c:v>
                </c:pt>
                <c:pt idx="809">
                  <c:v>27.179913429770391</c:v>
                </c:pt>
                <c:pt idx="810">
                  <c:v>27.179969326870353</c:v>
                </c:pt>
                <c:pt idx="811">
                  <c:v>27.180025223116953</c:v>
                </c:pt>
                <c:pt idx="812">
                  <c:v>27.180081118510227</c:v>
                </c:pt>
                <c:pt idx="813">
                  <c:v>27.180137013050171</c:v>
                </c:pt>
                <c:pt idx="814">
                  <c:v>27.180192906736792</c:v>
                </c:pt>
                <c:pt idx="815">
                  <c:v>27.180248799570091</c:v>
                </c:pt>
                <c:pt idx="816">
                  <c:v>27.180304691550099</c:v>
                </c:pt>
                <c:pt idx="817">
                  <c:v>27.180360582676823</c:v>
                </c:pt>
                <c:pt idx="818">
                  <c:v>27.18041647295026</c:v>
                </c:pt>
                <c:pt idx="819">
                  <c:v>27.180472362370423</c:v>
                </c:pt>
                <c:pt idx="820">
                  <c:v>27.180528250937321</c:v>
                </c:pt>
                <c:pt idx="821">
                  <c:v>27.180584138650982</c:v>
                </c:pt>
                <c:pt idx="822">
                  <c:v>27.180640025511405</c:v>
                </c:pt>
                <c:pt idx="823">
                  <c:v>27.180695911518587</c:v>
                </c:pt>
                <c:pt idx="824">
                  <c:v>27.180751796672542</c:v>
                </c:pt>
                <c:pt idx="825">
                  <c:v>27.180807680973292</c:v>
                </c:pt>
                <c:pt idx="826">
                  <c:v>27.180863564420836</c:v>
                </c:pt>
                <c:pt idx="827">
                  <c:v>27.180919447015196</c:v>
                </c:pt>
                <c:pt idx="828">
                  <c:v>27.180975328756379</c:v>
                </c:pt>
                <c:pt idx="829">
                  <c:v>27.181031209644388</c:v>
                </c:pt>
                <c:pt idx="830">
                  <c:v>27.181087089679234</c:v>
                </c:pt>
                <c:pt idx="831">
                  <c:v>27.181142968860925</c:v>
                </c:pt>
                <c:pt idx="832">
                  <c:v>27.181198847189471</c:v>
                </c:pt>
                <c:pt idx="833">
                  <c:v>27.181254724664896</c:v>
                </c:pt>
                <c:pt idx="834">
                  <c:v>27.181310601287198</c:v>
                </c:pt>
                <c:pt idx="835">
                  <c:v>27.181366477056386</c:v>
                </c:pt>
                <c:pt idx="836">
                  <c:v>27.181422351972483</c:v>
                </c:pt>
                <c:pt idx="837">
                  <c:v>27.18147822603547</c:v>
                </c:pt>
                <c:pt idx="838">
                  <c:v>27.18153409924539</c:v>
                </c:pt>
                <c:pt idx="839">
                  <c:v>27.181589971602239</c:v>
                </c:pt>
                <c:pt idx="840">
                  <c:v>27.181645843106011</c:v>
                </c:pt>
                <c:pt idx="841">
                  <c:v>27.181701713756748</c:v>
                </c:pt>
                <c:pt idx="842">
                  <c:v>27.181757583554443</c:v>
                </c:pt>
                <c:pt idx="843">
                  <c:v>27.181813452499092</c:v>
                </c:pt>
                <c:pt idx="844">
                  <c:v>27.181869320590717</c:v>
                </c:pt>
                <c:pt idx="845">
                  <c:v>27.181925187829343</c:v>
                </c:pt>
                <c:pt idx="846">
                  <c:v>27.181981054214969</c:v>
                </c:pt>
                <c:pt idx="847">
                  <c:v>27.18203691974761</c:v>
                </c:pt>
                <c:pt idx="848">
                  <c:v>27.182092784427255</c:v>
                </c:pt>
                <c:pt idx="849">
                  <c:v>27.182148648253918</c:v>
                </c:pt>
                <c:pt idx="850">
                  <c:v>27.182204511227635</c:v>
                </c:pt>
                <c:pt idx="851">
                  <c:v>27.182260373348406</c:v>
                </c:pt>
                <c:pt idx="852">
                  <c:v>27.182316234616209</c:v>
                </c:pt>
                <c:pt idx="853">
                  <c:v>27.182372095031109</c:v>
                </c:pt>
                <c:pt idx="854">
                  <c:v>27.182427954593074</c:v>
                </c:pt>
                <c:pt idx="855">
                  <c:v>27.182483813302142</c:v>
                </c:pt>
                <c:pt idx="856">
                  <c:v>27.182539671158274</c:v>
                </c:pt>
                <c:pt idx="857">
                  <c:v>27.182595528161542</c:v>
                </c:pt>
                <c:pt idx="858">
                  <c:v>27.182651384311932</c:v>
                </c:pt>
                <c:pt idx="859">
                  <c:v>27.182707239609421</c:v>
                </c:pt>
                <c:pt idx="860">
                  <c:v>27.182763094054071</c:v>
                </c:pt>
                <c:pt idx="861">
                  <c:v>27.182818947645867</c:v>
                </c:pt>
                <c:pt idx="862">
                  <c:v>27.182874800384809</c:v>
                </c:pt>
                <c:pt idx="863">
                  <c:v>27.18293065227093</c:v>
                </c:pt>
                <c:pt idx="864">
                  <c:v>27.182986503304207</c:v>
                </c:pt>
                <c:pt idx="865">
                  <c:v>27.183042353484694</c:v>
                </c:pt>
                <c:pt idx="866">
                  <c:v>27.183098202812371</c:v>
                </c:pt>
                <c:pt idx="867">
                  <c:v>27.183154051287261</c:v>
                </c:pt>
                <c:pt idx="868">
                  <c:v>27.183209898909372</c:v>
                </c:pt>
                <c:pt idx="869">
                  <c:v>27.1832657456787</c:v>
                </c:pt>
                <c:pt idx="870">
                  <c:v>27.183321591595252</c:v>
                </c:pt>
                <c:pt idx="871">
                  <c:v>27.183377436659061</c:v>
                </c:pt>
                <c:pt idx="872">
                  <c:v>27.183433280870137</c:v>
                </c:pt>
                <c:pt idx="873">
                  <c:v>27.183489124228469</c:v>
                </c:pt>
                <c:pt idx="874">
                  <c:v>27.183544966734086</c:v>
                </c:pt>
                <c:pt idx="875">
                  <c:v>27.183600808386998</c:v>
                </c:pt>
                <c:pt idx="876">
                  <c:v>27.183656649187178</c:v>
                </c:pt>
                <c:pt idx="877">
                  <c:v>27.183712489134685</c:v>
                </c:pt>
                <c:pt idx="878">
                  <c:v>27.183768328229515</c:v>
                </c:pt>
                <c:pt idx="879">
                  <c:v>27.183824166471648</c:v>
                </c:pt>
                <c:pt idx="880">
                  <c:v>27.183880003861127</c:v>
                </c:pt>
                <c:pt idx="881">
                  <c:v>27.183935840397968</c:v>
                </c:pt>
                <c:pt idx="882">
                  <c:v>27.183991676082147</c:v>
                </c:pt>
                <c:pt idx="883">
                  <c:v>27.184047510913711</c:v>
                </c:pt>
                <c:pt idx="884">
                  <c:v>27.184103344892634</c:v>
                </c:pt>
                <c:pt idx="885">
                  <c:v>27.184159178018959</c:v>
                </c:pt>
                <c:pt idx="886">
                  <c:v>27.184215010292672</c:v>
                </c:pt>
                <c:pt idx="887">
                  <c:v>27.184270841713793</c:v>
                </c:pt>
                <c:pt idx="888">
                  <c:v>27.184326672282339</c:v>
                </c:pt>
                <c:pt idx="889">
                  <c:v>27.184382501998293</c:v>
                </c:pt>
                <c:pt idx="890">
                  <c:v>27.184438330861685</c:v>
                </c:pt>
                <c:pt idx="891">
                  <c:v>27.184494158872539</c:v>
                </c:pt>
                <c:pt idx="892">
                  <c:v>27.184549986030827</c:v>
                </c:pt>
                <c:pt idx="893">
                  <c:v>27.184605812336606</c:v>
                </c:pt>
                <c:pt idx="894">
                  <c:v>27.184661637789841</c:v>
                </c:pt>
                <c:pt idx="895">
                  <c:v>27.184717462390573</c:v>
                </c:pt>
                <c:pt idx="896">
                  <c:v>27.18477328613881</c:v>
                </c:pt>
                <c:pt idx="897">
                  <c:v>27.184829109034538</c:v>
                </c:pt>
                <c:pt idx="898">
                  <c:v>27.184884931077786</c:v>
                </c:pt>
                <c:pt idx="899">
                  <c:v>27.184940752268549</c:v>
                </c:pt>
                <c:pt idx="900">
                  <c:v>27.184996572606856</c:v>
                </c:pt>
                <c:pt idx="901">
                  <c:v>27.185052392092718</c:v>
                </c:pt>
                <c:pt idx="902">
                  <c:v>27.185108210726128</c:v>
                </c:pt>
                <c:pt idx="903">
                  <c:v>27.185164028507106</c:v>
                </c:pt>
                <c:pt idx="904">
                  <c:v>27.185219845435654</c:v>
                </c:pt>
                <c:pt idx="905">
                  <c:v>27.185275661511792</c:v>
                </c:pt>
                <c:pt idx="906">
                  <c:v>27.18533147673552</c:v>
                </c:pt>
                <c:pt idx="907">
                  <c:v>27.185387291106871</c:v>
                </c:pt>
                <c:pt idx="908">
                  <c:v>27.185443104625818</c:v>
                </c:pt>
                <c:pt idx="909">
                  <c:v>27.185498917292389</c:v>
                </c:pt>
                <c:pt idx="910">
                  <c:v>27.18555472910661</c:v>
                </c:pt>
                <c:pt idx="911">
                  <c:v>27.185610540068467</c:v>
                </c:pt>
                <c:pt idx="912">
                  <c:v>27.185666350177993</c:v>
                </c:pt>
                <c:pt idx="913">
                  <c:v>27.185722159435162</c:v>
                </c:pt>
                <c:pt idx="914">
                  <c:v>27.185777967840018</c:v>
                </c:pt>
                <c:pt idx="915">
                  <c:v>27.185833775392556</c:v>
                </c:pt>
                <c:pt idx="916">
                  <c:v>27.185889582092791</c:v>
                </c:pt>
                <c:pt idx="917">
                  <c:v>27.185945387940727</c:v>
                </c:pt>
                <c:pt idx="918">
                  <c:v>27.186001192936381</c:v>
                </c:pt>
                <c:pt idx="919">
                  <c:v>27.186056997079763</c:v>
                </c:pt>
                <c:pt idx="920">
                  <c:v>27.186112800370889</c:v>
                </c:pt>
                <c:pt idx="921">
                  <c:v>27.186168602809747</c:v>
                </c:pt>
                <c:pt idx="922">
                  <c:v>27.18622440439637</c:v>
                </c:pt>
                <c:pt idx="923">
                  <c:v>27.186280205130739</c:v>
                </c:pt>
                <c:pt idx="924">
                  <c:v>27.18633600501289</c:v>
                </c:pt>
                <c:pt idx="925">
                  <c:v>27.186391804042849</c:v>
                </c:pt>
                <c:pt idx="926">
                  <c:v>27.186447602220568</c:v>
                </c:pt>
                <c:pt idx="927">
                  <c:v>27.186503399546112</c:v>
                </c:pt>
                <c:pt idx="928">
                  <c:v>27.186559196019466</c:v>
                </c:pt>
                <c:pt idx="929">
                  <c:v>27.186614991640635</c:v>
                </c:pt>
                <c:pt idx="930">
                  <c:v>27.186670786409636</c:v>
                </c:pt>
                <c:pt idx="931">
                  <c:v>27.1867265803265</c:v>
                </c:pt>
                <c:pt idx="932">
                  <c:v>27.1867823733912</c:v>
                </c:pt>
                <c:pt idx="933">
                  <c:v>27.186838165603785</c:v>
                </c:pt>
                <c:pt idx="934">
                  <c:v>27.186893956964234</c:v>
                </c:pt>
                <c:pt idx="935">
                  <c:v>27.186949747472557</c:v>
                </c:pt>
                <c:pt idx="936">
                  <c:v>27.187005537128798</c:v>
                </c:pt>
                <c:pt idx="937">
                  <c:v>27.187061325932927</c:v>
                </c:pt>
                <c:pt idx="938">
                  <c:v>27.187117113884963</c:v>
                </c:pt>
                <c:pt idx="939">
                  <c:v>27.187172900984944</c:v>
                </c:pt>
                <c:pt idx="940">
                  <c:v>27.187228687232849</c:v>
                </c:pt>
                <c:pt idx="941">
                  <c:v>27.187284472628694</c:v>
                </c:pt>
                <c:pt idx="942">
                  <c:v>27.187340257172497</c:v>
                </c:pt>
                <c:pt idx="943">
                  <c:v>27.187396040864261</c:v>
                </c:pt>
                <c:pt idx="944">
                  <c:v>27.187451823704006</c:v>
                </c:pt>
                <c:pt idx="945">
                  <c:v>27.187507605691732</c:v>
                </c:pt>
                <c:pt idx="946">
                  <c:v>27.187563386827442</c:v>
                </c:pt>
                <c:pt idx="947">
                  <c:v>27.187619167111169</c:v>
                </c:pt>
                <c:pt idx="948">
                  <c:v>27.187674946542895</c:v>
                </c:pt>
                <c:pt idx="949">
                  <c:v>27.187730725122666</c:v>
                </c:pt>
                <c:pt idx="950">
                  <c:v>27.187786502850457</c:v>
                </c:pt>
                <c:pt idx="951">
                  <c:v>27.187842279726294</c:v>
                </c:pt>
                <c:pt idx="952">
                  <c:v>27.187898055750175</c:v>
                </c:pt>
                <c:pt idx="953">
                  <c:v>27.187953830922133</c:v>
                </c:pt>
                <c:pt idx="954">
                  <c:v>27.188009605242147</c:v>
                </c:pt>
                <c:pt idx="955">
                  <c:v>27.188065378710252</c:v>
                </c:pt>
                <c:pt idx="956">
                  <c:v>27.188121151326452</c:v>
                </c:pt>
                <c:pt idx="957">
                  <c:v>27.188176923090754</c:v>
                </c:pt>
                <c:pt idx="958">
                  <c:v>27.188232694003183</c:v>
                </c:pt>
                <c:pt idx="959">
                  <c:v>27.188288464063714</c:v>
                </c:pt>
                <c:pt idx="960">
                  <c:v>27.188344233272382</c:v>
                </c:pt>
                <c:pt idx="961">
                  <c:v>27.188400001629205</c:v>
                </c:pt>
                <c:pt idx="962">
                  <c:v>27.188455769134176</c:v>
                </c:pt>
                <c:pt idx="963">
                  <c:v>27.188511535787303</c:v>
                </c:pt>
                <c:pt idx="964">
                  <c:v>27.188567301588613</c:v>
                </c:pt>
                <c:pt idx="965">
                  <c:v>27.188623066538096</c:v>
                </c:pt>
                <c:pt idx="966">
                  <c:v>27.188678830635784</c:v>
                </c:pt>
                <c:pt idx="967">
                  <c:v>27.188734593881662</c:v>
                </c:pt>
                <c:pt idx="968">
                  <c:v>27.18879035627576</c:v>
                </c:pt>
                <c:pt idx="969">
                  <c:v>27.188846117818077</c:v>
                </c:pt>
                <c:pt idx="970">
                  <c:v>27.188901878508634</c:v>
                </c:pt>
                <c:pt idx="971">
                  <c:v>27.188957638347421</c:v>
                </c:pt>
                <c:pt idx="972">
                  <c:v>27.189013397334474</c:v>
                </c:pt>
                <c:pt idx="973">
                  <c:v>27.189069155469781</c:v>
                </c:pt>
                <c:pt idx="974">
                  <c:v>27.189124912753357</c:v>
                </c:pt>
                <c:pt idx="975">
                  <c:v>27.189180669185216</c:v>
                </c:pt>
                <c:pt idx="976">
                  <c:v>27.189236424765372</c:v>
                </c:pt>
                <c:pt idx="977">
                  <c:v>27.189292179493822</c:v>
                </c:pt>
                <c:pt idx="978">
                  <c:v>27.189347933370591</c:v>
                </c:pt>
                <c:pt idx="979">
                  <c:v>27.189403686395689</c:v>
                </c:pt>
                <c:pt idx="980">
                  <c:v>27.189459438569106</c:v>
                </c:pt>
                <c:pt idx="981">
                  <c:v>27.189515189890887</c:v>
                </c:pt>
                <c:pt idx="982">
                  <c:v>27.189570940361001</c:v>
                </c:pt>
                <c:pt idx="983">
                  <c:v>27.189626689979466</c:v>
                </c:pt>
                <c:pt idx="984">
                  <c:v>27.189682438746321</c:v>
                </c:pt>
                <c:pt idx="985">
                  <c:v>27.189738186661558</c:v>
                </c:pt>
                <c:pt idx="986">
                  <c:v>27.189793933725184</c:v>
                </c:pt>
                <c:pt idx="987">
                  <c:v>27.189849679937204</c:v>
                </c:pt>
                <c:pt idx="988">
                  <c:v>27.189905425297649</c:v>
                </c:pt>
                <c:pt idx="989">
                  <c:v>27.189961169806516</c:v>
                </c:pt>
                <c:pt idx="990">
                  <c:v>27.190016913463811</c:v>
                </c:pt>
                <c:pt idx="991">
                  <c:v>27.19007265626955</c:v>
                </c:pt>
                <c:pt idx="992">
                  <c:v>27.190128398223727</c:v>
                </c:pt>
                <c:pt idx="993">
                  <c:v>27.190184139326377</c:v>
                </c:pt>
                <c:pt idx="994">
                  <c:v>27.190239879577497</c:v>
                </c:pt>
                <c:pt idx="995">
                  <c:v>27.190295618977093</c:v>
                </c:pt>
                <c:pt idx="996">
                  <c:v>27.190351357525188</c:v>
                </c:pt>
                <c:pt idx="997">
                  <c:v>27.19040709522179</c:v>
                </c:pt>
                <c:pt idx="998">
                  <c:v>27.190462832066874</c:v>
                </c:pt>
                <c:pt idx="999">
                  <c:v>27.190518568060501</c:v>
                </c:pt>
                <c:pt idx="1000">
                  <c:v>27.190574303202666</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Calculs!$I$4:$I$1004</c:f>
              <c:numCache>
                <c:formatCode>0.00</c:formatCode>
                <c:ptCount val="1001"/>
                <c:pt idx="0">
                  <c:v>153.12922149896602</c:v>
                </c:pt>
                <c:pt idx="1">
                  <c:v>153.05787944969097</c:v>
                </c:pt>
                <c:pt idx="2">
                  <c:v>153.40195117511749</c:v>
                </c:pt>
                <c:pt idx="3">
                  <c:v>153.91987170955949</c:v>
                </c:pt>
                <c:pt idx="4">
                  <c:v>154.3703257351782</c:v>
                </c:pt>
                <c:pt idx="5">
                  <c:v>154.78523396102548</c:v>
                </c:pt>
                <c:pt idx="6">
                  <c:v>155.19648680807663</c:v>
                </c:pt>
                <c:pt idx="7">
                  <c:v>155.60408738741677</c:v>
                </c:pt>
                <c:pt idx="8">
                  <c:v>156.00803889125578</c:v>
                </c:pt>
                <c:pt idx="9">
                  <c:v>156.40834459204294</c:v>
                </c:pt>
                <c:pt idx="10">
                  <c:v>156.80500784158076</c:v>
                </c:pt>
                <c:pt idx="11">
                  <c:v>157.19803207013857</c:v>
                </c:pt>
                <c:pt idx="12">
                  <c:v>157.58742078556526</c:v>
                </c:pt>
                <c:pt idx="13">
                  <c:v>157.97317757240222</c:v>
                </c:pt>
                <c:pt idx="14">
                  <c:v>158.35530609099558</c:v>
                </c:pt>
                <c:pt idx="15">
                  <c:v>158.73381007660896</c:v>
                </c:pt>
                <c:pt idx="16">
                  <c:v>159.1086933385358</c:v>
                </c:pt>
                <c:pt idx="17">
                  <c:v>159.47995975921231</c:v>
                </c:pt>
                <c:pt idx="18">
                  <c:v>159.84761329333048</c:v>
                </c:pt>
                <c:pt idx="19">
                  <c:v>160.21165796695158</c:v>
                </c:pt>
                <c:pt idx="20">
                  <c:v>160.57209787662029</c:v>
                </c:pt>
                <c:pt idx="21">
                  <c:v>160.92893718847947</c:v>
                </c:pt>
                <c:pt idx="22">
                  <c:v>161.28218013738552</c:v>
                </c:pt>
                <c:pt idx="23">
                  <c:v>161.63183102602517</c:v>
                </c:pt>
                <c:pt idx="24">
                  <c:v>161.97789422403253</c:v>
                </c:pt>
                <c:pt idx="25">
                  <c:v>162.32037416710779</c:v>
                </c:pt>
                <c:pt idx="26">
                  <c:v>162.6592753561371</c:v>
                </c:pt>
                <c:pt idx="27">
                  <c:v>162.99460235631352</c:v>
                </c:pt>
                <c:pt idx="28">
                  <c:v>163.32635979625957</c:v>
                </c:pt>
                <c:pt idx="29">
                  <c:v>163.6545523671513</c:v>
                </c:pt>
                <c:pt idx="30">
                  <c:v>163.979184821844</c:v>
                </c:pt>
                <c:pt idx="31">
                  <c:v>164.3002619739996</c:v>
                </c:pt>
                <c:pt idx="32">
                  <c:v>164.6177886972159</c:v>
                </c:pt>
                <c:pt idx="33">
                  <c:v>164.93176992415783</c:v>
                </c:pt>
                <c:pt idx="34">
                  <c:v>165.24221064569056</c:v>
                </c:pt>
                <c:pt idx="35">
                  <c:v>165.54911591001482</c:v>
                </c:pt>
                <c:pt idx="36">
                  <c:v>165.85249082180442</c:v>
                </c:pt>
                <c:pt idx="37">
                  <c:v>166.15234054134623</c:v>
                </c:pt>
                <c:pt idx="38">
                  <c:v>166.44867028368205</c:v>
                </c:pt>
                <c:pt idx="39">
                  <c:v>166.74148531775356</c:v>
                </c:pt>
                <c:pt idx="40">
                  <c:v>167.03079096554947</c:v>
                </c:pt>
                <c:pt idx="41">
                  <c:v>167.31659260125528</c:v>
                </c:pt>
                <c:pt idx="42">
                  <c:v>167.59889565040604</c:v>
                </c:pt>
                <c:pt idx="43">
                  <c:v>167.87770558904148</c:v>
                </c:pt>
                <c:pt idx="44">
                  <c:v>168.15302794286464</c:v>
                </c:pt>
                <c:pt idx="45">
                  <c:v>168.4248682864027</c:v>
                </c:pt>
                <c:pt idx="46">
                  <c:v>168.69323224217155</c:v>
                </c:pt>
                <c:pt idx="47">
                  <c:v>168.95812547984298</c:v>
                </c:pt>
                <c:pt idx="48">
                  <c:v>169.21955371541529</c:v>
                </c:pt>
                <c:pt idx="49">
                  <c:v>169.47752271038712</c:v>
                </c:pt>
                <c:pt idx="50">
                  <c:v>169.73203827093451</c:v>
                </c:pt>
                <c:pt idx="51">
                  <c:v>169.98310624709143</c:v>
                </c:pt>
                <c:pt idx="52">
                  <c:v>170.2307325319338</c:v>
                </c:pt>
                <c:pt idx="53">
                  <c:v>170.474923060767</c:v>
                </c:pt>
                <c:pt idx="54">
                  <c:v>170.71568381031685</c:v>
                </c:pt>
                <c:pt idx="55">
                  <c:v>170.95302079792438</c:v>
                </c:pt>
                <c:pt idx="56">
                  <c:v>171.18694008074434</c:v>
                </c:pt>
                <c:pt idx="57">
                  <c:v>171.41744775494732</c:v>
                </c:pt>
                <c:pt idx="58">
                  <c:v>171.64454995492579</c:v>
                </c:pt>
                <c:pt idx="59">
                  <c:v>171.86825285250413</c:v>
                </c:pt>
                <c:pt idx="60">
                  <c:v>172.08856265615239</c:v>
                </c:pt>
                <c:pt idx="61">
                  <c:v>172.30548561020404</c:v>
                </c:pt>
                <c:pt idx="62">
                  <c:v>172.51902799407813</c:v>
                </c:pt>
                <c:pt idx="63">
                  <c:v>172.72641983768702</c:v>
                </c:pt>
                <c:pt idx="64">
                  <c:v>172.92489603817714</c:v>
                </c:pt>
                <c:pt idx="65">
                  <c:v>173.11447429904143</c:v>
                </c:pt>
                <c:pt idx="66">
                  <c:v>173.2951724807462</c:v>
                </c:pt>
                <c:pt idx="67">
                  <c:v>173.46446336659631</c:v>
                </c:pt>
                <c:pt idx="68">
                  <c:v>173.61982459895023</c:v>
                </c:pt>
                <c:pt idx="69">
                  <c:v>173.75675826852728</c:v>
                </c:pt>
                <c:pt idx="70">
                  <c:v>173.87077560621927</c:v>
                </c:pt>
                <c:pt idx="71">
                  <c:v>173.96192655704823</c:v>
                </c:pt>
                <c:pt idx="72">
                  <c:v>174.03026187466901</c:v>
                </c:pt>
                <c:pt idx="73">
                  <c:v>174.07583309094116</c:v>
                </c:pt>
                <c:pt idx="74">
                  <c:v>174.09869248567469</c:v>
                </c:pt>
                <c:pt idx="75">
                  <c:v>174.0988930565585</c:v>
                </c:pt>
                <c:pt idx="76">
                  <c:v>174.07648848927988</c:v>
                </c:pt>
                <c:pt idx="77">
                  <c:v>174.03153312784355</c:v>
                </c:pt>
                <c:pt idx="78">
                  <c:v>173.96408194509803</c:v>
                </c:pt>
                <c:pt idx="79">
                  <c:v>173.87419051347675</c:v>
                </c:pt>
                <c:pt idx="80">
                  <c:v>173.7619149759615</c:v>
                </c:pt>
                <c:pt idx="81">
                  <c:v>173.6326982595676</c:v>
                </c:pt>
                <c:pt idx="82">
                  <c:v>173.4919702531372</c:v>
                </c:pt>
                <c:pt idx="83">
                  <c:v>173.33976023057849</c:v>
                </c:pt>
                <c:pt idx="84">
                  <c:v>173.17609751649587</c:v>
                </c:pt>
                <c:pt idx="85">
                  <c:v>173.00101147912244</c:v>
                </c:pt>
                <c:pt idx="86">
                  <c:v>172.81453152332804</c:v>
                </c:pt>
                <c:pt idx="87">
                  <c:v>172.61668708370374</c:v>
                </c:pt>
                <c:pt idx="88">
                  <c:v>172.40750761772196</c:v>
                </c:pt>
                <c:pt idx="89">
                  <c:v>172.1887245355388</c:v>
                </c:pt>
                <c:pt idx="90">
                  <c:v>171.96206473514366</c:v>
                </c:pt>
                <c:pt idx="91">
                  <c:v>171.72754845413473</c:v>
                </c:pt>
                <c:pt idx="92">
                  <c:v>171.485195888297</c:v>
                </c:pt>
                <c:pt idx="93">
                  <c:v>171.23545274770302</c:v>
                </c:pt>
                <c:pt idx="94">
                  <c:v>170.97876354542481</c:v>
                </c:pt>
                <c:pt idx="95">
                  <c:v>170.71514600253767</c:v>
                </c:pt>
                <c:pt idx="96">
                  <c:v>170.44461778420836</c:v>
                </c:pt>
                <c:pt idx="97">
                  <c:v>170.16889892285468</c:v>
                </c:pt>
                <c:pt idx="98">
                  <c:v>169.88970473355258</c:v>
                </c:pt>
                <c:pt idx="99">
                  <c:v>169.60704332023224</c:v>
                </c:pt>
                <c:pt idx="100">
                  <c:v>169.32092273908552</c:v>
                </c:pt>
                <c:pt idx="101">
                  <c:v>169.03135099822654</c:v>
                </c:pt>
                <c:pt idx="102">
                  <c:v>168.7383360573582</c:v>
                </c:pt>
                <c:pt idx="103">
                  <c:v>168.4418858274438</c:v>
                </c:pt>
                <c:pt idx="104">
                  <c:v>168.14200817038449</c:v>
                </c:pt>
                <c:pt idx="105">
                  <c:v>167.83871089870169</c:v>
                </c:pt>
                <c:pt idx="106">
                  <c:v>167.53200177522518</c:v>
                </c:pt>
                <c:pt idx="107">
                  <c:v>167.22188851278617</c:v>
                </c:pt>
                <c:pt idx="108">
                  <c:v>166.90837877391556</c:v>
                </c:pt>
                <c:pt idx="109">
                  <c:v>166.59360844840069</c:v>
                </c:pt>
                <c:pt idx="110">
                  <c:v>166.27970750347041</c:v>
                </c:pt>
                <c:pt idx="111">
                  <c:v>165.96667176017419</c:v>
                </c:pt>
                <c:pt idx="112">
                  <c:v>165.65449706640351</c:v>
                </c:pt>
                <c:pt idx="113">
                  <c:v>165.34317929667611</c:v>
                </c:pt>
                <c:pt idx="114">
                  <c:v>165.03271435192229</c:v>
                </c:pt>
                <c:pt idx="115">
                  <c:v>164.72309815927343</c:v>
                </c:pt>
                <c:pt idx="116">
                  <c:v>164.41432667185251</c:v>
                </c:pt>
                <c:pt idx="117">
                  <c:v>164.10639586856641</c:v>
                </c:pt>
                <c:pt idx="118">
                  <c:v>163.79930175390052</c:v>
                </c:pt>
                <c:pt idx="119">
                  <c:v>163.49304035771513</c:v>
                </c:pt>
                <c:pt idx="120">
                  <c:v>163.18760773504408</c:v>
                </c:pt>
                <c:pt idx="121">
                  <c:v>162.88299996589475</c:v>
                </c:pt>
                <c:pt idx="122">
                  <c:v>162.57921315505061</c:v>
                </c:pt>
                <c:pt idx="123">
                  <c:v>162.27624343187517</c:v>
                </c:pt>
                <c:pt idx="124">
                  <c:v>161.97408695011811</c:v>
                </c:pt>
                <c:pt idx="125">
                  <c:v>161.67273988772311</c:v>
                </c:pt>
                <c:pt idx="126">
                  <c:v>161.37219844663747</c:v>
                </c:pt>
                <c:pt idx="127">
                  <c:v>161.0724588526237</c:v>
                </c:pt>
                <c:pt idx="128">
                  <c:v>160.7735173550727</c:v>
                </c:pt>
                <c:pt idx="129">
                  <c:v>160.47537022681885</c:v>
                </c:pt>
                <c:pt idx="130">
                  <c:v>160.17801376395676</c:v>
                </c:pt>
                <c:pt idx="131">
                  <c:v>159.88144428565985</c:v>
                </c:pt>
                <c:pt idx="132">
                  <c:v>159.58565813400051</c:v>
                </c:pt>
                <c:pt idx="133">
                  <c:v>159.29065167377203</c:v>
                </c:pt>
                <c:pt idx="134">
                  <c:v>158.99642129231216</c:v>
                </c:pt>
                <c:pt idx="135">
                  <c:v>158.70296339932841</c:v>
                </c:pt>
                <c:pt idx="136">
                  <c:v>158.41027442672478</c:v>
                </c:pt>
                <c:pt idx="137">
                  <c:v>158.11835082843047</c:v>
                </c:pt>
                <c:pt idx="138">
                  <c:v>157.82718908022969</c:v>
                </c:pt>
                <c:pt idx="139">
                  <c:v>157.53678567959352</c:v>
                </c:pt>
                <c:pt idx="140">
                  <c:v>157.24713714551319</c:v>
                </c:pt>
                <c:pt idx="141">
                  <c:v>156.95824001833464</c:v>
                </c:pt>
                <c:pt idx="142">
                  <c:v>156.67009085959495</c:v>
                </c:pt>
                <c:pt idx="143">
                  <c:v>156.38268625186021</c:v>
                </c:pt>
                <c:pt idx="144">
                  <c:v>156.0960227985648</c:v>
                </c:pt>
                <c:pt idx="145">
                  <c:v>155.81009712385219</c:v>
                </c:pt>
                <c:pt idx="146">
                  <c:v>155.52490587241721</c:v>
                </c:pt>
                <c:pt idx="147">
                  <c:v>155.24044570934976</c:v>
                </c:pt>
                <c:pt idx="148">
                  <c:v>154.95671331998</c:v>
                </c:pt>
                <c:pt idx="149">
                  <c:v>154.67370540972487</c:v>
                </c:pt>
                <c:pt idx="150">
                  <c:v>154.39141870393621</c:v>
                </c:pt>
                <c:pt idx="151">
                  <c:v>154.10984994774995</c:v>
                </c:pt>
                <c:pt idx="152">
                  <c:v>153.82899590593695</c:v>
                </c:pt>
                <c:pt idx="153">
                  <c:v>153.5488533627551</c:v>
                </c:pt>
                <c:pt idx="154">
                  <c:v>153.26941912180274</c:v>
                </c:pt>
                <c:pt idx="155">
                  <c:v>152.99069000587357</c:v>
                </c:pt>
                <c:pt idx="156">
                  <c:v>152.71266285681253</c:v>
                </c:pt>
                <c:pt idx="157">
                  <c:v>152.43533453537336</c:v>
                </c:pt>
                <c:pt idx="158">
                  <c:v>152.15870192107727</c:v>
                </c:pt>
                <c:pt idx="159">
                  <c:v>151.88276191207285</c:v>
                </c:pt>
                <c:pt idx="160">
                  <c:v>151.60751142499743</c:v>
                </c:pt>
                <c:pt idx="161">
                  <c:v>151.33294739483935</c:v>
                </c:pt>
                <c:pt idx="162">
                  <c:v>151.05906677480195</c:v>
                </c:pt>
                <c:pt idx="163">
                  <c:v>150.78586653616821</c:v>
                </c:pt>
                <c:pt idx="164">
                  <c:v>150.51334366816721</c:v>
                </c:pt>
                <c:pt idx="165">
                  <c:v>150.24149517784127</c:v>
                </c:pt>
                <c:pt idx="166">
                  <c:v>149.97031808991451</c:v>
                </c:pt>
                <c:pt idx="167">
                  <c:v>149.69980944666256</c:v>
                </c:pt>
                <c:pt idx="168">
                  <c:v>149.42996630778362</c:v>
                </c:pt>
                <c:pt idx="169">
                  <c:v>149.16078575027021</c:v>
                </c:pt>
                <c:pt idx="170">
                  <c:v>148.89226486828238</c:v>
                </c:pt>
                <c:pt idx="171">
                  <c:v>148.62440077302219</c:v>
                </c:pt>
                <c:pt idx="172">
                  <c:v>148.35719059260893</c:v>
                </c:pt>
                <c:pt idx="173">
                  <c:v>148.09063147195556</c:v>
                </c:pt>
                <c:pt idx="174">
                  <c:v>147.8247205726465</c:v>
                </c:pt>
                <c:pt idx="175">
                  <c:v>147.55945507281618</c:v>
                </c:pt>
                <c:pt idx="176">
                  <c:v>147.29483216702872</c:v>
                </c:pt>
                <c:pt idx="177">
                  <c:v>147.03084906615888</c:v>
                </c:pt>
                <c:pt idx="178">
                  <c:v>146.76750299727377</c:v>
                </c:pt>
                <c:pt idx="179">
                  <c:v>146.50479120351579</c:v>
                </c:pt>
                <c:pt idx="180">
                  <c:v>146.24271094398651</c:v>
                </c:pt>
                <c:pt idx="181">
                  <c:v>145.98125949363165</c:v>
                </c:pt>
                <c:pt idx="182">
                  <c:v>145.72043414312691</c:v>
                </c:pt>
                <c:pt idx="183">
                  <c:v>145.46023219876491</c:v>
                </c:pt>
                <c:pt idx="184">
                  <c:v>145.20065098234318</c:v>
                </c:pt>
                <c:pt idx="185">
                  <c:v>144.94168783105297</c:v>
                </c:pt>
                <c:pt idx="186">
                  <c:v>144.68334009736904</c:v>
                </c:pt>
                <c:pt idx="187">
                  <c:v>144.4256051489406</c:v>
                </c:pt>
                <c:pt idx="188">
                  <c:v>144.1684803684829</c:v>
                </c:pt>
                <c:pt idx="189">
                  <c:v>143.91196315367009</c:v>
                </c:pt>
                <c:pt idx="190">
                  <c:v>143.65605091702861</c:v>
                </c:pt>
                <c:pt idx="191">
                  <c:v>143.40074108583187</c:v>
                </c:pt>
                <c:pt idx="192">
                  <c:v>143.1460311019957</c:v>
                </c:pt>
                <c:pt idx="193">
                  <c:v>142.89191842197454</c:v>
                </c:pt>
                <c:pt idx="194">
                  <c:v>142.63840051665875</c:v>
                </c:pt>
                <c:pt idx="195">
                  <c:v>142.38547487127278</c:v>
                </c:pt>
                <c:pt idx="196">
                  <c:v>142.13313898527406</c:v>
                </c:pt>
                <c:pt idx="197">
                  <c:v>141.88139037225272</c:v>
                </c:pt>
                <c:pt idx="198">
                  <c:v>141.63022655983258</c:v>
                </c:pt>
                <c:pt idx="199">
                  <c:v>141.37964508957245</c:v>
                </c:pt>
                <c:pt idx="200">
                  <c:v>141.12964351686867</c:v>
                </c:pt>
                <c:pt idx="201">
                  <c:v>138.63565325922795</c:v>
                </c:pt>
                <c:pt idx="202">
                  <c:v>136.19866023894681</c:v>
                </c:pt>
                <c:pt idx="203">
                  <c:v>133.81632357364282</c:v>
                </c:pt>
                <c:pt idx="204">
                  <c:v>131.48643005426482</c:v>
                </c:pt>
                <c:pt idx="205">
                  <c:v>129.20688560390502</c:v>
                </c:pt>
                <c:pt idx="206">
                  <c:v>126.97570742543019</c:v>
                </c:pt>
                <c:pt idx="207">
                  <c:v>124.79101677440995</c:v>
                </c:pt>
                <c:pt idx="208">
                  <c:v>122.65103230049706</c:v>
                </c:pt>
                <c:pt idx="209">
                  <c:v>120.55406390631414</c:v>
                </c:pt>
                <c:pt idx="210">
                  <c:v>118.49850707812458</c:v>
                </c:pt>
                <c:pt idx="211">
                  <c:v>116.48283764719667</c:v>
                </c:pt>
                <c:pt idx="212">
                  <c:v>114.50560694488431</c:v>
                </c:pt>
                <c:pt idx="213">
                  <c:v>112.56543731810862</c:v>
                </c:pt>
                <c:pt idx="214">
                  <c:v>110.66101797518799</c:v>
                </c:pt>
                <c:pt idx="215">
                  <c:v>108.79110113487717</c:v>
                </c:pt>
                <c:pt idx="216">
                  <c:v>106.95449845408164</c:v>
                </c:pt>
                <c:pt idx="217">
                  <c:v>105.15007771204755</c:v>
                </c:pt>
                <c:pt idx="218">
                  <c:v>103.3767597309206</c:v>
                </c:pt>
                <c:pt idx="219">
                  <c:v>101.63351551445119</c:v>
                </c:pt>
                <c:pt idx="220">
                  <c:v>99.919363588316145</c:v>
                </c:pt>
                <c:pt idx="221">
                  <c:v>98.233367527056615</c:v>
                </c:pt>
                <c:pt idx="222">
                  <c:v>96.574633654013027</c:v>
                </c:pt>
                <c:pt idx="223">
                  <c:v>94.942308901887927</c:v>
                </c:pt>
                <c:pt idx="224">
                  <c:v>93.335578822701905</c:v>
                </c:pt>
                <c:pt idx="225">
                  <c:v>91.753665736939354</c:v>
                </c:pt>
                <c:pt idx="226">
                  <c:v>90.195827012619489</c:v>
                </c:pt>
                <c:pt idx="227">
                  <c:v>88.661353465886833</c:v>
                </c:pt>
                <c:pt idx="228">
                  <c:v>87.14956787550058</c:v>
                </c:pt>
                <c:pt idx="229">
                  <c:v>85.659823604323918</c:v>
                </c:pt>
                <c:pt idx="230">
                  <c:v>84.19150332157885</c:v>
                </c:pt>
                <c:pt idx="231">
                  <c:v>82.74401782024637</c:v>
                </c:pt>
                <c:pt idx="232">
                  <c:v>81.316804924561694</c:v>
                </c:pt>
                <c:pt idx="233">
                  <c:v>79.909328483084238</c:v>
                </c:pt>
                <c:pt idx="234">
                  <c:v>78.521077443319442</c:v>
                </c:pt>
                <c:pt idx="235">
                  <c:v>77.1515650043345</c:v>
                </c:pt>
                <c:pt idx="236">
                  <c:v>75.800327844251811</c:v>
                </c:pt>
                <c:pt idx="237">
                  <c:v>74.466925419921154</c:v>
                </c:pt>
                <c:pt idx="238">
                  <c:v>73.150939336471552</c:v>
                </c:pt>
                <c:pt idx="239">
                  <c:v>71.851972784826685</c:v>
                </c:pt>
                <c:pt idx="240">
                  <c:v>70.569650045638625</c:v>
                </c:pt>
                <c:pt idx="241">
                  <c:v>69.303616058454097</c:v>
                </c:pt>
                <c:pt idx="242">
                  <c:v>68.053536055279693</c:v>
                </c:pt>
                <c:pt idx="243">
                  <c:v>66.819095258057843</c:v>
                </c:pt>
                <c:pt idx="244">
                  <c:v>65.599998639907071</c:v>
                </c:pt>
                <c:pt idx="245">
                  <c:v>64.395970750318583</c:v>
                </c:pt>
                <c:pt idx="246">
                  <c:v>63.206755604838577</c:v>
                </c:pt>
                <c:pt idx="247">
                  <c:v>62.032116640102004</c:v>
                </c:pt>
                <c:pt idx="248">
                  <c:v>60.871836735420011</c:v>
                </c:pt>
                <c:pt idx="249">
                  <c:v>59.725718302458247</c:v>
                </c:pt>
                <c:pt idx="250">
                  <c:v>58.5935834448779</c:v>
                </c:pt>
                <c:pt idx="251">
                  <c:v>57.475274190141938</c:v>
                </c:pt>
                <c:pt idx="252">
                  <c:v>56.3706527960138</c:v>
                </c:pt>
                <c:pt idx="253">
                  <c:v>55.279602134590419</c:v>
                </c:pt>
                <c:pt idx="254">
                  <c:v>54.202026157009996</c:v>
                </c:pt>
                <c:pt idx="255">
                  <c:v>53.137850442249416</c:v>
                </c:pt>
                <c:pt idx="256">
                  <c:v>52.08702283366646</c:v>
                </c:pt>
                <c:pt idx="257">
                  <c:v>51.049514167134618</c:v>
                </c:pt>
                <c:pt idx="258">
                  <c:v>50.0253190947452</c:v>
                </c:pt>
                <c:pt idx="259">
                  <c:v>49.014457008091867</c:v>
                </c:pt>
                <c:pt idx="260">
                  <c:v>48.016973065078034</c:v>
                </c:pt>
                <c:pt idx="261">
                  <c:v>47.032939323963951</c:v>
                </c:pt>
                <c:pt idx="262">
                  <c:v>46.062455987955289</c:v>
                </c:pt>
                <c:pt idx="263">
                  <c:v>45.105652762976725</c:v>
                </c:pt>
                <c:pt idx="264">
                  <c:v>44.162690330309125</c:v>
                </c:pt>
                <c:pt idx="265">
                  <c:v>43.23376193442256</c:v>
                </c:pt>
                <c:pt idx="266">
                  <c:v>42.319095084518153</c:v>
                </c:pt>
                <c:pt idx="267">
                  <c:v>41.418953365894573</c:v>
                </c:pt>
                <c:pt idx="268">
                  <c:v>40.533638354156125</c:v>
                </c:pt>
                <c:pt idx="269">
                  <c:v>39.663491621338231</c:v>
                </c:pt>
                <c:pt idx="270">
                  <c:v>38.808896818084968</c:v>
                </c:pt>
                <c:pt idx="271">
                  <c:v>37.970281809900939</c:v>
                </c:pt>
                <c:pt idx="272">
                  <c:v>37.148120838034124</c:v>
                </c:pt>
                <c:pt idx="273">
                  <c:v>36.342936666547629</c:v>
                </c:pt>
                <c:pt idx="274">
                  <c:v>35.55530266643855</c:v>
                </c:pt>
                <c:pt idx="275">
                  <c:v>34.785844775128616</c:v>
                </c:pt>
                <c:pt idx="276">
                  <c:v>34.035243255216002</c:v>
                </c:pt>
                <c:pt idx="277">
                  <c:v>33.304234160073754</c:v>
                </c:pt>
                <c:pt idx="278">
                  <c:v>32.593610395897009</c:v>
                </c:pt>
                <c:pt idx="279">
                  <c:v>31.904222250542901</c:v>
                </c:pt>
                <c:pt idx="280">
                  <c:v>31.236977239670093</c:v>
                </c:pt>
                <c:pt idx="281">
                  <c:v>30.592839101336406</c:v>
                </c:pt>
                <c:pt idx="282">
                  <c:v>29.972825752871227</c:v>
                </c:pt>
                <c:pt idx="283">
                  <c:v>29.378006010538734</c:v>
                </c:pt>
                <c:pt idx="284">
                  <c:v>28.809494865829937</c:v>
                </c:pt>
                <c:pt idx="285">
                  <c:v>28.268447115260699</c:v>
                </c:pt>
                <c:pt idx="286">
                  <c:v>27.756049156794639</c:v>
                </c:pt>
                <c:pt idx="287">
                  <c:v>27.273508799066992</c:v>
                </c:pt>
                <c:pt idx="288">
                  <c:v>26.822042982788975</c:v>
                </c:pt>
                <c:pt idx="289">
                  <c:v>26.402863389518686</c:v>
                </c:pt>
                <c:pt idx="290">
                  <c:v>26.017160012245686</c:v>
                </c:pt>
                <c:pt idx="291">
                  <c:v>25.666082883387244</c:v>
                </c:pt>
                <c:pt idx="292">
                  <c:v>25.350722294101331</c:v>
                </c:pt>
                <c:pt idx="293">
                  <c:v>25.072087985881478</c:v>
                </c:pt>
                <c:pt idx="294">
                  <c:v>24.831087939114653</c:v>
                </c:pt>
                <c:pt idx="295">
                  <c:v>24.628507508534014</c:v>
                </c:pt>
                <c:pt idx="296">
                  <c:v>24.464989745619395</c:v>
                </c:pt>
                <c:pt idx="297">
                  <c:v>24.341017787035085</c:v>
                </c:pt>
                <c:pt idx="298">
                  <c:v>24.25690016364392</c:v>
                </c:pt>
                <c:pt idx="299">
                  <c:v>24.212759790186254</c:v>
                </c:pt>
                <c:pt idx="300">
                  <c:v>24.208527233324631</c:v>
                </c:pt>
                <c:pt idx="301">
                  <c:v>24.243938636488409</c:v>
                </c:pt>
                <c:pt idx="302">
                  <c:v>24.318538423110766</c:v>
                </c:pt>
                <c:pt idx="303">
                  <c:v>24.431686630467919</c:v>
                </c:pt>
                <c:pt idx="304">
                  <c:v>24.582570471418851</c:v>
                </c:pt>
                <c:pt idx="305">
                  <c:v>24.770219505706194</c:v>
                </c:pt>
                <c:pt idx="306">
                  <c:v>24.993523644995026</c:v>
                </c:pt>
                <c:pt idx="307">
                  <c:v>25.251253127012419</c:v>
                </c:pt>
                <c:pt idx="308">
                  <c:v>25.542079575392805</c:v>
                </c:pt>
                <c:pt idx="309">
                  <c:v>25.864597306291838</c:v>
                </c:pt>
                <c:pt idx="310">
                  <c:v>26.217344137587489</c:v>
                </c:pt>
                <c:pt idx="311">
                  <c:v>26.598821085319155</c:v>
                </c:pt>
                <c:pt idx="312">
                  <c:v>27.007510478147367</c:v>
                </c:pt>
                <c:pt idx="313">
                  <c:v>27.441892168952212</c:v>
                </c:pt>
                <c:pt idx="314">
                  <c:v>27.900457661259768</c:v>
                </c:pt>
                <c:pt idx="315">
                  <c:v>28.381722088783892</c:v>
                </c:pt>
                <c:pt idx="316">
                  <c:v>28.884234084482689</c:v>
                </c:pt>
                <c:pt idx="317">
                  <c:v>29.406583649807999</c:v>
                </c:pt>
                <c:pt idx="318">
                  <c:v>29.947408186315371</c:v>
                </c:pt>
                <c:pt idx="319">
                  <c:v>30.505396883114578</c:v>
                </c:pt>
                <c:pt idx="320">
                  <c:v>31.079293668220419</c:v>
                </c:pt>
                <c:pt idx="321">
                  <c:v>31.667898933400945</c:v>
                </c:pt>
                <c:pt idx="322">
                  <c:v>32.270070234140803</c:v>
                </c:pt>
                <c:pt idx="323">
                  <c:v>32.88472215195295</c:v>
                </c:pt>
                <c:pt idx="324">
                  <c:v>33.510825488059737</c:v>
                </c:pt>
                <c:pt idx="325">
                  <c:v>34.147405937442912</c:v>
                </c:pt>
                <c:pt idx="326">
                  <c:v>34.793542371926016</c:v>
                </c:pt>
                <c:pt idx="327">
                  <c:v>35.4483648413431</c:v>
                </c:pt>
                <c:pt idx="328">
                  <c:v>36.111052383633371</c:v>
                </c:pt>
                <c:pt idx="329">
                  <c:v>36.780830718262628</c:v>
                </c:pt>
                <c:pt idx="330">
                  <c:v>37.456969882874702</c:v>
                </c:pt>
                <c:pt idx="331">
                  <c:v>38.138781860534962</c:v>
                </c:pt>
                <c:pt idx="332">
                  <c:v>38.825618234257988</c:v>
                </c:pt>
                <c:pt idx="333">
                  <c:v>39.51686789656771</c:v>
                </c:pt>
                <c:pt idx="334">
                  <c:v>40.211954834443134</c:v>
                </c:pt>
                <c:pt idx="335">
                  <c:v>40.910336003967053</c:v>
                </c:pt>
                <c:pt idx="336">
                  <c:v>41.611499304132991</c:v>
                </c:pt>
                <c:pt idx="337">
                  <c:v>42.314961655400005</c:v>
                </c:pt>
                <c:pt idx="338">
                  <c:v>43.020267185556065</c:v>
                </c:pt>
                <c:pt idx="339">
                  <c:v>43.726985523115836</c:v>
                </c:pt>
                <c:pt idx="340">
                  <c:v>44.434710196712771</c:v>
                </c:pt>
                <c:pt idx="341">
                  <c:v>45.143057137642494</c:v>
                </c:pt>
                <c:pt idx="342">
                  <c:v>45.851663281783161</c:v>
                </c:pt>
                <c:pt idx="343">
                  <c:v>46.56018526648392</c:v>
                </c:pt>
                <c:pt idx="344">
                  <c:v>47.268298217610841</c:v>
                </c:pt>
                <c:pt idx="345">
                  <c:v>47.975694621720145</c:v>
                </c:pt>
                <c:pt idx="346">
                  <c:v>48.682083278248101</c:v>
                </c:pt>
                <c:pt idx="347">
                  <c:v>49.387188326632469</c:v>
                </c:pt>
                <c:pt idx="348">
                  <c:v>50.090748343383069</c:v>
                </c:pt>
                <c:pt idx="349">
                  <c:v>50.792515504278995</c:v>
                </c:pt>
                <c:pt idx="350">
                  <c:v>51.492254807068186</c:v>
                </c:pt>
                <c:pt idx="351">
                  <c:v>52.18974335026909</c:v>
                </c:pt>
                <c:pt idx="352">
                  <c:v>52.88476966391336</c:v>
                </c:pt>
                <c:pt idx="353">
                  <c:v>53.577133088314348</c:v>
                </c:pt>
                <c:pt idx="354">
                  <c:v>54.266643197193659</c:v>
                </c:pt>
                <c:pt idx="355">
                  <c:v>54.95311926174135</c:v>
                </c:pt>
                <c:pt idx="356">
                  <c:v>55.636389752422524</c:v>
                </c:pt>
                <c:pt idx="357">
                  <c:v>56.316291875570919</c:v>
                </c:pt>
                <c:pt idx="358">
                  <c:v>56.992671142027461</c:v>
                </c:pt>
                <c:pt idx="359">
                  <c:v>57.665380965287831</c:v>
                </c:pt>
                <c:pt idx="360">
                  <c:v>58.334282286816951</c:v>
                </c:pt>
                <c:pt idx="361">
                  <c:v>58.99924322637046</c:v>
                </c:pt>
                <c:pt idx="362">
                  <c:v>59.660138755332852</c:v>
                </c:pt>
                <c:pt idx="363">
                  <c:v>60.316850391240521</c:v>
                </c:pt>
                <c:pt idx="364">
                  <c:v>60.969265911804591</c:v>
                </c:pt>
                <c:pt idx="365">
                  <c:v>61.617279086884821</c:v>
                </c:pt>
                <c:pt idx="366">
                  <c:v>62.260789426991479</c:v>
                </c:pt>
                <c:pt idx="367">
                  <c:v>62.899701947008708</c:v>
                </c:pt>
                <c:pt idx="368">
                  <c:v>63.533926943939626</c:v>
                </c:pt>
                <c:pt idx="369">
                  <c:v>64.163379787572623</c:v>
                </c:pt>
                <c:pt idx="370">
                  <c:v>64.787980723058837</c:v>
                </c:pt>
                <c:pt idx="371">
                  <c:v>65.407654684474409</c:v>
                </c:pt>
                <c:pt idx="372">
                  <c:v>66.022331118517968</c:v>
                </c:pt>
                <c:pt idx="373">
                  <c:v>66.631943817564348</c:v>
                </c:pt>
                <c:pt idx="374">
                  <c:v>67.236430761359884</c:v>
                </c:pt>
                <c:pt idx="375">
                  <c:v>67.835733966704623</c:v>
                </c:pt>
                <c:pt idx="376">
                  <c:v>68.429799344520774</c:v>
                </c:pt>
                <c:pt idx="377">
                  <c:v>69.018576563756852</c:v>
                </c:pt>
                <c:pt idx="378">
                  <c:v>69.602018921623142</c:v>
                </c:pt>
                <c:pt idx="379">
                  <c:v>70.180083219695447</c:v>
                </c:pt>
                <c:pt idx="380">
                  <c:v>70.752729645463347</c:v>
                </c:pt>
                <c:pt idx="381">
                  <c:v>71.319921658933964</c:v>
                </c:pt>
                <c:pt idx="382">
                  <c:v>71.881625883935143</c:v>
                </c:pt>
                <c:pt idx="383">
                  <c:v>72.437812003790938</c:v>
                </c:pt>
                <c:pt idx="384">
                  <c:v>72.988452661070383</c:v>
                </c:pt>
                <c:pt idx="385">
                  <c:v>73.533523361134783</c:v>
                </c:pt>
                <c:pt idx="386">
                  <c:v>74.073002379231809</c:v>
                </c:pt>
                <c:pt idx="387">
                  <c:v>74.606870670905991</c:v>
                </c:pt>
                <c:pt idx="388">
                  <c:v>75.135111785513871</c:v>
                </c:pt>
                <c:pt idx="389">
                  <c:v>75.657711782650125</c:v>
                </c:pt>
                <c:pt idx="390">
                  <c:v>76.174659151306813</c:v>
                </c:pt>
                <c:pt idx="391">
                  <c:v>76.685944731603115</c:v>
                </c:pt>
                <c:pt idx="392">
                  <c:v>77.191561638935681</c:v>
                </c:pt>
                <c:pt idx="393">
                  <c:v>77.691505190413309</c:v>
                </c:pt>
                <c:pt idx="394">
                  <c:v>78.18577283344986</c:v>
                </c:pt>
                <c:pt idx="395">
                  <c:v>78.674364076400494</c:v>
                </c:pt>
                <c:pt idx="396">
                  <c:v>79.15728042113571</c:v>
                </c:pt>
                <c:pt idx="397">
                  <c:v>79.634525297456165</c:v>
                </c:pt>
                <c:pt idx="398">
                  <c:v>80.106103999259588</c:v>
                </c:pt>
                <c:pt idx="399">
                  <c:v>80.572023622378182</c:v>
                </c:pt>
                <c:pt idx="400">
                  <c:v>81.032293004011677</c:v>
                </c:pt>
                <c:pt idx="401">
                  <c:v>81.486922663687466</c:v>
                </c:pt>
                <c:pt idx="402">
                  <c:v>81.935924745684503</c:v>
                </c:pt>
                <c:pt idx="403">
                  <c:v>82.379312962863239</c:v>
                </c:pt>
                <c:pt idx="404">
                  <c:v>82.817102541848058</c:v>
                </c:pt>
                <c:pt idx="405">
                  <c:v>83.249310169513365</c:v>
                </c:pt>
                <c:pt idx="406">
                  <c:v>83.675953940727936</c:v>
                </c:pt>
                <c:pt idx="407">
                  <c:v>84.097053307316273</c:v>
                </c:pt>
                <c:pt idx="408">
                  <c:v>84.512629028198091</c:v>
                </c:pt>
                <c:pt idx="409">
                  <c:v>84.922703120671073</c:v>
                </c:pt>
                <c:pt idx="410">
                  <c:v>85.327298812803534</c:v>
                </c:pt>
                <c:pt idx="411">
                  <c:v>85.726440496907244</c:v>
                </c:pt>
                <c:pt idx="412">
                  <c:v>86.120153684061663</c:v>
                </c:pt>
                <c:pt idx="413">
                  <c:v>86.508464959664039</c:v>
                </c:pt>
                <c:pt idx="414">
                  <c:v>86.891401939980625</c:v>
                </c:pt>
                <c:pt idx="415">
                  <c:v>87.268993229676454</c:v>
                </c:pt>
                <c:pt idx="416">
                  <c:v>87.641268380302549</c:v>
                </c:pt>
                <c:pt idx="417">
                  <c:v>88.008257849720621</c:v>
                </c:pt>
                <c:pt idx="418">
                  <c:v>88.369992962446474</c:v>
                </c:pt>
                <c:pt idx="419">
                  <c:v>88.726505870894798</c:v>
                </c:pt>
                <c:pt idx="420">
                  <c:v>89.077829517508349</c:v>
                </c:pt>
                <c:pt idx="421">
                  <c:v>89.423997597756127</c:v>
                </c:pt>
                <c:pt idx="422">
                  <c:v>89.765044523985352</c:v>
                </c:pt>
                <c:pt idx="423">
                  <c:v>90.101005390112988</c:v>
                </c:pt>
                <c:pt idx="424">
                  <c:v>90.431915937143231</c:v>
                </c:pt>
                <c:pt idx="425">
                  <c:v>90.757812519497634</c:v>
                </c:pt>
                <c:pt idx="426">
                  <c:v>91.078732072145556</c:v>
                </c:pt>
                <c:pt idx="427">
                  <c:v>91.394712078522417</c:v>
                </c:pt>
                <c:pt idx="428">
                  <c:v>91.705790539224026</c:v>
                </c:pt>
                <c:pt idx="429">
                  <c:v>92.012005941465659</c:v>
                </c:pt>
                <c:pt idx="430">
                  <c:v>92.313397229294281</c:v>
                </c:pt>
                <c:pt idx="431">
                  <c:v>92.610003774543387</c:v>
                </c:pt>
                <c:pt idx="432">
                  <c:v>92.901865348519365</c:v>
                </c:pt>
                <c:pt idx="433">
                  <c:v>93.189022094409125</c:v>
                </c:pt>
                <c:pt idx="434">
                  <c:v>93.471514500398186</c:v>
                </c:pt>
                <c:pt idx="435">
                  <c:v>93.74938337348955</c:v>
                </c:pt>
                <c:pt idx="436">
                  <c:v>94.022669814012559</c:v>
                </c:pt>
                <c:pt idx="437">
                  <c:v>94.291415190812273</c:v>
                </c:pt>
                <c:pt idx="438">
                  <c:v>94.555661117109011</c:v>
                </c:pt>
                <c:pt idx="439">
                  <c:v>94.815449427018393</c:v>
                </c:pt>
                <c:pt idx="440">
                  <c:v>95.070822152721945</c:v>
                </c:pt>
                <c:pt idx="441">
                  <c:v>95.321821502278453</c:v>
                </c:pt>
                <c:pt idx="442">
                  <c:v>95.568489838066441</c:v>
                </c:pt>
                <c:pt idx="443">
                  <c:v>95.81086965584808</c:v>
                </c:pt>
                <c:pt idx="444">
                  <c:v>96.049003564444561</c:v>
                </c:pt>
                <c:pt idx="445">
                  <c:v>96.28293426601364</c:v>
                </c:pt>
                <c:pt idx="446">
                  <c:v>96.512704536919387</c:v>
                </c:pt>
                <c:pt idx="447">
                  <c:v>96.738357209184954</c:v>
                </c:pt>
                <c:pt idx="448">
                  <c:v>96.959935152518042</c:v>
                </c:pt>
                <c:pt idx="449">
                  <c:v>97.177481256900364</c:v>
                </c:pt>
                <c:pt idx="450">
                  <c:v>97.391038415730662</c:v>
                </c:pt>
                <c:pt idx="451">
                  <c:v>97.60064950951238</c:v>
                </c:pt>
                <c:pt idx="452">
                  <c:v>97.806357390076002</c:v>
                </c:pt>
                <c:pt idx="453">
                  <c:v>98.008204865326888</c:v>
                </c:pt>
                <c:pt idx="454">
                  <c:v>98.206234684508686</c:v>
                </c:pt>
                <c:pt idx="455">
                  <c:v>98.400489523973278</c:v>
                </c:pt>
                <c:pt idx="456">
                  <c:v>98.591011973447451</c:v>
                </c:pt>
                <c:pt idx="457">
                  <c:v>98.777844522787092</c:v>
                </c:pt>
                <c:pt idx="458">
                  <c:v>98.961029549209286</c:v>
                </c:pt>
                <c:pt idx="459">
                  <c:v>99.140609304993333</c:v>
                </c:pt>
                <c:pt idx="460">
                  <c:v>99.316625905640805</c:v>
                </c:pt>
                <c:pt idx="461">
                  <c:v>99.489121318485928</c:v>
                </c:pt>
                <c:pt idx="462">
                  <c:v>99.658137351746674</c:v>
                </c:pt>
                <c:pt idx="463">
                  <c:v>99.823715644007493</c:v>
                </c:pt>
                <c:pt idx="464">
                  <c:v>99.985897654124713</c:v>
                </c:pt>
                <c:pt idx="465">
                  <c:v>100.14472465154518</c:v>
                </c:pt>
                <c:pt idx="466">
                  <c:v>100.3002377070295</c:v>
                </c:pt>
                <c:pt idx="467">
                  <c:v>100.4524776837706</c:v>
                </c:pt>
                <c:pt idx="468">
                  <c:v>100.60148522889916</c:v>
                </c:pt>
                <c:pt idx="469">
                  <c:v>100.74730076536656</c:v>
                </c:pt>
                <c:pt idx="470">
                  <c:v>100.88996448419697</c:v>
                </c:pt>
                <c:pt idx="471">
                  <c:v>101.02951633710006</c:v>
                </c:pt>
                <c:pt idx="472">
                  <c:v>101.16599602943519</c:v>
                </c:pt>
                <c:pt idx="473">
                  <c:v>101.29944301351925</c:v>
                </c:pt>
                <c:pt idx="474">
                  <c:v>101.4298964822693</c:v>
                </c:pt>
                <c:pt idx="475">
                  <c:v>101.55739536317192</c:v>
                </c:pt>
                <c:pt idx="476">
                  <c:v>101.68197831257081</c:v>
                </c:pt>
                <c:pt idx="477">
                  <c:v>101.80368371026492</c:v>
                </c:pt>
                <c:pt idx="478">
                  <c:v>101.9225496544088</c:v>
                </c:pt>
                <c:pt idx="479">
                  <c:v>102.03861395670705</c:v>
                </c:pt>
                <c:pt idx="480">
                  <c:v>102.15191413789569</c:v>
                </c:pt>
                <c:pt idx="481">
                  <c:v>102.26248742350202</c:v>
                </c:pt>
                <c:pt idx="482">
                  <c:v>102.37037073987587</c:v>
                </c:pt>
                <c:pt idx="483">
                  <c:v>102.47560071048447</c:v>
                </c:pt>
                <c:pt idx="484">
                  <c:v>102.57821365246365</c:v>
                </c:pt>
                <c:pt idx="485">
                  <c:v>102.67824557341804</c:v>
                </c:pt>
                <c:pt idx="486">
                  <c:v>102.77573216846321</c:v>
                </c:pt>
                <c:pt idx="487">
                  <c:v>102.87070881750245</c:v>
                </c:pt>
                <c:pt idx="488">
                  <c:v>102.96321058273158</c:v>
                </c:pt>
                <c:pt idx="489">
                  <c:v>103.0532722063647</c:v>
                </c:pt>
                <c:pt idx="490">
                  <c:v>103.14092810857423</c:v>
                </c:pt>
                <c:pt idx="491">
                  <c:v>103.22621238563883</c:v>
                </c:pt>
                <c:pt idx="492">
                  <c:v>103.30915880829228</c:v>
                </c:pt>
                <c:pt idx="493">
                  <c:v>103.38980082026758</c:v>
                </c:pt>
                <c:pt idx="494">
                  <c:v>103.46817153702952</c:v>
                </c:pt>
                <c:pt idx="495">
                  <c:v>103.54430374468967</c:v>
                </c:pt>
                <c:pt idx="496">
                  <c:v>103.61822989909813</c:v>
                </c:pt>
                <c:pt idx="497">
                  <c:v>103.68998212510567</c:v>
                </c:pt>
                <c:pt idx="498">
                  <c:v>103.75959221599086</c:v>
                </c:pt>
                <c:pt idx="499">
                  <c:v>103.82709163304634</c:v>
                </c:pt>
                <c:pt idx="500">
                  <c:v>103.89251150531864</c:v>
                </c:pt>
                <c:pt idx="501">
                  <c:v>103.95588262949649</c:v>
                </c:pt>
                <c:pt idx="502">
                  <c:v>104.01723546994172</c:v>
                </c:pt>
                <c:pt idx="503">
                  <c:v>104.07660015885821</c:v>
                </c:pt>
                <c:pt idx="504">
                  <c:v>104.13400649659312</c:v>
                </c:pt>
                <c:pt idx="505">
                  <c:v>104.18948395206613</c:v>
                </c:pt>
                <c:pt idx="506">
                  <c:v>104.18953750749638</c:v>
                </c:pt>
                <c:pt idx="507">
                  <c:v>104.18959106105875</c:v>
                </c:pt>
                <c:pt idx="508">
                  <c:v>104.18964461275327</c:v>
                </c:pt>
                <c:pt idx="509">
                  <c:v>104.18969816257997</c:v>
                </c:pt>
                <c:pt idx="510">
                  <c:v>104.18975171053887</c:v>
                </c:pt>
                <c:pt idx="511">
                  <c:v>104.18980525663001</c:v>
                </c:pt>
                <c:pt idx="512">
                  <c:v>104.18985880085341</c:v>
                </c:pt>
                <c:pt idx="513">
                  <c:v>104.1899123432091</c:v>
                </c:pt>
                <c:pt idx="514">
                  <c:v>104.18996588369711</c:v>
                </c:pt>
                <c:pt idx="515">
                  <c:v>104.19001942231748</c:v>
                </c:pt>
                <c:pt idx="516">
                  <c:v>104.19007295907021</c:v>
                </c:pt>
                <c:pt idx="517">
                  <c:v>104.19012649395535</c:v>
                </c:pt>
                <c:pt idx="518">
                  <c:v>104.1901800269729</c:v>
                </c:pt>
                <c:pt idx="519">
                  <c:v>104.19023355812293</c:v>
                </c:pt>
                <c:pt idx="520">
                  <c:v>104.19028708740545</c:v>
                </c:pt>
                <c:pt idx="521">
                  <c:v>104.1903406148205</c:v>
                </c:pt>
                <c:pt idx="522">
                  <c:v>104.19039414036807</c:v>
                </c:pt>
                <c:pt idx="523">
                  <c:v>104.19044766404822</c:v>
                </c:pt>
                <c:pt idx="524">
                  <c:v>104.19050118586097</c:v>
                </c:pt>
                <c:pt idx="525">
                  <c:v>104.19055470580636</c:v>
                </c:pt>
                <c:pt idx="526">
                  <c:v>104.19060822388441</c:v>
                </c:pt>
                <c:pt idx="527">
                  <c:v>104.19066174009514</c:v>
                </c:pt>
                <c:pt idx="528">
                  <c:v>104.19071525443859</c:v>
                </c:pt>
                <c:pt idx="529">
                  <c:v>104.19076876691477</c:v>
                </c:pt>
                <c:pt idx="530">
                  <c:v>104.19082227752372</c:v>
                </c:pt>
                <c:pt idx="531">
                  <c:v>104.19087578626548</c:v>
                </c:pt>
                <c:pt idx="532">
                  <c:v>104.19092929314007</c:v>
                </c:pt>
                <c:pt idx="533">
                  <c:v>104.19098279814753</c:v>
                </c:pt>
                <c:pt idx="534">
                  <c:v>104.19103630128784</c:v>
                </c:pt>
                <c:pt idx="535">
                  <c:v>104.19108980256108</c:v>
                </c:pt>
                <c:pt idx="536">
                  <c:v>104.19114330196727</c:v>
                </c:pt>
                <c:pt idx="537">
                  <c:v>104.19119679950643</c:v>
                </c:pt>
                <c:pt idx="538">
                  <c:v>104.19125029517858</c:v>
                </c:pt>
                <c:pt idx="539">
                  <c:v>104.19130378898375</c:v>
                </c:pt>
                <c:pt idx="540">
                  <c:v>104.19135728092198</c:v>
                </c:pt>
                <c:pt idx="541">
                  <c:v>104.1914107709933</c:v>
                </c:pt>
                <c:pt idx="542">
                  <c:v>104.19146425919772</c:v>
                </c:pt>
                <c:pt idx="543">
                  <c:v>104.19151774553529</c:v>
                </c:pt>
                <c:pt idx="544">
                  <c:v>104.19157123000601</c:v>
                </c:pt>
                <c:pt idx="545">
                  <c:v>104.19162471260994</c:v>
                </c:pt>
                <c:pt idx="546">
                  <c:v>104.19167819334709</c:v>
                </c:pt>
                <c:pt idx="547">
                  <c:v>104.1917316722175</c:v>
                </c:pt>
                <c:pt idx="548">
                  <c:v>104.19178514922118</c:v>
                </c:pt>
                <c:pt idx="549">
                  <c:v>104.19183862435817</c:v>
                </c:pt>
                <c:pt idx="550">
                  <c:v>104.1918920976285</c:v>
                </c:pt>
                <c:pt idx="551">
                  <c:v>104.1919455690322</c:v>
                </c:pt>
                <c:pt idx="552">
                  <c:v>104.19199903856929</c:v>
                </c:pt>
                <c:pt idx="553">
                  <c:v>104.1920525062398</c:v>
                </c:pt>
                <c:pt idx="554">
                  <c:v>104.19210597204375</c:v>
                </c:pt>
                <c:pt idx="555">
                  <c:v>104.19215943598121</c:v>
                </c:pt>
                <c:pt idx="556">
                  <c:v>104.19221289805215</c:v>
                </c:pt>
                <c:pt idx="557">
                  <c:v>104.19226635825665</c:v>
                </c:pt>
                <c:pt idx="558">
                  <c:v>104.19231981659469</c:v>
                </c:pt>
                <c:pt idx="559">
                  <c:v>104.19237327306632</c:v>
                </c:pt>
                <c:pt idx="560">
                  <c:v>104.19242672767159</c:v>
                </c:pt>
                <c:pt idx="561">
                  <c:v>104.19248018041048</c:v>
                </c:pt>
                <c:pt idx="562">
                  <c:v>104.19253363128308</c:v>
                </c:pt>
                <c:pt idx="563">
                  <c:v>104.19258708028937</c:v>
                </c:pt>
                <c:pt idx="564">
                  <c:v>104.19264052742939</c:v>
                </c:pt>
                <c:pt idx="565">
                  <c:v>104.19269397270317</c:v>
                </c:pt>
                <c:pt idx="566">
                  <c:v>104.19274741611076</c:v>
                </c:pt>
                <c:pt idx="567">
                  <c:v>104.19280085765214</c:v>
                </c:pt>
                <c:pt idx="568">
                  <c:v>104.19285429732739</c:v>
                </c:pt>
                <c:pt idx="569">
                  <c:v>104.1929077351365</c:v>
                </c:pt>
                <c:pt idx="570">
                  <c:v>104.19296117107952</c:v>
                </c:pt>
                <c:pt idx="571">
                  <c:v>104.19301460515646</c:v>
                </c:pt>
                <c:pt idx="572">
                  <c:v>104.19306803736738</c:v>
                </c:pt>
                <c:pt idx="573">
                  <c:v>104.19312146771229</c:v>
                </c:pt>
                <c:pt idx="574">
                  <c:v>104.19317489619119</c:v>
                </c:pt>
                <c:pt idx="575">
                  <c:v>104.19322832280416</c:v>
                </c:pt>
                <c:pt idx="576">
                  <c:v>104.19328174755118</c:v>
                </c:pt>
                <c:pt idx="577">
                  <c:v>104.19333517043232</c:v>
                </c:pt>
                <c:pt idx="578">
                  <c:v>104.19338859144759</c:v>
                </c:pt>
                <c:pt idx="579">
                  <c:v>104.19344201059701</c:v>
                </c:pt>
                <c:pt idx="580">
                  <c:v>104.19349542788061</c:v>
                </c:pt>
                <c:pt idx="581">
                  <c:v>104.19354884329843</c:v>
                </c:pt>
                <c:pt idx="582">
                  <c:v>104.19360225685048</c:v>
                </c:pt>
                <c:pt idx="583">
                  <c:v>104.19365566853682</c:v>
                </c:pt>
                <c:pt idx="584">
                  <c:v>104.19370907835746</c:v>
                </c:pt>
                <c:pt idx="585">
                  <c:v>104.19376248631242</c:v>
                </c:pt>
                <c:pt idx="586">
                  <c:v>104.19381589240173</c:v>
                </c:pt>
                <c:pt idx="587">
                  <c:v>104.19386929662542</c:v>
                </c:pt>
                <c:pt idx="588">
                  <c:v>104.19392269898354</c:v>
                </c:pt>
                <c:pt idx="589">
                  <c:v>104.1939760994761</c:v>
                </c:pt>
                <c:pt idx="590">
                  <c:v>104.19402949810313</c:v>
                </c:pt>
                <c:pt idx="591">
                  <c:v>104.19408289486464</c:v>
                </c:pt>
                <c:pt idx="592">
                  <c:v>104.19413628976068</c:v>
                </c:pt>
                <c:pt idx="593">
                  <c:v>104.19418968279128</c:v>
                </c:pt>
                <c:pt idx="594">
                  <c:v>104.19424307395647</c:v>
                </c:pt>
                <c:pt idx="595">
                  <c:v>104.19429646325625</c:v>
                </c:pt>
                <c:pt idx="596">
                  <c:v>104.19434985069068</c:v>
                </c:pt>
                <c:pt idx="597">
                  <c:v>104.19440323625977</c:v>
                </c:pt>
                <c:pt idx="598">
                  <c:v>104.19445661996356</c:v>
                </c:pt>
                <c:pt idx="599">
                  <c:v>104.19451000180207</c:v>
                </c:pt>
                <c:pt idx="600">
                  <c:v>104.19456338177534</c:v>
                </c:pt>
                <c:pt idx="601">
                  <c:v>104.19461675988339</c:v>
                </c:pt>
                <c:pt idx="602">
                  <c:v>104.19467013612625</c:v>
                </c:pt>
                <c:pt idx="603">
                  <c:v>104.19472351050393</c:v>
                </c:pt>
                <c:pt idx="604">
                  <c:v>104.19477688301652</c:v>
                </c:pt>
                <c:pt idx="605">
                  <c:v>104.19483025366395</c:v>
                </c:pt>
                <c:pt idx="606">
                  <c:v>104.19488362244633</c:v>
                </c:pt>
                <c:pt idx="607">
                  <c:v>104.19493698936364</c:v>
                </c:pt>
                <c:pt idx="608">
                  <c:v>104.19499035441594</c:v>
                </c:pt>
                <c:pt idx="609">
                  <c:v>104.19504371760323</c:v>
                </c:pt>
                <c:pt idx="610">
                  <c:v>104.19509707892557</c:v>
                </c:pt>
                <c:pt idx="611">
                  <c:v>104.19515043838297</c:v>
                </c:pt>
                <c:pt idx="612">
                  <c:v>104.19520379597546</c:v>
                </c:pt>
                <c:pt idx="613">
                  <c:v>104.19525715170306</c:v>
                </c:pt>
                <c:pt idx="614">
                  <c:v>104.19531050556581</c:v>
                </c:pt>
                <c:pt idx="615">
                  <c:v>104.19536385756373</c:v>
                </c:pt>
                <c:pt idx="616">
                  <c:v>104.19541720769688</c:v>
                </c:pt>
                <c:pt idx="617">
                  <c:v>104.19547055596524</c:v>
                </c:pt>
                <c:pt idx="618">
                  <c:v>104.19552390236886</c:v>
                </c:pt>
                <c:pt idx="619">
                  <c:v>104.19557724690779</c:v>
                </c:pt>
                <c:pt idx="620">
                  <c:v>104.19563058958202</c:v>
                </c:pt>
                <c:pt idx="621">
                  <c:v>104.1956839303916</c:v>
                </c:pt>
                <c:pt idx="622">
                  <c:v>104.19573726933655</c:v>
                </c:pt>
                <c:pt idx="623">
                  <c:v>104.19579060641691</c:v>
                </c:pt>
                <c:pt idx="624">
                  <c:v>104.19584394163269</c:v>
                </c:pt>
                <c:pt idx="625">
                  <c:v>104.19589727498392</c:v>
                </c:pt>
                <c:pt idx="626">
                  <c:v>104.19595060647065</c:v>
                </c:pt>
                <c:pt idx="627">
                  <c:v>104.19600393609289</c:v>
                </c:pt>
                <c:pt idx="628">
                  <c:v>104.19605726385068</c:v>
                </c:pt>
                <c:pt idx="629">
                  <c:v>104.19611058974405</c:v>
                </c:pt>
                <c:pt idx="630">
                  <c:v>104.19616391377299</c:v>
                </c:pt>
                <c:pt idx="631">
                  <c:v>104.19621723593758</c:v>
                </c:pt>
                <c:pt idx="632">
                  <c:v>104.19627055623781</c:v>
                </c:pt>
                <c:pt idx="633">
                  <c:v>104.19632387467374</c:v>
                </c:pt>
                <c:pt idx="634">
                  <c:v>104.19637719124538</c:v>
                </c:pt>
                <c:pt idx="635">
                  <c:v>104.19643050595275</c:v>
                </c:pt>
                <c:pt idx="636">
                  <c:v>104.19648381879591</c:v>
                </c:pt>
                <c:pt idx="637">
                  <c:v>104.19653712977485</c:v>
                </c:pt>
                <c:pt idx="638">
                  <c:v>104.19659043888963</c:v>
                </c:pt>
                <c:pt idx="639">
                  <c:v>104.19664374614025</c:v>
                </c:pt>
                <c:pt idx="640">
                  <c:v>104.19669705152675</c:v>
                </c:pt>
                <c:pt idx="641">
                  <c:v>104.19675035504918</c:v>
                </c:pt>
                <c:pt idx="642">
                  <c:v>104.19680365670753</c:v>
                </c:pt>
                <c:pt idx="643">
                  <c:v>104.19685695650186</c:v>
                </c:pt>
                <c:pt idx="644">
                  <c:v>104.19691025443218</c:v>
                </c:pt>
                <c:pt idx="645">
                  <c:v>104.19696355049852</c:v>
                </c:pt>
                <c:pt idx="646">
                  <c:v>104.19701684470093</c:v>
                </c:pt>
                <c:pt idx="647">
                  <c:v>104.19707013703939</c:v>
                </c:pt>
                <c:pt idx="648">
                  <c:v>104.19712342751397</c:v>
                </c:pt>
                <c:pt idx="649">
                  <c:v>104.19717671612467</c:v>
                </c:pt>
                <c:pt idx="650">
                  <c:v>104.19723000287156</c:v>
                </c:pt>
                <c:pt idx="651">
                  <c:v>104.19728328775466</c:v>
                </c:pt>
                <c:pt idx="652">
                  <c:v>104.19733657077394</c:v>
                </c:pt>
                <c:pt idx="653">
                  <c:v>104.1973898519295</c:v>
                </c:pt>
                <c:pt idx="654">
                  <c:v>104.19744313122132</c:v>
                </c:pt>
                <c:pt idx="655">
                  <c:v>104.19749640864947</c:v>
                </c:pt>
                <c:pt idx="656">
                  <c:v>104.19754968421393</c:v>
                </c:pt>
                <c:pt idx="657">
                  <c:v>104.19760295791475</c:v>
                </c:pt>
                <c:pt idx="658">
                  <c:v>104.19765622975197</c:v>
                </c:pt>
                <c:pt idx="659">
                  <c:v>104.19770949972559</c:v>
                </c:pt>
                <c:pt idx="660">
                  <c:v>104.19776276783568</c:v>
                </c:pt>
                <c:pt idx="661">
                  <c:v>104.19781603408224</c:v>
                </c:pt>
                <c:pt idx="662">
                  <c:v>104.19786929846531</c:v>
                </c:pt>
                <c:pt idx="663">
                  <c:v>104.19792256098491</c:v>
                </c:pt>
                <c:pt idx="664">
                  <c:v>104.19797582164105</c:v>
                </c:pt>
                <c:pt idx="665">
                  <c:v>104.19802908043381</c:v>
                </c:pt>
                <c:pt idx="666">
                  <c:v>104.19808233736319</c:v>
                </c:pt>
                <c:pt idx="667">
                  <c:v>104.19813559242918</c:v>
                </c:pt>
                <c:pt idx="668">
                  <c:v>104.19818884563186</c:v>
                </c:pt>
                <c:pt idx="669">
                  <c:v>104.19824209697126</c:v>
                </c:pt>
                <c:pt idx="670">
                  <c:v>104.19829534644737</c:v>
                </c:pt>
                <c:pt idx="671">
                  <c:v>104.19834859406023</c:v>
                </c:pt>
                <c:pt idx="672">
                  <c:v>104.19840183980989</c:v>
                </c:pt>
                <c:pt idx="673">
                  <c:v>104.19845508369636</c:v>
                </c:pt>
                <c:pt idx="674">
                  <c:v>104.19850832571969</c:v>
                </c:pt>
                <c:pt idx="675">
                  <c:v>104.19856156587987</c:v>
                </c:pt>
                <c:pt idx="676">
                  <c:v>104.19861480417697</c:v>
                </c:pt>
                <c:pt idx="677">
                  <c:v>104.19866804061098</c:v>
                </c:pt>
                <c:pt idx="678">
                  <c:v>104.19872127518195</c:v>
                </c:pt>
                <c:pt idx="679">
                  <c:v>104.19877450788992</c:v>
                </c:pt>
                <c:pt idx="680">
                  <c:v>104.19882773873486</c:v>
                </c:pt>
                <c:pt idx="681">
                  <c:v>104.19888096771687</c:v>
                </c:pt>
                <c:pt idx="682">
                  <c:v>104.19893419483594</c:v>
                </c:pt>
                <c:pt idx="683">
                  <c:v>104.19898742009214</c:v>
                </c:pt>
                <c:pt idx="684">
                  <c:v>104.19904064348542</c:v>
                </c:pt>
                <c:pt idx="685">
                  <c:v>104.19909386501588</c:v>
                </c:pt>
                <c:pt idx="686">
                  <c:v>104.19914708468352</c:v>
                </c:pt>
                <c:pt idx="687">
                  <c:v>104.19920030248836</c:v>
                </c:pt>
                <c:pt idx="688">
                  <c:v>104.19925351843044</c:v>
                </c:pt>
                <c:pt idx="689">
                  <c:v>104.19930673250978</c:v>
                </c:pt>
                <c:pt idx="690">
                  <c:v>104.19935994472644</c:v>
                </c:pt>
                <c:pt idx="691">
                  <c:v>104.19941315508041</c:v>
                </c:pt>
                <c:pt idx="692">
                  <c:v>104.19946636357173</c:v>
                </c:pt>
                <c:pt idx="693">
                  <c:v>104.19951957020045</c:v>
                </c:pt>
                <c:pt idx="694">
                  <c:v>104.19957277496655</c:v>
                </c:pt>
                <c:pt idx="695">
                  <c:v>104.1996259778701</c:v>
                </c:pt>
                <c:pt idx="696">
                  <c:v>104.19967917891111</c:v>
                </c:pt>
                <c:pt idx="697">
                  <c:v>104.19973237808961</c:v>
                </c:pt>
                <c:pt idx="698">
                  <c:v>104.19978557540563</c:v>
                </c:pt>
                <c:pt idx="699">
                  <c:v>104.1998387708592</c:v>
                </c:pt>
                <c:pt idx="700">
                  <c:v>104.19989196445034</c:v>
                </c:pt>
                <c:pt idx="701">
                  <c:v>104.1999451561791</c:v>
                </c:pt>
                <c:pt idx="702">
                  <c:v>104.19999834604548</c:v>
                </c:pt>
                <c:pt idx="703">
                  <c:v>104.20005153404954</c:v>
                </c:pt>
                <c:pt idx="704">
                  <c:v>104.20010472019128</c:v>
                </c:pt>
                <c:pt idx="705">
                  <c:v>104.20015790447071</c:v>
                </c:pt>
                <c:pt idx="706">
                  <c:v>104.20021108688792</c:v>
                </c:pt>
                <c:pt idx="707">
                  <c:v>104.2002642674429</c:v>
                </c:pt>
                <c:pt idx="708">
                  <c:v>104.20031744613568</c:v>
                </c:pt>
                <c:pt idx="709">
                  <c:v>104.2003706229663</c:v>
                </c:pt>
                <c:pt idx="710">
                  <c:v>104.20042379793477</c:v>
                </c:pt>
                <c:pt idx="711">
                  <c:v>104.20047697104114</c:v>
                </c:pt>
                <c:pt idx="712">
                  <c:v>104.2005301422854</c:v>
                </c:pt>
                <c:pt idx="713">
                  <c:v>104.20058331166763</c:v>
                </c:pt>
                <c:pt idx="714">
                  <c:v>104.20063647918784</c:v>
                </c:pt>
                <c:pt idx="715">
                  <c:v>104.20068964484605</c:v>
                </c:pt>
                <c:pt idx="716">
                  <c:v>104.20074280864227</c:v>
                </c:pt>
                <c:pt idx="717">
                  <c:v>104.20079597057656</c:v>
                </c:pt>
                <c:pt idx="718">
                  <c:v>104.20084913064893</c:v>
                </c:pt>
                <c:pt idx="719">
                  <c:v>104.20090228885941</c:v>
                </c:pt>
                <c:pt idx="720">
                  <c:v>104.20095544520804</c:v>
                </c:pt>
                <c:pt idx="721">
                  <c:v>104.20100859969483</c:v>
                </c:pt>
                <c:pt idx="722">
                  <c:v>104.20106175231982</c:v>
                </c:pt>
                <c:pt idx="723">
                  <c:v>104.20111490308304</c:v>
                </c:pt>
                <c:pt idx="724">
                  <c:v>104.20116805198452</c:v>
                </c:pt>
                <c:pt idx="725">
                  <c:v>104.20122119902429</c:v>
                </c:pt>
                <c:pt idx="726">
                  <c:v>104.20127434420235</c:v>
                </c:pt>
                <c:pt idx="727">
                  <c:v>104.20132748751875</c:v>
                </c:pt>
                <c:pt idx="728">
                  <c:v>104.20138062897354</c:v>
                </c:pt>
                <c:pt idx="729">
                  <c:v>104.20143376856672</c:v>
                </c:pt>
                <c:pt idx="730">
                  <c:v>104.20148690629831</c:v>
                </c:pt>
                <c:pt idx="731">
                  <c:v>104.20154004216836</c:v>
                </c:pt>
                <c:pt idx="732">
                  <c:v>104.2015931761769</c:v>
                </c:pt>
                <c:pt idx="733">
                  <c:v>104.20164630832393</c:v>
                </c:pt>
                <c:pt idx="734">
                  <c:v>104.20169943860952</c:v>
                </c:pt>
                <c:pt idx="735">
                  <c:v>104.20175256703367</c:v>
                </c:pt>
                <c:pt idx="736">
                  <c:v>104.2018056935964</c:v>
                </c:pt>
                <c:pt idx="737">
                  <c:v>104.20185881829778</c:v>
                </c:pt>
                <c:pt idx="738">
                  <c:v>104.20191194113779</c:v>
                </c:pt>
                <c:pt idx="739">
                  <c:v>104.20196506211649</c:v>
                </c:pt>
                <c:pt idx="740">
                  <c:v>104.20201818123388</c:v>
                </c:pt>
                <c:pt idx="741">
                  <c:v>104.20207129849001</c:v>
                </c:pt>
                <c:pt idx="742">
                  <c:v>104.2021244138849</c:v>
                </c:pt>
                <c:pt idx="743">
                  <c:v>104.2021775274186</c:v>
                </c:pt>
                <c:pt idx="744">
                  <c:v>104.2022306390911</c:v>
                </c:pt>
                <c:pt idx="745">
                  <c:v>104.20228374890246</c:v>
                </c:pt>
                <c:pt idx="746">
                  <c:v>104.2023368568527</c:v>
                </c:pt>
                <c:pt idx="747">
                  <c:v>104.20238996294182</c:v>
                </c:pt>
                <c:pt idx="748">
                  <c:v>104.20244306716991</c:v>
                </c:pt>
                <c:pt idx="749">
                  <c:v>104.20249616953693</c:v>
                </c:pt>
                <c:pt idx="750">
                  <c:v>104.20254927004294</c:v>
                </c:pt>
                <c:pt idx="751">
                  <c:v>104.20260236868796</c:v>
                </c:pt>
                <c:pt idx="752">
                  <c:v>104.20265546547205</c:v>
                </c:pt>
                <c:pt idx="753">
                  <c:v>104.20270856039521</c:v>
                </c:pt>
                <c:pt idx="754">
                  <c:v>104.20276165345746</c:v>
                </c:pt>
                <c:pt idx="755">
                  <c:v>104.20281474465882</c:v>
                </c:pt>
                <c:pt idx="756">
                  <c:v>104.20286783399938</c:v>
                </c:pt>
                <c:pt idx="757">
                  <c:v>104.20292092147912</c:v>
                </c:pt>
                <c:pt idx="758">
                  <c:v>104.20297400709806</c:v>
                </c:pt>
                <c:pt idx="759">
                  <c:v>104.20302709085625</c:v>
                </c:pt>
                <c:pt idx="760">
                  <c:v>104.20308017275372</c:v>
                </c:pt>
                <c:pt idx="761">
                  <c:v>104.20313325279048</c:v>
                </c:pt>
                <c:pt idx="762">
                  <c:v>104.20318633096657</c:v>
                </c:pt>
                <c:pt idx="763">
                  <c:v>104.20323940728201</c:v>
                </c:pt>
                <c:pt idx="764">
                  <c:v>104.20329248173684</c:v>
                </c:pt>
                <c:pt idx="765">
                  <c:v>104.20334555433109</c:v>
                </c:pt>
                <c:pt idx="766">
                  <c:v>104.20339862506476</c:v>
                </c:pt>
                <c:pt idx="767">
                  <c:v>104.20345169393791</c:v>
                </c:pt>
                <c:pt idx="768">
                  <c:v>104.20350476095055</c:v>
                </c:pt>
                <c:pt idx="769">
                  <c:v>104.20355782610272</c:v>
                </c:pt>
                <c:pt idx="770">
                  <c:v>104.20361088939445</c:v>
                </c:pt>
                <c:pt idx="771">
                  <c:v>104.20366395082576</c:v>
                </c:pt>
                <c:pt idx="772">
                  <c:v>104.20371701039667</c:v>
                </c:pt>
                <c:pt idx="773">
                  <c:v>104.20377006810722</c:v>
                </c:pt>
                <c:pt idx="774">
                  <c:v>104.20382312395745</c:v>
                </c:pt>
                <c:pt idx="775">
                  <c:v>104.20387617794735</c:v>
                </c:pt>
                <c:pt idx="776">
                  <c:v>104.20392923007698</c:v>
                </c:pt>
                <c:pt idx="777">
                  <c:v>104.20398228034637</c:v>
                </c:pt>
                <c:pt idx="778">
                  <c:v>104.20403532875554</c:v>
                </c:pt>
                <c:pt idx="779">
                  <c:v>104.20408837530452</c:v>
                </c:pt>
                <c:pt idx="780">
                  <c:v>104.20414141999333</c:v>
                </c:pt>
                <c:pt idx="781">
                  <c:v>104.20419446282202</c:v>
                </c:pt>
                <c:pt idx="782">
                  <c:v>104.20424750379057</c:v>
                </c:pt>
                <c:pt idx="783">
                  <c:v>104.20430054289905</c:v>
                </c:pt>
                <c:pt idx="784">
                  <c:v>104.20435358014748</c:v>
                </c:pt>
                <c:pt idx="785">
                  <c:v>104.2044066155359</c:v>
                </c:pt>
                <c:pt idx="786">
                  <c:v>104.20445964906432</c:v>
                </c:pt>
                <c:pt idx="787">
                  <c:v>104.20451268073276</c:v>
                </c:pt>
                <c:pt idx="788">
                  <c:v>104.20456571054127</c:v>
                </c:pt>
                <c:pt idx="789">
                  <c:v>104.20461873848988</c:v>
                </c:pt>
                <c:pt idx="790">
                  <c:v>104.20467176457859</c:v>
                </c:pt>
                <c:pt idx="791">
                  <c:v>104.20472478880747</c:v>
                </c:pt>
                <c:pt idx="792">
                  <c:v>104.20477781117651</c:v>
                </c:pt>
                <c:pt idx="793">
                  <c:v>104.20483083168575</c:v>
                </c:pt>
                <c:pt idx="794">
                  <c:v>104.20488385033522</c:v>
                </c:pt>
                <c:pt idx="795">
                  <c:v>104.20493686712496</c:v>
                </c:pt>
                <c:pt idx="796">
                  <c:v>104.20498988205497</c:v>
                </c:pt>
                <c:pt idx="797">
                  <c:v>104.2050428951253</c:v>
                </c:pt>
                <c:pt idx="798">
                  <c:v>104.20509590633597</c:v>
                </c:pt>
                <c:pt idx="799">
                  <c:v>104.20514891568703</c:v>
                </c:pt>
                <c:pt idx="800">
                  <c:v>104.20520192317849</c:v>
                </c:pt>
                <c:pt idx="801">
                  <c:v>104.20525492881036</c:v>
                </c:pt>
                <c:pt idx="802">
                  <c:v>104.2053079325827</c:v>
                </c:pt>
                <c:pt idx="803">
                  <c:v>104.20536093449552</c:v>
                </c:pt>
                <c:pt idx="804">
                  <c:v>104.20541393454886</c:v>
                </c:pt>
                <c:pt idx="805">
                  <c:v>104.20546693274272</c:v>
                </c:pt>
                <c:pt idx="806">
                  <c:v>104.20551992907717</c:v>
                </c:pt>
                <c:pt idx="807">
                  <c:v>104.20557292355221</c:v>
                </c:pt>
                <c:pt idx="808">
                  <c:v>104.20562591616788</c:v>
                </c:pt>
                <c:pt idx="809">
                  <c:v>104.20567890692421</c:v>
                </c:pt>
                <c:pt idx="810">
                  <c:v>104.2057318958212</c:v>
                </c:pt>
                <c:pt idx="811">
                  <c:v>104.20578488285891</c:v>
                </c:pt>
                <c:pt idx="812">
                  <c:v>104.20583786803736</c:v>
                </c:pt>
                <c:pt idx="813">
                  <c:v>104.20589085135659</c:v>
                </c:pt>
                <c:pt idx="814">
                  <c:v>104.2059438328166</c:v>
                </c:pt>
                <c:pt idx="815">
                  <c:v>104.20599681241742</c:v>
                </c:pt>
                <c:pt idx="816">
                  <c:v>104.20604979015911</c:v>
                </c:pt>
                <c:pt idx="817">
                  <c:v>104.20610276604168</c:v>
                </c:pt>
                <c:pt idx="818">
                  <c:v>104.20615574006516</c:v>
                </c:pt>
                <c:pt idx="819">
                  <c:v>104.20620871222957</c:v>
                </c:pt>
                <c:pt idx="820">
                  <c:v>104.20626168253493</c:v>
                </c:pt>
                <c:pt idx="821">
                  <c:v>104.2063146509813</c:v>
                </c:pt>
                <c:pt idx="822">
                  <c:v>104.20636761756869</c:v>
                </c:pt>
                <c:pt idx="823">
                  <c:v>104.20642058229713</c:v>
                </c:pt>
                <c:pt idx="824">
                  <c:v>104.20647354516663</c:v>
                </c:pt>
                <c:pt idx="825">
                  <c:v>104.20652650617724</c:v>
                </c:pt>
                <c:pt idx="826">
                  <c:v>104.20657946532899</c:v>
                </c:pt>
                <c:pt idx="827">
                  <c:v>104.20663242262189</c:v>
                </c:pt>
                <c:pt idx="828">
                  <c:v>104.20668537805599</c:v>
                </c:pt>
                <c:pt idx="829">
                  <c:v>104.20673833163133</c:v>
                </c:pt>
                <c:pt idx="830">
                  <c:v>104.2067912833479</c:v>
                </c:pt>
                <c:pt idx="831">
                  <c:v>104.20684423320573</c:v>
                </c:pt>
                <c:pt idx="832">
                  <c:v>104.20689718120485</c:v>
                </c:pt>
                <c:pt idx="833">
                  <c:v>104.20695012734532</c:v>
                </c:pt>
                <c:pt idx="834">
                  <c:v>104.20700307162716</c:v>
                </c:pt>
                <c:pt idx="835">
                  <c:v>104.20705601405038</c:v>
                </c:pt>
                <c:pt idx="836">
                  <c:v>104.20710895461502</c:v>
                </c:pt>
                <c:pt idx="837">
                  <c:v>104.20716189332109</c:v>
                </c:pt>
                <c:pt idx="838">
                  <c:v>104.20721483016864</c:v>
                </c:pt>
                <c:pt idx="839">
                  <c:v>104.20726776515768</c:v>
                </c:pt>
                <c:pt idx="840">
                  <c:v>104.20732069828826</c:v>
                </c:pt>
                <c:pt idx="841">
                  <c:v>104.20737362956039</c:v>
                </c:pt>
                <c:pt idx="842">
                  <c:v>104.20742655897412</c:v>
                </c:pt>
                <c:pt idx="843">
                  <c:v>104.20747948652944</c:v>
                </c:pt>
                <c:pt idx="844">
                  <c:v>104.2075324122264</c:v>
                </c:pt>
                <c:pt idx="845">
                  <c:v>104.20758533606504</c:v>
                </c:pt>
                <c:pt idx="846">
                  <c:v>104.20763825804538</c:v>
                </c:pt>
                <c:pt idx="847">
                  <c:v>104.20769117816745</c:v>
                </c:pt>
                <c:pt idx="848">
                  <c:v>104.20774409643126</c:v>
                </c:pt>
                <c:pt idx="849">
                  <c:v>104.20779701283685</c:v>
                </c:pt>
                <c:pt idx="850">
                  <c:v>104.20784992738426</c:v>
                </c:pt>
                <c:pt idx="851">
                  <c:v>104.2079028400735</c:v>
                </c:pt>
                <c:pt idx="852">
                  <c:v>104.2079557509046</c:v>
                </c:pt>
                <c:pt idx="853">
                  <c:v>104.20800865987762</c:v>
                </c:pt>
                <c:pt idx="854">
                  <c:v>104.20806156699255</c:v>
                </c:pt>
                <c:pt idx="855">
                  <c:v>104.20811447224945</c:v>
                </c:pt>
                <c:pt idx="856">
                  <c:v>104.2081673756483</c:v>
                </c:pt>
                <c:pt idx="857">
                  <c:v>104.20822027718917</c:v>
                </c:pt>
                <c:pt idx="858">
                  <c:v>104.20827317687208</c:v>
                </c:pt>
                <c:pt idx="859">
                  <c:v>104.20832607469704</c:v>
                </c:pt>
                <c:pt idx="860">
                  <c:v>104.2083789706641</c:v>
                </c:pt>
                <c:pt idx="861">
                  <c:v>104.20843186477329</c:v>
                </c:pt>
                <c:pt idx="862">
                  <c:v>104.20848475702461</c:v>
                </c:pt>
                <c:pt idx="863">
                  <c:v>104.20853764741813</c:v>
                </c:pt>
                <c:pt idx="864">
                  <c:v>104.20859053595382</c:v>
                </c:pt>
                <c:pt idx="865">
                  <c:v>104.20864342263177</c:v>
                </c:pt>
                <c:pt idx="866">
                  <c:v>104.20869630745197</c:v>
                </c:pt>
                <c:pt idx="867">
                  <c:v>104.20874919041447</c:v>
                </c:pt>
                <c:pt idx="868">
                  <c:v>104.20880207151927</c:v>
                </c:pt>
                <c:pt idx="869">
                  <c:v>104.20885495076644</c:v>
                </c:pt>
                <c:pt idx="870">
                  <c:v>104.20890782815596</c:v>
                </c:pt>
                <c:pt idx="871">
                  <c:v>104.20896070368788</c:v>
                </c:pt>
                <c:pt idx="872">
                  <c:v>104.20901357736224</c:v>
                </c:pt>
                <c:pt idx="873">
                  <c:v>104.20906644917906</c:v>
                </c:pt>
                <c:pt idx="874">
                  <c:v>104.20911931913837</c:v>
                </c:pt>
                <c:pt idx="875">
                  <c:v>104.2091721872402</c:v>
                </c:pt>
                <c:pt idx="876">
                  <c:v>104.20922505348454</c:v>
                </c:pt>
                <c:pt idx="877">
                  <c:v>104.20927791787147</c:v>
                </c:pt>
                <c:pt idx="878">
                  <c:v>104.20933078040102</c:v>
                </c:pt>
                <c:pt idx="879">
                  <c:v>104.20938364107317</c:v>
                </c:pt>
                <c:pt idx="880">
                  <c:v>104.20943649988799</c:v>
                </c:pt>
                <c:pt idx="881">
                  <c:v>104.20948935684549</c:v>
                </c:pt>
                <c:pt idx="882">
                  <c:v>104.2095422119457</c:v>
                </c:pt>
                <c:pt idx="883">
                  <c:v>104.20959506518865</c:v>
                </c:pt>
                <c:pt idx="884">
                  <c:v>104.20964791657437</c:v>
                </c:pt>
                <c:pt idx="885">
                  <c:v>104.2097007661029</c:v>
                </c:pt>
                <c:pt idx="886">
                  <c:v>104.20975361377424</c:v>
                </c:pt>
                <c:pt idx="887">
                  <c:v>104.20980645958844</c:v>
                </c:pt>
                <c:pt idx="888">
                  <c:v>104.20985930354553</c:v>
                </c:pt>
                <c:pt idx="889">
                  <c:v>104.2099121456455</c:v>
                </c:pt>
                <c:pt idx="890">
                  <c:v>104.20996498588842</c:v>
                </c:pt>
                <c:pt idx="891">
                  <c:v>104.21001782427432</c:v>
                </c:pt>
                <c:pt idx="892">
                  <c:v>104.2100706608032</c:v>
                </c:pt>
                <c:pt idx="893">
                  <c:v>104.2101234954751</c:v>
                </c:pt>
                <c:pt idx="894">
                  <c:v>104.21017632829005</c:v>
                </c:pt>
                <c:pt idx="895">
                  <c:v>104.21022915924809</c:v>
                </c:pt>
                <c:pt idx="896">
                  <c:v>104.21028198834924</c:v>
                </c:pt>
                <c:pt idx="897">
                  <c:v>104.21033481559351</c:v>
                </c:pt>
                <c:pt idx="898">
                  <c:v>104.21038764098095</c:v>
                </c:pt>
                <c:pt idx="899">
                  <c:v>104.21044046451158</c:v>
                </c:pt>
                <c:pt idx="900">
                  <c:v>104.21049328618543</c:v>
                </c:pt>
                <c:pt idx="901">
                  <c:v>104.21054610600252</c:v>
                </c:pt>
                <c:pt idx="902">
                  <c:v>104.21059892396291</c:v>
                </c:pt>
                <c:pt idx="903">
                  <c:v>104.21065174006658</c:v>
                </c:pt>
                <c:pt idx="904">
                  <c:v>104.21070455431358</c:v>
                </c:pt>
                <c:pt idx="905">
                  <c:v>104.21075736670394</c:v>
                </c:pt>
                <c:pt idx="906">
                  <c:v>104.21081017723769</c:v>
                </c:pt>
                <c:pt idx="907">
                  <c:v>104.21086298591487</c:v>
                </c:pt>
                <c:pt idx="908">
                  <c:v>104.21091579273549</c:v>
                </c:pt>
                <c:pt idx="909">
                  <c:v>104.21096859769958</c:v>
                </c:pt>
                <c:pt idx="910">
                  <c:v>104.21102140080717</c:v>
                </c:pt>
                <c:pt idx="911">
                  <c:v>104.21107420205828</c:v>
                </c:pt>
                <c:pt idx="912">
                  <c:v>104.21112700145298</c:v>
                </c:pt>
                <c:pt idx="913">
                  <c:v>104.21117979899124</c:v>
                </c:pt>
                <c:pt idx="914">
                  <c:v>104.21123259467311</c:v>
                </c:pt>
                <c:pt idx="915">
                  <c:v>104.21128538849862</c:v>
                </c:pt>
                <c:pt idx="916">
                  <c:v>104.21133818046782</c:v>
                </c:pt>
                <c:pt idx="917">
                  <c:v>104.21139097058069</c:v>
                </c:pt>
                <c:pt idx="918">
                  <c:v>104.21144375883731</c:v>
                </c:pt>
                <c:pt idx="919">
                  <c:v>104.21149654523768</c:v>
                </c:pt>
                <c:pt idx="920">
                  <c:v>104.21154932978183</c:v>
                </c:pt>
                <c:pt idx="921">
                  <c:v>104.21160211246981</c:v>
                </c:pt>
                <c:pt idx="922">
                  <c:v>104.21165489330161</c:v>
                </c:pt>
                <c:pt idx="923">
                  <c:v>104.21170767227727</c:v>
                </c:pt>
                <c:pt idx="924">
                  <c:v>104.21176044939683</c:v>
                </c:pt>
                <c:pt idx="925">
                  <c:v>104.21181322466033</c:v>
                </c:pt>
                <c:pt idx="926">
                  <c:v>104.21186599806776</c:v>
                </c:pt>
                <c:pt idx="927">
                  <c:v>104.21191876961919</c:v>
                </c:pt>
                <c:pt idx="928">
                  <c:v>104.21197153931462</c:v>
                </c:pt>
                <c:pt idx="929">
                  <c:v>104.21202430715408</c:v>
                </c:pt>
                <c:pt idx="930">
                  <c:v>104.21207707313759</c:v>
                </c:pt>
                <c:pt idx="931">
                  <c:v>104.21212983726522</c:v>
                </c:pt>
                <c:pt idx="932">
                  <c:v>104.21218259953696</c:v>
                </c:pt>
                <c:pt idx="933">
                  <c:v>104.21223535995286</c:v>
                </c:pt>
                <c:pt idx="934">
                  <c:v>104.21228811851292</c:v>
                </c:pt>
                <c:pt idx="935">
                  <c:v>104.21234087521719</c:v>
                </c:pt>
                <c:pt idx="936">
                  <c:v>104.21239363006572</c:v>
                </c:pt>
                <c:pt idx="937">
                  <c:v>104.21244638305848</c:v>
                </c:pt>
                <c:pt idx="938">
                  <c:v>104.21249913419554</c:v>
                </c:pt>
                <c:pt idx="939">
                  <c:v>104.21255188347692</c:v>
                </c:pt>
                <c:pt idx="940">
                  <c:v>104.21260463090265</c:v>
                </c:pt>
                <c:pt idx="941">
                  <c:v>104.21265737647275</c:v>
                </c:pt>
                <c:pt idx="942">
                  <c:v>104.21271012018724</c:v>
                </c:pt>
                <c:pt idx="943">
                  <c:v>104.21276286204618</c:v>
                </c:pt>
                <c:pt idx="944">
                  <c:v>104.21281560204957</c:v>
                </c:pt>
                <c:pt idx="945">
                  <c:v>104.21286834019745</c:v>
                </c:pt>
                <c:pt idx="946">
                  <c:v>104.21292107648983</c:v>
                </c:pt>
                <c:pt idx="947">
                  <c:v>104.21297381092678</c:v>
                </c:pt>
                <c:pt idx="948">
                  <c:v>104.21302654350828</c:v>
                </c:pt>
                <c:pt idx="949">
                  <c:v>104.2130792742344</c:v>
                </c:pt>
                <c:pt idx="950">
                  <c:v>104.21313200310514</c:v>
                </c:pt>
                <c:pt idx="951">
                  <c:v>104.21318473012053</c:v>
                </c:pt>
                <c:pt idx="952">
                  <c:v>104.21323745528059</c:v>
                </c:pt>
                <c:pt idx="953">
                  <c:v>104.21329017858538</c:v>
                </c:pt>
                <c:pt idx="954">
                  <c:v>104.2133429000349</c:v>
                </c:pt>
                <c:pt idx="955">
                  <c:v>104.2133956196292</c:v>
                </c:pt>
                <c:pt idx="956">
                  <c:v>104.21344833736829</c:v>
                </c:pt>
                <c:pt idx="957">
                  <c:v>104.2135010532522</c:v>
                </c:pt>
                <c:pt idx="958">
                  <c:v>104.21355376728097</c:v>
                </c:pt>
                <c:pt idx="959">
                  <c:v>104.21360647945463</c:v>
                </c:pt>
                <c:pt idx="960">
                  <c:v>104.21365918977318</c:v>
                </c:pt>
                <c:pt idx="961">
                  <c:v>104.21371189823668</c:v>
                </c:pt>
                <c:pt idx="962">
                  <c:v>104.21376460484514</c:v>
                </c:pt>
                <c:pt idx="963">
                  <c:v>104.21381730959861</c:v>
                </c:pt>
                <c:pt idx="964">
                  <c:v>104.2138700124971</c:v>
                </c:pt>
                <c:pt idx="965">
                  <c:v>104.21392271354061</c:v>
                </c:pt>
                <c:pt idx="966">
                  <c:v>104.21397541272923</c:v>
                </c:pt>
                <c:pt idx="967">
                  <c:v>104.21402811006294</c:v>
                </c:pt>
                <c:pt idx="968">
                  <c:v>104.21408080554178</c:v>
                </c:pt>
                <c:pt idx="969">
                  <c:v>104.21413349916581</c:v>
                </c:pt>
                <c:pt idx="970">
                  <c:v>104.21418619093501</c:v>
                </c:pt>
                <c:pt idx="971">
                  <c:v>104.21423888084942</c:v>
                </c:pt>
                <c:pt idx="972">
                  <c:v>104.2142915689091</c:v>
                </c:pt>
                <c:pt idx="973">
                  <c:v>104.21434425511404</c:v>
                </c:pt>
                <c:pt idx="974">
                  <c:v>104.21439693946429</c:v>
                </c:pt>
                <c:pt idx="975">
                  <c:v>104.21444962195987</c:v>
                </c:pt>
                <c:pt idx="976">
                  <c:v>104.21450230260082</c:v>
                </c:pt>
                <c:pt idx="977">
                  <c:v>104.21455498138714</c:v>
                </c:pt>
                <c:pt idx="978">
                  <c:v>104.21460765831887</c:v>
                </c:pt>
                <c:pt idx="979">
                  <c:v>104.21466033339607</c:v>
                </c:pt>
                <c:pt idx="980">
                  <c:v>104.21471300661872</c:v>
                </c:pt>
                <c:pt idx="981">
                  <c:v>104.21476567798689</c:v>
                </c:pt>
                <c:pt idx="982">
                  <c:v>104.21481834750058</c:v>
                </c:pt>
                <c:pt idx="983">
                  <c:v>104.21487101515982</c:v>
                </c:pt>
                <c:pt idx="984">
                  <c:v>104.21492368096466</c:v>
                </c:pt>
                <c:pt idx="985">
                  <c:v>104.2149763449151</c:v>
                </c:pt>
                <c:pt idx="986">
                  <c:v>104.2150290070112</c:v>
                </c:pt>
                <c:pt idx="987">
                  <c:v>104.21508166725295</c:v>
                </c:pt>
                <c:pt idx="988">
                  <c:v>104.21513432564041</c:v>
                </c:pt>
                <c:pt idx="989">
                  <c:v>104.21518698217359</c:v>
                </c:pt>
                <c:pt idx="990">
                  <c:v>104.21523963685253</c:v>
                </c:pt>
                <c:pt idx="991">
                  <c:v>104.21529228967727</c:v>
                </c:pt>
                <c:pt idx="992">
                  <c:v>104.21534494064778</c:v>
                </c:pt>
                <c:pt idx="993">
                  <c:v>104.21539758976415</c:v>
                </c:pt>
                <c:pt idx="994">
                  <c:v>104.21545023702639</c:v>
                </c:pt>
                <c:pt idx="995">
                  <c:v>104.21550288243451</c:v>
                </c:pt>
                <c:pt idx="996">
                  <c:v>104.21555552598856</c:v>
                </c:pt>
                <c:pt idx="997">
                  <c:v>104.21560816768857</c:v>
                </c:pt>
                <c:pt idx="998">
                  <c:v>104.21566080753453</c:v>
                </c:pt>
                <c:pt idx="999">
                  <c:v>104.21571344552653</c:v>
                </c:pt>
                <c:pt idx="1000">
                  <c:v>104.21576608166455</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Calculs!$AG$4:$AG$1004</c:f>
              <c:numCache>
                <c:formatCode>0.00</c:formatCode>
                <c:ptCount val="1001"/>
                <c:pt idx="0">
                  <c:v>0</c:v>
                </c:pt>
                <c:pt idx="1">
                  <c:v>-7.134403958036331</c:v>
                </c:pt>
                <c:pt idx="2">
                  <c:v>34.406973712093382</c:v>
                </c:pt>
                <c:pt idx="3">
                  <c:v>51.791855037330848</c:v>
                </c:pt>
                <c:pt idx="4">
                  <c:v>45.045204489847691</c:v>
                </c:pt>
                <c:pt idx="5">
                  <c:v>41.49062480061346</c:v>
                </c:pt>
                <c:pt idx="6">
                  <c:v>41.125087203082487</c:v>
                </c:pt>
                <c:pt idx="7">
                  <c:v>40.759860708296877</c:v>
                </c:pt>
                <c:pt idx="8">
                  <c:v>40.394953428795382</c:v>
                </c:pt>
                <c:pt idx="9">
                  <c:v>40.030373388576024</c:v>
                </c:pt>
                <c:pt idx="10">
                  <c:v>39.666128523028945</c:v>
                </c:pt>
                <c:pt idx="11">
                  <c:v>39.3022266788821</c:v>
                </c:pt>
                <c:pt idx="12">
                  <c:v>38.93867561415977</c:v>
                </c:pt>
                <c:pt idx="13">
                  <c:v>38.575482998153689</c:v>
                </c:pt>
                <c:pt idx="14">
                  <c:v>38.212656411406648</c:v>
                </c:pt>
                <c:pt idx="15">
                  <c:v>37.850203345708536</c:v>
                </c:pt>
                <c:pt idx="16">
                  <c:v>37.488131204104469</c:v>
                </c:pt>
                <c:pt idx="17">
                  <c:v>37.126447300915125</c:v>
                </c:pt>
                <c:pt idx="18">
                  <c:v>36.765158861768825</c:v>
                </c:pt>
                <c:pt idx="19">
                  <c:v>36.404273023645501</c:v>
                </c:pt>
                <c:pt idx="20">
                  <c:v>36.04379683493228</c:v>
                </c:pt>
                <c:pt idx="21">
                  <c:v>35.683737255490414</c:v>
                </c:pt>
                <c:pt idx="22">
                  <c:v>35.324101156733732</c:v>
                </c:pt>
                <c:pt idx="23">
                  <c:v>34.964895321718004</c:v>
                </c:pt>
                <c:pt idx="24">
                  <c:v>34.606126445241514</c:v>
                </c:pt>
                <c:pt idx="25">
                  <c:v>34.247801133956401</c:v>
                </c:pt>
                <c:pt idx="26">
                  <c:v>33.889925906490717</c:v>
                </c:pt>
                <c:pt idx="27">
                  <c:v>33.532507193581026</c:v>
                </c:pt>
                <c:pt idx="28">
                  <c:v>33.175551338215449</c:v>
                </c:pt>
                <c:pt idx="29">
                  <c:v>32.819064595786848</c:v>
                </c:pt>
                <c:pt idx="30">
                  <c:v>32.463053134256207</c:v>
                </c:pt>
                <c:pt idx="31">
                  <c:v>32.107523034325837</c:v>
                </c:pt>
                <c:pt idx="32">
                  <c:v>31.752480289622476</c:v>
                </c:pt>
                <c:pt idx="33">
                  <c:v>31.397930806889864</c:v>
                </c:pt>
                <c:pt idx="34">
                  <c:v>31.043880406190812</c:v>
                </c:pt>
                <c:pt idx="35">
                  <c:v>30.690334821118739</c:v>
                </c:pt>
                <c:pt idx="36">
                  <c:v>30.33729969901815</c:v>
                </c:pt>
                <c:pt idx="37">
                  <c:v>29.984780601214169</c:v>
                </c:pt>
                <c:pt idx="38">
                  <c:v>29.632783003250854</c:v>
                </c:pt>
                <c:pt idx="39">
                  <c:v>29.281312295138434</c:v>
                </c:pt>
                <c:pt idx="40">
                  <c:v>28.930373781608697</c:v>
                </c:pt>
                <c:pt idx="41">
                  <c:v>28.579972682379029</c:v>
                </c:pt>
                <c:pt idx="42">
                  <c:v>28.230114132424575</c:v>
                </c:pt>
                <c:pt idx="43">
                  <c:v>27.880803182258326</c:v>
                </c:pt>
                <c:pt idx="44">
                  <c:v>27.53204479821941</c:v>
                </c:pt>
                <c:pt idx="45">
                  <c:v>27.183843862768754</c:v>
                </c:pt>
                <c:pt idx="46">
                  <c:v>26.836205174792639</c:v>
                </c:pt>
                <c:pt idx="47">
                  <c:v>26.48913344991351</c:v>
                </c:pt>
                <c:pt idx="48">
                  <c:v>26.142633320808155</c:v>
                </c:pt>
                <c:pt idx="49">
                  <c:v>25.796709337532995</c:v>
                </c:pt>
                <c:pt idx="50">
                  <c:v>25.451365967856312</c:v>
                </c:pt>
                <c:pt idx="51">
                  <c:v>25.106607597597328</c:v>
                </c:pt>
                <c:pt idx="52">
                  <c:v>24.762438530971981</c:v>
                </c:pt>
                <c:pt idx="53">
                  <c:v>24.418862990945218</c:v>
                </c:pt>
                <c:pt idx="54">
                  <c:v>24.075885119589582</c:v>
                </c:pt>
                <c:pt idx="55">
                  <c:v>23.733508978450104</c:v>
                </c:pt>
                <c:pt idx="56">
                  <c:v>23.391738548915249</c:v>
                </c:pt>
                <c:pt idx="57">
                  <c:v>23.05057773259383</c:v>
                </c:pt>
                <c:pt idx="58">
                  <c:v>22.710030351697576</c:v>
                </c:pt>
                <c:pt idx="59">
                  <c:v>22.370100149429469</c:v>
                </c:pt>
                <c:pt idx="60">
                  <c:v>22.030790790377431</c:v>
                </c:pt>
                <c:pt idx="61">
                  <c:v>21.692105860913557</c:v>
                </c:pt>
                <c:pt idx="62">
                  <c:v>21.354048869598294</c:v>
                </c:pt>
                <c:pt idx="63">
                  <c:v>20.738994862748694</c:v>
                </c:pt>
                <c:pt idx="64">
                  <c:v>19.847430560755058</c:v>
                </c:pt>
                <c:pt idx="65">
                  <c:v>18.957636598312469</c:v>
                </c:pt>
                <c:pt idx="66">
                  <c:v>18.069628672801063</c:v>
                </c:pt>
                <c:pt idx="67">
                  <c:v>16.928899065326256</c:v>
                </c:pt>
                <c:pt idx="68">
                  <c:v>15.535933678522101</c:v>
                </c:pt>
                <c:pt idx="69">
                  <c:v>13.693177343579993</c:v>
                </c:pt>
                <c:pt idx="70">
                  <c:v>11.401544072849557</c:v>
                </c:pt>
                <c:pt idx="71">
                  <c:v>9.1149052794085126</c:v>
                </c:pt>
                <c:pt idx="72">
                  <c:v>6.8333418265562411</c:v>
                </c:pt>
                <c:pt idx="73">
                  <c:v>4.5569315347725912</c:v>
                </c:pt>
                <c:pt idx="74">
                  <c:v>2.2857491990925052</c:v>
                </c:pt>
                <c:pt idx="75">
                  <c:v>1.9866607370307321E-2</c:v>
                </c:pt>
                <c:pt idx="76">
                  <c:v>-2.2406474406001893</c:v>
                </c:pt>
                <c:pt idx="77">
                  <c:v>-4.495727113142987</c:v>
                </c:pt>
                <c:pt idx="78">
                  <c:v>-6.745309525968139</c:v>
                </c:pt>
                <c:pt idx="79">
                  <c:v>-8.9893347206841554</c:v>
                </c:pt>
                <c:pt idx="80">
                  <c:v>-11.22774564258723</c:v>
                </c:pt>
                <c:pt idx="81">
                  <c:v>-12.9218638824868</c:v>
                </c:pt>
                <c:pt idx="82">
                  <c:v>-14.072993251862973</c:v>
                </c:pt>
                <c:pt idx="83">
                  <c:v>-15.221195244180109</c:v>
                </c:pt>
                <c:pt idx="84">
                  <c:v>-16.366464789918222</c:v>
                </c:pt>
                <c:pt idx="85">
                  <c:v>-17.508797526313096</c:v>
                </c:pt>
                <c:pt idx="86">
                  <c:v>-18.648189789782272</c:v>
                </c:pt>
                <c:pt idx="87">
                  <c:v>-19.78463860832834</c:v>
                </c:pt>
                <c:pt idx="88">
                  <c:v>-20.918141693923328</c:v>
                </c:pt>
                <c:pt idx="89">
                  <c:v>-21.878503776396855</c:v>
                </c:pt>
                <c:pt idx="90">
                  <c:v>-22.666176070585085</c:v>
                </c:pt>
                <c:pt idx="91">
                  <c:v>-23.451824615702694</c:v>
                </c:pt>
                <c:pt idx="92">
                  <c:v>-24.235453593172267</c:v>
                </c:pt>
                <c:pt idx="93">
                  <c:v>-24.974511573851856</c:v>
                </c:pt>
                <c:pt idx="94">
                  <c:v>-25.669118257396974</c:v>
                </c:pt>
                <c:pt idx="95">
                  <c:v>-26.36195284357732</c:v>
                </c:pt>
                <c:pt idx="96">
                  <c:v>-27.053020923359931</c:v>
                </c:pt>
                <c:pt idx="97">
                  <c:v>-27.572085769736631</c:v>
                </c:pt>
                <c:pt idx="98">
                  <c:v>-27.919619114975092</c:v>
                </c:pt>
                <c:pt idx="99">
                  <c:v>-28.266342073714206</c:v>
                </c:pt>
                <c:pt idx="100">
                  <c:v>-28.612259419856251</c:v>
                </c:pt>
                <c:pt idx="101">
                  <c:v>-28.957375961231381</c:v>
                </c:pt>
                <c:pt idx="102">
                  <c:v>-29.301696539039426</c:v>
                </c:pt>
                <c:pt idx="103">
                  <c:v>-29.64522602729928</c:v>
                </c:pt>
                <c:pt idx="104">
                  <c:v>-29.987969332305159</c:v>
                </c:pt>
                <c:pt idx="105">
                  <c:v>-30.329931392090337</c:v>
                </c:pt>
                <c:pt idx="106">
                  <c:v>-30.671117175897912</c:v>
                </c:pt>
                <c:pt idx="107">
                  <c:v>-31.011531683658774</c:v>
                </c:pt>
                <c:pt idx="108">
                  <c:v>-31.351179945476925</c:v>
                </c:pt>
                <c:pt idx="109">
                  <c:v>-31.477239233142718</c:v>
                </c:pt>
                <c:pt idx="110">
                  <c:v>-31.390301799904496</c:v>
                </c:pt>
                <c:pt idx="111">
                  <c:v>-31.303782263699318</c:v>
                </c:pt>
                <c:pt idx="112">
                  <c:v>-31.217677940338206</c:v>
                </c:pt>
                <c:pt idx="113">
                  <c:v>-31.13198616720495</c:v>
                </c:pt>
                <c:pt idx="114">
                  <c:v>-31.046704303047065</c:v>
                </c:pt>
                <c:pt idx="115">
                  <c:v>-30.961829727769246</c:v>
                </c:pt>
                <c:pt idx="116">
                  <c:v>-30.877359842229026</c:v>
                </c:pt>
                <c:pt idx="117">
                  <c:v>-30.793292068034901</c:v>
                </c:pt>
                <c:pt idx="118">
                  <c:v>-30.709623847346514</c:v>
                </c:pt>
                <c:pt idx="119">
                  <c:v>-30.626352642677247</c:v>
                </c:pt>
                <c:pt idx="120">
                  <c:v>-30.543475936698936</c:v>
                </c:pt>
                <c:pt idx="121">
                  <c:v>-30.460991232048876</c:v>
                </c:pt>
                <c:pt idx="122">
                  <c:v>-30.378896051138803</c:v>
                </c:pt>
                <c:pt idx="123">
                  <c:v>-30.297187935966139</c:v>
                </c:pt>
                <c:pt idx="124">
                  <c:v>-30.215864447927338</c:v>
                </c:pt>
                <c:pt idx="125">
                  <c:v>-30.134923167633215</c:v>
                </c:pt>
                <c:pt idx="126">
                  <c:v>-30.054361694726438</c:v>
                </c:pt>
                <c:pt idx="127">
                  <c:v>-29.974177647700877</c:v>
                </c:pt>
                <c:pt idx="128">
                  <c:v>-29.894368663723213</c:v>
                </c:pt>
                <c:pt idx="129">
                  <c:v>-29.814932398456172</c:v>
                </c:pt>
                <c:pt idx="130">
                  <c:v>-29.735866525884042</c:v>
                </c:pt>
                <c:pt idx="131">
                  <c:v>-29.657168738139845</c:v>
                </c:pt>
                <c:pt idx="132">
                  <c:v>-29.578836745334591</c:v>
                </c:pt>
                <c:pt idx="133">
                  <c:v>-29.500868275388328</c:v>
                </c:pt>
                <c:pt idx="134">
                  <c:v>-29.423261073862967</c:v>
                </c:pt>
                <c:pt idx="135">
                  <c:v>-29.346012903797124</c:v>
                </c:pt>
                <c:pt idx="136">
                  <c:v>-29.269121545542561</c:v>
                </c:pt>
                <c:pt idx="137">
                  <c:v>-29.192584796602553</c:v>
                </c:pt>
                <c:pt idx="138">
                  <c:v>-29.116400471471945</c:v>
                </c:pt>
                <c:pt idx="139">
                  <c:v>-29.040566401478952</c:v>
                </c:pt>
                <c:pt idx="140">
                  <c:v>-28.965080434628675</c:v>
                </c:pt>
                <c:pt idx="141">
                  <c:v>-28.889940435448374</c:v>
                </c:pt>
                <c:pt idx="142">
                  <c:v>-28.81514428483429</c:v>
                </c:pt>
                <c:pt idx="143">
                  <c:v>-28.740689879900231</c:v>
                </c:pt>
                <c:pt idx="144">
                  <c:v>-28.666575133827717</c:v>
                </c:pt>
                <c:pt idx="145">
                  <c:v>-28.592797975717822</c:v>
                </c:pt>
                <c:pt idx="146">
                  <c:v>-28.519356350444461</c:v>
                </c:pt>
                <c:pt idx="147">
                  <c:v>-28.446248218509457</c:v>
                </c:pt>
                <c:pt idx="148">
                  <c:v>-28.373471555898927</c:v>
                </c:pt>
                <c:pt idx="149">
                  <c:v>-28.301024353941415</c:v>
                </c:pt>
                <c:pt idx="150">
                  <c:v>-28.228904619167352</c:v>
                </c:pt>
                <c:pt idx="151">
                  <c:v>-28.157110373170248</c:v>
                </c:pt>
                <c:pt idx="152">
                  <c:v>-28.085639652469034</c:v>
                </c:pt>
                <c:pt idx="153">
                  <c:v>-28.014490508372198</c:v>
                </c:pt>
                <c:pt idx="154">
                  <c:v>-27.943661006843165</c:v>
                </c:pt>
                <c:pt idx="155">
                  <c:v>-27.873149228367101</c:v>
                </c:pt>
                <c:pt idx="156">
                  <c:v>-27.802953267819316</c:v>
                </c:pt>
                <c:pt idx="157">
                  <c:v>-27.733071234334744</c:v>
                </c:pt>
                <c:pt idx="158">
                  <c:v>-27.663501251179085</c:v>
                </c:pt>
                <c:pt idx="159">
                  <c:v>-27.59424145562118</c:v>
                </c:pt>
                <c:pt idx="160">
                  <c:v>-27.525289998806695</c:v>
                </c:pt>
                <c:pt idx="161">
                  <c:v>-27.456645045633188</c:v>
                </c:pt>
                <c:pt idx="162">
                  <c:v>-27.388304774626494</c:v>
                </c:pt>
                <c:pt idx="163">
                  <c:v>-27.320267377818361</c:v>
                </c:pt>
                <c:pt idx="164">
                  <c:v>-27.252531060625358</c:v>
                </c:pt>
                <c:pt idx="165">
                  <c:v>-27.185094041729116</c:v>
                </c:pt>
                <c:pt idx="166">
                  <c:v>-27.11795455295772</c:v>
                </c:pt>
                <c:pt idx="167">
                  <c:v>-27.05111083916843</c:v>
                </c:pt>
                <c:pt idx="168">
                  <c:v>-26.984561158131484</c:v>
                </c:pt>
                <c:pt idx="169">
                  <c:v>-26.918303780415339</c:v>
                </c:pt>
                <c:pt idx="170">
                  <c:v>-26.852336989272821</c:v>
                </c:pt>
                <c:pt idx="171">
                  <c:v>-26.786659080528608</c:v>
                </c:pt>
                <c:pt idx="172">
                  <c:v>-26.721268362467924</c:v>
                </c:pt>
                <c:pt idx="173">
                  <c:v>-26.656163155726212</c:v>
                </c:pt>
                <c:pt idx="174">
                  <c:v>-26.591341793180082</c:v>
                </c:pt>
                <c:pt idx="175">
                  <c:v>-26.526802619839327</c:v>
                </c:pt>
                <c:pt idx="176">
                  <c:v>-26.462543992740038</c:v>
                </c:pt>
                <c:pt idx="177">
                  <c:v>-26.398564280838833</c:v>
                </c:pt>
                <c:pt idx="178">
                  <c:v>-26.334861864908166</c:v>
                </c:pt>
                <c:pt idx="179">
                  <c:v>-26.27143513743269</c:v>
                </c:pt>
                <c:pt idx="180">
                  <c:v>-26.20828250250667</c:v>
                </c:pt>
                <c:pt idx="181">
                  <c:v>-26.14540237573247</c:v>
                </c:pt>
                <c:pt idx="182">
                  <c:v>-26.082793184120071</c:v>
                </c:pt>
                <c:pt idx="183">
                  <c:v>-26.020453365987571</c:v>
                </c:pt>
                <c:pt idx="184">
                  <c:v>-25.958381370862696</c:v>
                </c:pt>
                <c:pt idx="185">
                  <c:v>-25.89657565938538</c:v>
                </c:pt>
                <c:pt idx="186">
                  <c:v>-25.835034703211235</c:v>
                </c:pt>
                <c:pt idx="187">
                  <c:v>-25.773756984916027</c:v>
                </c:pt>
                <c:pt idx="188">
                  <c:v>-25.712740997901168</c:v>
                </c:pt>
                <c:pt idx="189">
                  <c:v>-25.651985246300036</c:v>
                </c:pt>
                <c:pt idx="190">
                  <c:v>-25.591488244885415</c:v>
                </c:pt>
                <c:pt idx="191">
                  <c:v>-25.531248518977648</c:v>
                </c:pt>
                <c:pt idx="192">
                  <c:v>-25.471264604353909</c:v>
                </c:pt>
                <c:pt idx="193">
                  <c:v>-25.411535047158225</c:v>
                </c:pt>
                <c:pt idx="194">
                  <c:v>-25.352058403812507</c:v>
                </c:pt>
                <c:pt idx="195">
                  <c:v>-25.29283324092841</c:v>
                </c:pt>
                <c:pt idx="196">
                  <c:v>-25.233858135220096</c:v>
                </c:pt>
                <c:pt idx="197">
                  <c:v>-25.175131673417837</c:v>
                </c:pt>
                <c:pt idx="198">
                  <c:v>-25.116652452182464</c:v>
                </c:pt>
                <c:pt idx="199">
                  <c:v>-25.058419078020755</c:v>
                </c:pt>
                <c:pt idx="200">
                  <c:v>-25.000430167201539</c:v>
                </c:pt>
                <c:pt idx="201">
                  <c:v>-24.942684345672731</c:v>
                </c:pt>
                <c:pt idx="202">
                  <c:v>-24.372800298391894</c:v>
                </c:pt>
                <c:pt idx="203">
                  <c:v>-23.826328307554562</c:v>
                </c:pt>
                <c:pt idx="204">
                  <c:v>-23.301991797009343</c:v>
                </c:pt>
                <c:pt idx="205">
                  <c:v>-22.798599611284775</c:v>
                </c:pt>
                <c:pt idx="206">
                  <c:v>-22.315039127975673</c:v>
                </c:pt>
                <c:pt idx="207">
                  <c:v>-21.850270005392503</c:v>
                </c:pt>
                <c:pt idx="208">
                  <c:v>-21.403318498709101</c:v>
                </c:pt>
                <c:pt idx="209">
                  <c:v>-20.973272285612602</c:v>
                </c:pt>
                <c:pt idx="210">
                  <c:v>-20.559275749231364</c:v>
                </c:pt>
                <c:pt idx="211">
                  <c:v>-20.16052567202992</c:v>
                </c:pt>
                <c:pt idx="212">
                  <c:v>-19.776267299533046</c:v>
                </c:pt>
                <c:pt idx="213">
                  <c:v>-19.405790737274646</c:v>
                </c:pt>
                <c:pt idx="214">
                  <c:v>-19.048427648345807</c:v>
                </c:pt>
                <c:pt idx="215">
                  <c:v>-18.70354822241514</c:v>
                </c:pt>
                <c:pt idx="216">
                  <c:v>-18.370558390174136</c:v>
                </c:pt>
                <c:pt idx="217">
                  <c:v>-18.048897259876568</c:v>
                </c:pt>
                <c:pt idx="218">
                  <c:v>-17.738034755038779</c:v>
                </c:pt>
                <c:pt idx="219">
                  <c:v>-17.437469434487333</c:v>
                </c:pt>
                <c:pt idx="220">
                  <c:v>-17.146726477817356</c:v>
                </c:pt>
                <c:pt idx="221">
                  <c:v>-16.865355820986846</c:v>
                </c:pt>
                <c:pt idx="222">
                  <c:v>-16.592930428247037</c:v>
                </c:pt>
                <c:pt idx="223">
                  <c:v>-16.329044687917207</c:v>
                </c:pt>
                <c:pt idx="224">
                  <c:v>-16.073312920674901</c:v>
                </c:pt>
                <c:pt idx="225">
                  <c:v>-15.825367990065114</c:v>
                </c:pt>
                <c:pt idx="226">
                  <c:v>-15.584860005849965</c:v>
                </c:pt>
                <c:pt idx="227">
                  <c:v>-15.35145511163627</c:v>
                </c:pt>
                <c:pt idx="228">
                  <c:v>-15.124834348943232</c:v>
                </c:pt>
                <c:pt idx="229">
                  <c:v>-14.904692590516177</c:v>
                </c:pt>
                <c:pt idx="230">
                  <c:v>-14.690737536263242</c:v>
                </c:pt>
                <c:pt idx="231">
                  <c:v>-14.482688765697429</c:v>
                </c:pt>
                <c:pt idx="232">
                  <c:v>-14.280276841213221</c:v>
                </c:pt>
                <c:pt idx="233">
                  <c:v>-14.083242456920804</c:v>
                </c:pt>
                <c:pt idx="234">
                  <c:v>-13.891335628106045</c:v>
                </c:pt>
                <c:pt idx="235">
                  <c:v>-13.704314916686407</c:v>
                </c:pt>
                <c:pt idx="236">
                  <c:v>-13.521946688294573</c:v>
                </c:pt>
                <c:pt idx="237">
                  <c:v>-13.344004396846884</c:v>
                </c:pt>
                <c:pt idx="238">
                  <c:v>-13.170267892645571</c:v>
                </c:pt>
                <c:pt idx="239">
                  <c:v>-13.000522750224832</c:v>
                </c:pt>
                <c:pt idx="240">
                  <c:v>-12.834559612283993</c:v>
                </c:pt>
                <c:pt idx="241">
                  <c:v>-12.672173546158088</c:v>
                </c:pt>
                <c:pt idx="242">
                  <c:v>-12.513163409360166</c:v>
                </c:pt>
                <c:pt idx="243">
                  <c:v>-12.357331220792224</c:v>
                </c:pt>
                <c:pt idx="244">
                  <c:v>-12.204481534265755</c:v>
                </c:pt>
                <c:pt idx="245">
                  <c:v>-12.054420811000714</c:v>
                </c:pt>
                <c:pt idx="246">
                  <c:v>-11.906956787786566</c:v>
                </c:pt>
                <c:pt idx="247">
                  <c:v>-11.761897837494212</c:v>
                </c:pt>
                <c:pt idx="248">
                  <c:v>-11.619052318627292</c:v>
                </c:pt>
                <c:pt idx="249">
                  <c:v>-11.478227910600477</c:v>
                </c:pt>
                <c:pt idx="250">
                  <c:v>-11.339230931437289</c:v>
                </c:pt>
                <c:pt idx="251">
                  <c:v>-11.20186563459832</c:v>
                </c:pt>
                <c:pt idx="252">
                  <c:v>-11.065933481691911</c:v>
                </c:pt>
                <c:pt idx="253">
                  <c:v>-10.931232387895385</c:v>
                </c:pt>
                <c:pt idx="254">
                  <c:v>-10.797555937040643</c:v>
                </c:pt>
                <c:pt idx="255">
                  <c:v>-10.66469256351146</c:v>
                </c:pt>
                <c:pt idx="256">
                  <c:v>-10.532424698384157</c:v>
                </c:pt>
                <c:pt idx="257">
                  <c:v>-10.40052787764618</c:v>
                </c:pt>
                <c:pt idx="258">
                  <c:v>-10.268769810883272</c:v>
                </c:pt>
                <c:pt idx="259">
                  <c:v>-10.136909409576898</c:v>
                </c:pt>
                <c:pt idx="260">
                  <c:v>-10.004695775150907</c:v>
                </c:pt>
                <c:pt idx="261">
                  <c:v>-9.8718671482113418</c:v>
                </c:pt>
                <c:pt idx="262">
                  <c:v>-9.7381498221096034</c:v>
                </c:pt>
                <c:pt idx="263">
                  <c:v>-9.6032570261145089</c:v>
                </c:pt>
                <c:pt idx="264">
                  <c:v>-9.4668877862058096</c:v>
                </c:pt>
                <c:pt idx="265">
                  <c:v>-9.3287257749195351</c:v>
                </c:pt>
                <c:pt idx="266">
                  <c:v>-9.1884381659205498</c:v>
                </c:pt>
                <c:pt idx="267">
                  <c:v>-9.0456745142016928</c:v>
                </c:pt>
                <c:pt idx="268">
                  <c:v>-8.9000656891783514</c:v>
                </c:pt>
                <c:pt idx="269">
                  <c:v>-8.7512228956365448</c:v>
                </c:pt>
                <c:pt idx="270">
                  <c:v>-8.5987368266757755</c:v>
                </c:pt>
                <c:pt idx="271">
                  <c:v>-8.4421770036240709</c:v>
                </c:pt>
                <c:pt idx="272">
                  <c:v>-8.2810913705139377</c:v>
                </c:pt>
                <c:pt idx="273">
                  <c:v>-8.115006225147825</c:v>
                </c:pt>
                <c:pt idx="274">
                  <c:v>-7.943426584991494</c:v>
                </c:pt>
                <c:pt idx="275">
                  <c:v>-7.7658371038836096</c:v>
                </c:pt>
                <c:pt idx="276">
                  <c:v>-7.5817036743637676</c:v>
                </c:pt>
                <c:pt idx="277">
                  <c:v>-7.3904758694829455</c:v>
                </c:pt>
                <c:pt idx="278">
                  <c:v>-7.1915903960048171</c:v>
                </c:pt>
                <c:pt idx="279">
                  <c:v>-6.9844757460986466</c:v>
                </c:pt>
                <c:pt idx="280">
                  <c:v>-6.768558244442751</c:v>
                </c:pt>
                <c:pt idx="281">
                  <c:v>-6.5432696887976567</c:v>
                </c:pt>
                <c:pt idx="282">
                  <c:v>-6.3080567704467851</c:v>
                </c:pt>
                <c:pt idx="283">
                  <c:v>-6.0623924315654261</c:v>
                </c:pt>
                <c:pt idx="284">
                  <c:v>-5.8057892641739075</c:v>
                </c:pt>
                <c:pt idx="285">
                  <c:v>-5.5378149744227203</c:v>
                </c:pt>
                <c:pt idx="286">
                  <c:v>-5.2581098218437452</c:v>
                </c:pt>
                <c:pt idx="287">
                  <c:v>-4.9664057930431751</c:v>
                </c:pt>
                <c:pt idx="288">
                  <c:v>-4.6625470835966372</c:v>
                </c:pt>
                <c:pt idx="289">
                  <c:v>-4.3465112461411088</c:v>
                </c:pt>
                <c:pt idx="290">
                  <c:v>-4.0184301290261661</c:v>
                </c:pt>
                <c:pt idx="291">
                  <c:v>-3.6786094984648146</c:v>
                </c:pt>
                <c:pt idx="292">
                  <c:v>-3.3275460360739504</c:v>
                </c:pt>
                <c:pt idx="293">
                  <c:v>-2.9659402678107862</c:v>
                </c:pt>
                <c:pt idx="294">
                  <c:v>-2.594703947402468</c:v>
                </c:pt>
                <c:pt idx="295">
                  <c:v>-2.2149605223218098</c:v>
                </c:pt>
                <c:pt idx="296">
                  <c:v>-1.828037577406874</c:v>
                </c:pt>
                <c:pt idx="297">
                  <c:v>-1.4354505856561919</c:v>
                </c:pt>
                <c:pt idx="298">
                  <c:v>-1.0388778772220795</c:v>
                </c:pt>
                <c:pt idx="299">
                  <c:v>-0.64012741743990498</c:v>
                </c:pt>
                <c:pt idx="300">
                  <c:v>-0.2410966889035914</c:v>
                </c:pt>
                <c:pt idx="301">
                  <c:v>0.15627238827863466</c:v>
                </c:pt>
                <c:pt idx="302">
                  <c:v>0.55004107947547265</c:v>
                </c:pt>
                <c:pt idx="303">
                  <c:v>0.93832132588821093</c:v>
                </c:pt>
                <c:pt idx="304">
                  <c:v>1.3193204362307069</c:v>
                </c:pt>
                <c:pt idx="305">
                  <c:v>1.6913805894949503</c:v>
                </c:pt>
                <c:pt idx="306">
                  <c:v>2.053011258125375</c:v>
                </c:pt>
                <c:pt idx="307">
                  <c:v>2.402913310211777</c:v>
                </c:pt>
                <c:pt idx="308">
                  <c:v>2.7399942579117749</c:v>
                </c:pt>
                <c:pt idx="309">
                  <c:v>3.0633747979201602</c:v>
                </c:pt>
                <c:pt idx="310">
                  <c:v>3.3723873652921004</c:v>
                </c:pt>
                <c:pt idx="311">
                  <c:v>3.6665678469175402</c:v>
                </c:pt>
                <c:pt idx="312">
                  <c:v>3.9456418566606679</c:v>
                </c:pt>
                <c:pt idx="313">
                  <c:v>4.2095070674133233</c:v>
                </c:pt>
                <c:pt idx="314">
                  <c:v>4.4582130515128906</c:v>
                </c:pt>
                <c:pt idx="315">
                  <c:v>4.6919399358811376</c:v>
                </c:pt>
                <c:pt idx="316">
                  <c:v>4.9109769701094654</c:v>
                </c:pt>
                <c:pt idx="317">
                  <c:v>5.1157018694454761</c:v>
                </c:pt>
                <c:pt idx="318">
                  <c:v>5.306561558228613</c:v>
                </c:pt>
                <c:pt idx="319">
                  <c:v>5.484054722530848</c:v>
                </c:pt>
                <c:pt idx="320">
                  <c:v>5.6487163953670594</c:v>
                </c:pt>
                <c:pt idx="321">
                  <c:v>5.8011046489490985</c:v>
                </c:pt>
                <c:pt idx="322">
                  <c:v>5.9417893561900748</c:v>
                </c:pt>
                <c:pt idx="323">
                  <c:v>6.0713429048812007</c:v>
                </c:pt>
                <c:pt idx="324">
                  <c:v>6.1903326977332584</c:v>
                </c:pt>
                <c:pt idx="325">
                  <c:v>6.2993152442048341</c:v>
                </c:pt>
                <c:pt idx="326">
                  <c:v>6.398831640241097</c:v>
                </c:pt>
                <c:pt idx="327">
                  <c:v>6.4894042347953382</c:v>
                </c:pt>
                <c:pt idx="328">
                  <c:v>6.5715342931622667</c:v>
                </c:pt>
                <c:pt idx="329">
                  <c:v>6.6457004834218401</c:v>
                </c:pt>
                <c:pt idx="330">
                  <c:v>6.7123580311756825</c:v>
                </c:pt>
                <c:pt idx="331">
                  <c:v>6.7719384074505378</c:v>
                </c:pt>
                <c:pt idx="332">
                  <c:v>6.8248494339120995</c:v>
                </c:pt>
                <c:pt idx="333">
                  <c:v>6.8714757075937882</c:v>
                </c:pt>
                <c:pt idx="334">
                  <c:v>6.9121792637517476</c:v>
                </c:pt>
                <c:pt idx="335">
                  <c:v>6.9473004100053304</c:v>
                </c:pt>
                <c:pt idx="336">
                  <c:v>6.9771586775745824</c:v>
                </c:pt>
                <c:pt idx="337">
                  <c:v>7.0020538462539346</c:v>
                </c:pt>
                <c:pt idx="338">
                  <c:v>7.0222670089009416</c:v>
                </c:pt>
                <c:pt idx="339">
                  <c:v>7.0380616488403724</c:v>
                </c:pt>
                <c:pt idx="340">
                  <c:v>7.0496847098700508</c:v>
                </c:pt>
                <c:pt idx="341">
                  <c:v>7.0573676436862822</c:v>
                </c:pt>
                <c:pt idx="342">
                  <c:v>7.0613274236939274</c:v>
                </c:pt>
                <c:pt idx="343">
                  <c:v>7.0617675174850882</c:v>
                </c:pt>
                <c:pt idx="344">
                  <c:v>7.058878812898346</c:v>
                </c:pt>
                <c:pt idx="345">
                  <c:v>7.0528404946288301</c:v>
                </c:pt>
                <c:pt idx="346">
                  <c:v>7.0438208699507916</c:v>
                </c:pt>
                <c:pt idx="347">
                  <c:v>7.0319781433269952</c:v>
                </c:pt>
                <c:pt idx="348">
                  <c:v>7.0174611405864669</c:v>
                </c:pt>
                <c:pt idx="349">
                  <c:v>7.0004099840152296</c:v>
                </c:pt>
                <c:pt idx="350">
                  <c:v>6.980956720174091</c:v>
                </c:pt>
                <c:pt idx="351">
                  <c:v>6.9592259025746905</c:v>
                </c:pt>
                <c:pt idx="352">
                  <c:v>6.9353351315434395</c:v>
                </c:pt>
                <c:pt idx="353">
                  <c:v>6.909395553710139</c:v>
                </c:pt>
                <c:pt idx="354">
                  <c:v>6.8815123235954312</c:v>
                </c:pt>
                <c:pt idx="355">
                  <c:v>6.8517850297567922</c:v>
                </c:pt>
                <c:pt idx="356">
                  <c:v>6.8203080878999192</c:v>
                </c:pt>
                <c:pt idx="357">
                  <c:v>6.7871711032823736</c:v>
                </c:pt>
                <c:pt idx="358">
                  <c:v>6.752459204637713</c:v>
                </c:pt>
                <c:pt idx="359">
                  <c:v>6.7162533517375183</c:v>
                </c:pt>
                <c:pt idx="360">
                  <c:v>6.6786306185912157</c:v>
                </c:pt>
                <c:pt idx="361">
                  <c:v>6.6396644541628298</c:v>
                </c:pt>
                <c:pt idx="362">
                  <c:v>6.5994249223631751</c:v>
                </c:pt>
                <c:pt idx="363">
                  <c:v>6.5579789229571066</c:v>
                </c:pt>
                <c:pt idx="364">
                  <c:v>6.5153903949104484</c:v>
                </c:pt>
                <c:pt idx="365">
                  <c:v>6.4717205035905554</c:v>
                </c:pt>
                <c:pt idx="366">
                  <c:v>6.4270278131293157</c:v>
                </c:pt>
                <c:pt idx="367">
                  <c:v>6.3813684451579427</c:v>
                </c:pt>
                <c:pt idx="368">
                  <c:v>6.3347962250292413</c:v>
                </c:pt>
                <c:pt idx="369">
                  <c:v>6.2873628165557172</c:v>
                </c:pt>
                <c:pt idx="370">
                  <c:v>6.2391178462099486</c:v>
                </c:pt>
                <c:pt idx="371">
                  <c:v>6.1901090176579947</c:v>
                </c:pt>
                <c:pt idx="372">
                  <c:v>6.1403822174260494</c:v>
                </c:pt>
                <c:pt idx="373">
                  <c:v>6.0899816124354729</c:v>
                </c:pt>
                <c:pt idx="374">
                  <c:v>6.0389497400812191</c:v>
                </c:pt>
                <c:pt idx="375">
                  <c:v>5.9873275914731154</c:v>
                </c:pt>
                <c:pt idx="376">
                  <c:v>5.9351546884084403</c:v>
                </c:pt>
                <c:pt idx="377">
                  <c:v>5.8824691545971763</c:v>
                </c:pt>
                <c:pt idx="378">
                  <c:v>5.8293077816181205</c:v>
                </c:pt>
                <c:pt idx="379">
                  <c:v>5.7757060900443431</c:v>
                </c:pt>
                <c:pt idx="380">
                  <c:v>5.7216983861399999</c:v>
                </c:pt>
                <c:pt idx="381">
                  <c:v>5.667317814497121</c:v>
                </c:pt>
                <c:pt idx="382">
                  <c:v>5.6125964069502166</c:v>
                </c:pt>
                <c:pt idx="383">
                  <c:v>5.557565128078477</c:v>
                </c:pt>
                <c:pt idx="384">
                  <c:v>5.5022539175795036</c:v>
                </c:pt>
                <c:pt idx="385">
                  <c:v>5.4466917297748196</c:v>
                </c:pt>
                <c:pt idx="386">
                  <c:v>5.390906570485746</c:v>
                </c:pt>
                <c:pt idx="387">
                  <c:v>5.3349255314983512</c:v>
                </c:pt>
                <c:pt idx="388">
                  <c:v>5.2787748228178408</c:v>
                </c:pt>
                <c:pt idx="389">
                  <c:v>5.2224798028962276</c:v>
                </c:pt>
                <c:pt idx="390">
                  <c:v>5.1660650070014933</c:v>
                </c:pt>
                <c:pt idx="391">
                  <c:v>5.109554173882767</c:v>
                </c:pt>
                <c:pt idx="392">
                  <c:v>5.052970270872712</c:v>
                </c:pt>
                <c:pt idx="393">
                  <c:v>4.9963355175569273</c:v>
                </c:pt>
                <c:pt idx="394">
                  <c:v>4.9396714081288939</c:v>
                </c:pt>
                <c:pt idx="395">
                  <c:v>4.882998732539348</c:v>
                </c:pt>
                <c:pt idx="396">
                  <c:v>4.8263375965396529</c:v>
                </c:pt>
                <c:pt idx="397">
                  <c:v>4.7697074407103939</c:v>
                </c:pt>
                <c:pt idx="398">
                  <c:v>4.713127058558725</c:v>
                </c:pt>
                <c:pt idx="399">
                  <c:v>4.6566146137608806</c:v>
                </c:pt>
                <c:pt idx="400">
                  <c:v>4.6001876566198359</c:v>
                </c:pt>
                <c:pt idx="401">
                  <c:v>4.5438631398020739</c:v>
                </c:pt>
                <c:pt idx="402">
                  <c:v>4.4876574334119415</c:v>
                </c:pt>
                <c:pt idx="403">
                  <c:v>4.4315863394571107</c:v>
                </c:pt>
                <c:pt idx="404">
                  <c:v>4.3756651057539244</c:v>
                </c:pt>
                <c:pt idx="405">
                  <c:v>4.3199084393173033</c:v>
                </c:pt>
                <c:pt idx="406">
                  <c:v>4.2643305192758447</c:v>
                </c:pt>
                <c:pt idx="407">
                  <c:v>4.2089450093492742</c:v>
                </c:pt>
                <c:pt idx="408">
                  <c:v>4.1537650699220574</c:v>
                </c:pt>
                <c:pt idx="409">
                  <c:v>4.0988033697440258</c:v>
                </c:pt>
                <c:pt idx="410">
                  <c:v>4.0440720972859951</c:v>
                </c:pt>
                <c:pt idx="411">
                  <c:v>3.9895829717759197</c:v>
                </c:pt>
                <c:pt idx="412">
                  <c:v>3.93534725393872</c:v>
                </c:pt>
                <c:pt idx="413">
                  <c:v>3.8813757564608444</c:v>
                </c:pt>
                <c:pt idx="414">
                  <c:v>3.8276788541985365</c:v>
                </c:pt>
                <c:pt idx="415">
                  <c:v>3.7742664941471702</c:v>
                </c:pt>
                <c:pt idx="416">
                  <c:v>3.7211482051871991</c:v>
                </c:pt>
                <c:pt idx="417">
                  <c:v>3.6683331076208248</c:v>
                </c:pt>
                <c:pt idx="418">
                  <c:v>3.6158299225121171</c:v>
                </c:pt>
                <c:pt idx="419">
                  <c:v>3.5636469808420408</c:v>
                </c:pt>
                <c:pt idx="420">
                  <c:v>3.5117922324886823</c:v>
                </c:pt>
                <c:pt idx="421">
                  <c:v>3.4602732550419653</c:v>
                </c:pt>
                <c:pt idx="422">
                  <c:v>3.4090972624610476</c:v>
                </c:pt>
                <c:pt idx="423">
                  <c:v>3.3582711135819387</c:v>
                </c:pt>
                <c:pt idx="424">
                  <c:v>3.3078013204818522</c:v>
                </c:pt>
                <c:pt idx="425">
                  <c:v>3.2576940567062538</c:v>
                </c:pt>
                <c:pt idx="426">
                  <c:v>3.2079551653638037</c:v>
                </c:pt>
                <c:pt idx="427">
                  <c:v>3.1585901670938439</c:v>
                </c:pt>
                <c:pt idx="428">
                  <c:v>3.1096042679105347</c:v>
                </c:pt>
                <c:pt idx="429">
                  <c:v>3.0610023669272808</c:v>
                </c:pt>
                <c:pt idx="430">
                  <c:v>3.0127890639645543</c:v>
                </c:pt>
                <c:pt idx="431">
                  <c:v>2.9649686670440145</c:v>
                </c:pt>
                <c:pt idx="432">
                  <c:v>2.9175451997712356</c:v>
                </c:pt>
                <c:pt idx="433">
                  <c:v>2.8705224086092445</c:v>
                </c:pt>
                <c:pt idx="434">
                  <c:v>2.823903770044657</c:v>
                </c:pt>
                <c:pt idx="435">
                  <c:v>2.7776924976480393</c:v>
                </c:pt>
                <c:pt idx="436">
                  <c:v>2.7318915490298048</c:v>
                </c:pt>
                <c:pt idx="437">
                  <c:v>2.6865036326928786</c:v>
                </c:pt>
                <c:pt idx="438">
                  <c:v>2.6415312147830745</c:v>
                </c:pt>
                <c:pt idx="439">
                  <c:v>2.5969765257380928</c:v>
                </c:pt>
                <c:pt idx="440">
                  <c:v>2.5528415668358084</c:v>
                </c:pt>
                <c:pt idx="441">
                  <c:v>2.509128116642497</c:v>
                </c:pt>
                <c:pt idx="442">
                  <c:v>2.4658377373615599</c:v>
                </c:pt>
                <c:pt idx="443">
                  <c:v>2.4229717810831088</c:v>
                </c:pt>
                <c:pt idx="444">
                  <c:v>2.3805313959348258</c:v>
                </c:pt>
                <c:pt idx="445">
                  <c:v>2.3385175321345431</c:v>
                </c:pt>
                <c:pt idx="446">
                  <c:v>2.2969309479446247</c:v>
                </c:pt>
                <c:pt idx="447">
                  <c:v>2.2557722155286228</c:v>
                </c:pt>
                <c:pt idx="448">
                  <c:v>2.215041726710286</c:v>
                </c:pt>
                <c:pt idx="449">
                  <c:v>2.1747396986353245</c:v>
                </c:pt>
                <c:pt idx="450">
                  <c:v>2.1348661793359494</c:v>
                </c:pt>
                <c:pt idx="451">
                  <c:v>2.0954210531986392</c:v>
                </c:pt>
                <c:pt idx="452">
                  <c:v>2.0564040463351931</c:v>
                </c:pt>
                <c:pt idx="453">
                  <c:v>2.0178147318574426</c:v>
                </c:pt>
                <c:pt idx="454">
                  <c:v>1.9796525350557985</c:v>
                </c:pt>
                <c:pt idx="455">
                  <c:v>1.941916738481976</c:v>
                </c:pt>
                <c:pt idx="456">
                  <c:v>1.9046064869362267</c:v>
                </c:pt>
                <c:pt idx="457">
                  <c:v>1.8677207923593437</c:v>
                </c:pt>
                <c:pt idx="458">
                  <c:v>1.8312585386298643</c:v>
                </c:pt>
                <c:pt idx="459">
                  <c:v>1.7952184862668759</c:v>
                </c:pt>
                <c:pt idx="460">
                  <c:v>1.7595992770387987</c:v>
                </c:pt>
                <c:pt idx="461">
                  <c:v>1.7243994384786632</c:v>
                </c:pt>
                <c:pt idx="462">
                  <c:v>1.6896173883064005</c:v>
                </c:pt>
                <c:pt idx="463">
                  <c:v>1.6552514387585688</c:v>
                </c:pt>
                <c:pt idx="464">
                  <c:v>1.62129980082622</c:v>
                </c:pt>
                <c:pt idx="465">
                  <c:v>1.5877605884014248</c:v>
                </c:pt>
                <c:pt idx="466">
                  <c:v>1.554631822333107</c:v>
                </c:pt>
                <c:pt idx="467">
                  <c:v>1.5219114343929299</c:v>
                </c:pt>
                <c:pt idx="468">
                  <c:v>1.4895972711518191</c:v>
                </c:pt>
                <c:pt idx="469">
                  <c:v>1.4576870977679555</c:v>
                </c:pt>
                <c:pt idx="470">
                  <c:v>1.4261786016870133</c:v>
                </c:pt>
                <c:pt idx="471">
                  <c:v>1.3950693962553871</c:v>
                </c:pt>
                <c:pt idx="472">
                  <c:v>1.3643570242472904</c:v>
                </c:pt>
                <c:pt idx="473">
                  <c:v>1.3340389613066215</c:v>
                </c:pt>
                <c:pt idx="474">
                  <c:v>1.3041126193043908</c:v>
                </c:pt>
                <c:pt idx="475">
                  <c:v>1.2745753496127232</c:v>
                </c:pt>
                <c:pt idx="476">
                  <c:v>1.2454244462963562</c:v>
                </c:pt>
                <c:pt idx="477">
                  <c:v>1.2166571492226304</c:v>
                </c:pt>
                <c:pt idx="478">
                  <c:v>1.1882706470908779</c:v>
                </c:pt>
                <c:pt idx="479">
                  <c:v>1.1602620803823473</c:v>
                </c:pt>
                <c:pt idx="480">
                  <c:v>1.1326285442316273</c:v>
                </c:pt>
                <c:pt idx="481">
                  <c:v>1.1053670912206393</c:v>
                </c:pt>
                <c:pt idx="482">
                  <c:v>1.0784747340962966</c:v>
                </c:pt>
                <c:pt idx="483">
                  <c:v>1.0519484484129098</c:v>
                </c:pt>
                <c:pt idx="484">
                  <c:v>1.0257851751004008</c:v>
                </c:pt>
                <c:pt idx="485">
                  <c:v>0.99998182295954763</c:v>
                </c:pt>
                <c:pt idx="486">
                  <c:v>0.97453527108527283</c:v>
                </c:pt>
                <c:pt idx="487">
                  <c:v>0.94944237121920594</c:v>
                </c:pt>
                <c:pt idx="488">
                  <c:v>0.9246999500326325</c:v>
                </c:pt>
                <c:pt idx="489">
                  <c:v>0.90030481134099105</c:v>
                </c:pt>
                <c:pt idx="490">
                  <c:v>0.87625373825109598</c:v>
                </c:pt>
                <c:pt idx="491">
                  <c:v>0.8525434952422497</c:v>
                </c:pt>
                <c:pt idx="492">
                  <c:v>0.82917083018239879</c:v>
                </c:pt>
                <c:pt idx="493">
                  <c:v>0.80613247628059348</c:v>
                </c:pt>
                <c:pt idx="494">
                  <c:v>0.78342515397682178</c:v>
                </c:pt>
                <c:pt idx="495">
                  <c:v>0.76104557277044727</c:v>
                </c:pt>
                <c:pt idx="496">
                  <c:v>0.73899043298849421</c:v>
                </c:pt>
                <c:pt idx="497">
                  <c:v>0.71725642749485452</c:v>
                </c:pt>
                <c:pt idx="498">
                  <c:v>0.69584024334163885</c:v>
                </c:pt>
                <c:pt idx="499">
                  <c:v>0.67473856336389026</c:v>
                </c:pt>
                <c:pt idx="500">
                  <c:v>0.65394806771875302</c:v>
                </c:pt>
                <c:pt idx="501">
                  <c:v>0.63346543537033106</c:v>
                </c:pt>
                <c:pt idx="502">
                  <c:v>0.61328734552132502</c:v>
                </c:pt>
                <c:pt idx="503">
                  <c:v>0.59341047899266819</c:v>
                </c:pt>
                <c:pt idx="504">
                  <c:v>0.5738315195522965</c:v>
                </c:pt>
                <c:pt idx="505">
                  <c:v>0.55454715519410769</c:v>
                </c:pt>
                <c:pt idx="506">
                  <c:v>0.53555407936836374</c:v>
                </c:pt>
                <c:pt idx="507">
                  <c:v>0.53553540057905913</c:v>
                </c:pt>
                <c:pt idx="508">
                  <c:v>0.53551672207279211</c:v>
                </c:pt>
                <c:pt idx="509">
                  <c:v>0.5354980438495609</c:v>
                </c:pt>
                <c:pt idx="510">
                  <c:v>0.53547936590936729</c:v>
                </c:pt>
                <c:pt idx="511">
                  <c:v>0.53546068825219884</c:v>
                </c:pt>
                <c:pt idx="512">
                  <c:v>0.53544201087805554</c:v>
                </c:pt>
                <c:pt idx="513">
                  <c:v>0.53542333378693741</c:v>
                </c:pt>
                <c:pt idx="514">
                  <c:v>0.5354046569788391</c:v>
                </c:pt>
                <c:pt idx="515">
                  <c:v>0.53538598045375529</c:v>
                </c:pt>
                <c:pt idx="516">
                  <c:v>0.53536730421168599</c:v>
                </c:pt>
                <c:pt idx="517">
                  <c:v>0.53534862825262763</c:v>
                </c:pt>
                <c:pt idx="518">
                  <c:v>0.53532995257657667</c:v>
                </c:pt>
                <c:pt idx="519">
                  <c:v>0.53531127718353311</c:v>
                </c:pt>
                <c:pt idx="520">
                  <c:v>0.5352926020734845</c:v>
                </c:pt>
                <c:pt idx="521">
                  <c:v>0.53527392724643619</c:v>
                </c:pt>
                <c:pt idx="522">
                  <c:v>0.53525525270237928</c:v>
                </c:pt>
                <c:pt idx="523">
                  <c:v>0.53523657844131556</c:v>
                </c:pt>
                <c:pt idx="524">
                  <c:v>0.53521790446324147</c:v>
                </c:pt>
                <c:pt idx="525">
                  <c:v>0.53519923076815168</c:v>
                </c:pt>
                <c:pt idx="526">
                  <c:v>0.53518055735603909</c:v>
                </c:pt>
                <c:pt idx="527">
                  <c:v>0.53516188422690725</c:v>
                </c:pt>
                <c:pt idx="528">
                  <c:v>0.53514321138074727</c:v>
                </c:pt>
                <c:pt idx="529">
                  <c:v>0.53512453881756805</c:v>
                </c:pt>
                <c:pt idx="530">
                  <c:v>0.53510586653734826</c:v>
                </c:pt>
                <c:pt idx="531">
                  <c:v>0.53508719454010034</c:v>
                </c:pt>
                <c:pt idx="532">
                  <c:v>0.5350685228258083</c:v>
                </c:pt>
                <c:pt idx="533">
                  <c:v>0.53504985139447925</c:v>
                </c:pt>
                <c:pt idx="534">
                  <c:v>0.53503118024610075</c:v>
                </c:pt>
                <c:pt idx="535">
                  <c:v>0.53501250938068345</c:v>
                </c:pt>
                <c:pt idx="536">
                  <c:v>0.53499383879821139</c:v>
                </c:pt>
                <c:pt idx="537">
                  <c:v>0.53497516849867921</c:v>
                </c:pt>
                <c:pt idx="538">
                  <c:v>0.53495649848209759</c:v>
                </c:pt>
                <c:pt idx="539">
                  <c:v>0.53493782874845586</c:v>
                </c:pt>
                <c:pt idx="540">
                  <c:v>0.53491915929774692</c:v>
                </c:pt>
                <c:pt idx="541">
                  <c:v>0.53490049012997076</c:v>
                </c:pt>
                <c:pt idx="542">
                  <c:v>0.53488182124512385</c:v>
                </c:pt>
                <c:pt idx="543">
                  <c:v>0.53486315264321149</c:v>
                </c:pt>
                <c:pt idx="544">
                  <c:v>0.53484448432421061</c:v>
                </c:pt>
                <c:pt idx="545">
                  <c:v>0.53482581628813897</c:v>
                </c:pt>
                <c:pt idx="546">
                  <c:v>0.53480714853498412</c:v>
                </c:pt>
                <c:pt idx="547">
                  <c:v>0.53478848106474075</c:v>
                </c:pt>
                <c:pt idx="548">
                  <c:v>0.5347698138774053</c:v>
                </c:pt>
                <c:pt idx="549">
                  <c:v>0.53475114697298132</c:v>
                </c:pt>
                <c:pt idx="550">
                  <c:v>0.53473248035145993</c:v>
                </c:pt>
                <c:pt idx="551">
                  <c:v>0.5347138140128429</c:v>
                </c:pt>
                <c:pt idx="552">
                  <c:v>0.53469514795711426</c:v>
                </c:pt>
                <c:pt idx="553">
                  <c:v>0.53467648218428998</c:v>
                </c:pt>
                <c:pt idx="554">
                  <c:v>0.53465781669435231</c:v>
                </c:pt>
                <c:pt idx="555">
                  <c:v>0.53463915148731189</c:v>
                </c:pt>
                <c:pt idx="556">
                  <c:v>0.53462048656314209</c:v>
                </c:pt>
                <c:pt idx="557">
                  <c:v>0.53460182192186245</c:v>
                </c:pt>
                <c:pt idx="558">
                  <c:v>0.53458315756345698</c:v>
                </c:pt>
                <c:pt idx="559">
                  <c:v>0.53456449348792745</c:v>
                </c:pt>
                <c:pt idx="560">
                  <c:v>0.53454582969527209</c:v>
                </c:pt>
                <c:pt idx="561">
                  <c:v>0.53452716618548379</c:v>
                </c:pt>
                <c:pt idx="562">
                  <c:v>0.53450850295856256</c:v>
                </c:pt>
                <c:pt idx="563">
                  <c:v>0.53448984001450661</c:v>
                </c:pt>
                <c:pt idx="564">
                  <c:v>0.53447117735330707</c:v>
                </c:pt>
                <c:pt idx="565">
                  <c:v>0.53445251497496038</c:v>
                </c:pt>
                <c:pt idx="566">
                  <c:v>0.53443385287947187</c:v>
                </c:pt>
                <c:pt idx="567">
                  <c:v>0.53441519106682911</c:v>
                </c:pt>
                <c:pt idx="568">
                  <c:v>0.53439652953703387</c:v>
                </c:pt>
                <c:pt idx="569">
                  <c:v>0.53437786829008083</c:v>
                </c:pt>
                <c:pt idx="570">
                  <c:v>0.53435920732597175</c:v>
                </c:pt>
                <c:pt idx="571">
                  <c:v>0.53434054664469421</c:v>
                </c:pt>
                <c:pt idx="572">
                  <c:v>0.53432188624625354</c:v>
                </c:pt>
                <c:pt idx="573">
                  <c:v>0.53430322613064085</c:v>
                </c:pt>
                <c:pt idx="574">
                  <c:v>0.53428456629785437</c:v>
                </c:pt>
                <c:pt idx="575">
                  <c:v>0.53426590674789409</c:v>
                </c:pt>
                <c:pt idx="576">
                  <c:v>0.53424724748074759</c:v>
                </c:pt>
                <c:pt idx="577">
                  <c:v>0.53422858849643085</c:v>
                </c:pt>
                <c:pt idx="578">
                  <c:v>0.53420992979491899</c:v>
                </c:pt>
                <c:pt idx="579">
                  <c:v>0.53419127137621736</c:v>
                </c:pt>
                <c:pt idx="580">
                  <c:v>0.53417261324032594</c:v>
                </c:pt>
                <c:pt idx="581">
                  <c:v>0.53415395538724475</c:v>
                </c:pt>
                <c:pt idx="582">
                  <c:v>0.53413529781695779</c:v>
                </c:pt>
                <c:pt idx="583">
                  <c:v>0.53411664052947039</c:v>
                </c:pt>
                <c:pt idx="584">
                  <c:v>0.53409798352478255</c:v>
                </c:pt>
                <c:pt idx="585">
                  <c:v>0.53407932680288006</c:v>
                </c:pt>
                <c:pt idx="586">
                  <c:v>0.53406067036376825</c:v>
                </c:pt>
                <c:pt idx="587">
                  <c:v>0.53404201420744357</c:v>
                </c:pt>
                <c:pt idx="588">
                  <c:v>0.53402335833389891</c:v>
                </c:pt>
                <c:pt idx="589">
                  <c:v>0.5340047027431325</c:v>
                </c:pt>
                <c:pt idx="590">
                  <c:v>0.533986047435139</c:v>
                </c:pt>
                <c:pt idx="591">
                  <c:v>0.53396739240991664</c:v>
                </c:pt>
                <c:pt idx="592">
                  <c:v>0.53394873766747253</c:v>
                </c:pt>
                <c:pt idx="593">
                  <c:v>0.53393008320779067</c:v>
                </c:pt>
                <c:pt idx="594">
                  <c:v>0.5339114290308693</c:v>
                </c:pt>
                <c:pt idx="595">
                  <c:v>0.53389277513671018</c:v>
                </c:pt>
                <c:pt idx="596">
                  <c:v>0.53387412152530445</c:v>
                </c:pt>
                <c:pt idx="597">
                  <c:v>0.53385546819665031</c:v>
                </c:pt>
                <c:pt idx="598">
                  <c:v>0.53383681515074777</c:v>
                </c:pt>
                <c:pt idx="599">
                  <c:v>0.53381816238759505</c:v>
                </c:pt>
                <c:pt idx="600">
                  <c:v>0.53379950990718328</c:v>
                </c:pt>
                <c:pt idx="601">
                  <c:v>0.53378085770951067</c:v>
                </c:pt>
                <c:pt idx="602">
                  <c:v>0.53376220579457545</c:v>
                </c:pt>
                <c:pt idx="603">
                  <c:v>0.53374355416237051</c:v>
                </c:pt>
                <c:pt idx="604">
                  <c:v>0.53372490281290474</c:v>
                </c:pt>
                <c:pt idx="605">
                  <c:v>0.53370625174615505</c:v>
                </c:pt>
                <c:pt idx="606">
                  <c:v>0.53368760096213741</c:v>
                </c:pt>
                <c:pt idx="607">
                  <c:v>0.53366895046083762</c:v>
                </c:pt>
                <c:pt idx="608">
                  <c:v>0.53365030024225923</c:v>
                </c:pt>
                <c:pt idx="609">
                  <c:v>0.53363165030639159</c:v>
                </c:pt>
                <c:pt idx="610">
                  <c:v>0.53361300065323469</c:v>
                </c:pt>
                <c:pt idx="611">
                  <c:v>0.53359435128278854</c:v>
                </c:pt>
                <c:pt idx="612">
                  <c:v>0.5335757021950478</c:v>
                </c:pt>
                <c:pt idx="613">
                  <c:v>0.53355705339000892</c:v>
                </c:pt>
                <c:pt idx="614">
                  <c:v>0.53353840486766835</c:v>
                </c:pt>
                <c:pt idx="615">
                  <c:v>0.53351975662801721</c:v>
                </c:pt>
                <c:pt idx="616">
                  <c:v>0.53350110867106615</c:v>
                </c:pt>
                <c:pt idx="617">
                  <c:v>0.53348246099679741</c:v>
                </c:pt>
                <c:pt idx="618">
                  <c:v>0.53346381360521278</c:v>
                </c:pt>
                <c:pt idx="619">
                  <c:v>0.53344516649631935</c:v>
                </c:pt>
                <c:pt idx="620">
                  <c:v>0.53342651967009402</c:v>
                </c:pt>
                <c:pt idx="621">
                  <c:v>0.53340787312655102</c:v>
                </c:pt>
                <c:pt idx="622">
                  <c:v>0.53338922686568324</c:v>
                </c:pt>
                <c:pt idx="623">
                  <c:v>0.53337058088748002</c:v>
                </c:pt>
                <c:pt idx="624">
                  <c:v>0.53335193519194668</c:v>
                </c:pt>
                <c:pt idx="625">
                  <c:v>0.53333328977907257</c:v>
                </c:pt>
                <c:pt idx="626">
                  <c:v>0.53331464464886125</c:v>
                </c:pt>
                <c:pt idx="627">
                  <c:v>0.53329599980130382</c:v>
                </c:pt>
                <c:pt idx="628">
                  <c:v>0.53327735523640207</c:v>
                </c:pt>
                <c:pt idx="629">
                  <c:v>0.53325871095414712</c:v>
                </c:pt>
                <c:pt idx="630">
                  <c:v>0.53324006695454074</c:v>
                </c:pt>
                <c:pt idx="631">
                  <c:v>0.53322142323757937</c:v>
                </c:pt>
                <c:pt idx="632">
                  <c:v>0.53320277980326125</c:v>
                </c:pt>
                <c:pt idx="633">
                  <c:v>0.53318413665157394</c:v>
                </c:pt>
                <c:pt idx="634">
                  <c:v>0.53316549378252276</c:v>
                </c:pt>
                <c:pt idx="635">
                  <c:v>0.53314685119610239</c:v>
                </c:pt>
                <c:pt idx="636">
                  <c:v>0.53312820889231638</c:v>
                </c:pt>
                <c:pt idx="637">
                  <c:v>0.53310956687114519</c:v>
                </c:pt>
                <c:pt idx="638">
                  <c:v>0.5330909251325977</c:v>
                </c:pt>
                <c:pt idx="639">
                  <c:v>0.53307228367667214</c:v>
                </c:pt>
                <c:pt idx="640">
                  <c:v>0.53305364250335607</c:v>
                </c:pt>
                <c:pt idx="641">
                  <c:v>0.53303500161265482</c:v>
                </c:pt>
                <c:pt idx="642">
                  <c:v>0.53301636100455951</c:v>
                </c:pt>
                <c:pt idx="643">
                  <c:v>0.53299772067906837</c:v>
                </c:pt>
                <c:pt idx="644">
                  <c:v>0.53297908063618316</c:v>
                </c:pt>
                <c:pt idx="645">
                  <c:v>0.53296044087589323</c:v>
                </c:pt>
                <c:pt idx="646">
                  <c:v>0.53294180139820035</c:v>
                </c:pt>
                <c:pt idx="647">
                  <c:v>0.53292316220310099</c:v>
                </c:pt>
                <c:pt idx="648">
                  <c:v>0.53290452329058624</c:v>
                </c:pt>
                <c:pt idx="649">
                  <c:v>0.53288588466066145</c:v>
                </c:pt>
                <c:pt idx="650">
                  <c:v>0.5328672463133266</c:v>
                </c:pt>
                <c:pt idx="651">
                  <c:v>0.5328486082485604</c:v>
                </c:pt>
                <c:pt idx="652">
                  <c:v>0.53282997046636638</c:v>
                </c:pt>
                <c:pt idx="653">
                  <c:v>0.53281133296675875</c:v>
                </c:pt>
                <c:pt idx="654">
                  <c:v>0.53279269574971089</c:v>
                </c:pt>
                <c:pt idx="655">
                  <c:v>0.53277405881523343</c:v>
                </c:pt>
                <c:pt idx="656">
                  <c:v>0.53275542216331573</c:v>
                </c:pt>
                <c:pt idx="657">
                  <c:v>0.53273678579396488</c:v>
                </c:pt>
                <c:pt idx="658">
                  <c:v>0.53271814970716491</c:v>
                </c:pt>
                <c:pt idx="659">
                  <c:v>0.53269951390292114</c:v>
                </c:pt>
                <c:pt idx="660">
                  <c:v>0.53268087838123002</c:v>
                </c:pt>
                <c:pt idx="661">
                  <c:v>0.53266224314208266</c:v>
                </c:pt>
                <c:pt idx="662">
                  <c:v>0.53264360818548084</c:v>
                </c:pt>
                <c:pt idx="663">
                  <c:v>0.53262497351141747</c:v>
                </c:pt>
                <c:pt idx="664">
                  <c:v>0.53260633911989608</c:v>
                </c:pt>
                <c:pt idx="665">
                  <c:v>0.53258770501090424</c:v>
                </c:pt>
                <c:pt idx="666">
                  <c:v>0.53256907118444374</c:v>
                </c:pt>
                <c:pt idx="667">
                  <c:v>0.53255043764051102</c:v>
                </c:pt>
                <c:pt idx="668">
                  <c:v>0.53253180437910608</c:v>
                </c:pt>
                <c:pt idx="669">
                  <c:v>0.53251317140022536</c:v>
                </c:pt>
                <c:pt idx="670">
                  <c:v>0.53249453870385643</c:v>
                </c:pt>
                <c:pt idx="671">
                  <c:v>0.53247590629000463</c:v>
                </c:pt>
                <c:pt idx="672">
                  <c:v>0.53245727415866639</c:v>
                </c:pt>
                <c:pt idx="673">
                  <c:v>0.5324386423098364</c:v>
                </c:pt>
                <c:pt idx="674">
                  <c:v>0.53242001074351109</c:v>
                </c:pt>
                <c:pt idx="675">
                  <c:v>0.53240137945968868</c:v>
                </c:pt>
                <c:pt idx="676">
                  <c:v>0.53238274845836386</c:v>
                </c:pt>
                <c:pt idx="677">
                  <c:v>0.53236411773953485</c:v>
                </c:pt>
                <c:pt idx="678">
                  <c:v>0.53234548730319631</c:v>
                </c:pt>
                <c:pt idx="679">
                  <c:v>0.5323268571493518</c:v>
                </c:pt>
                <c:pt idx="680">
                  <c:v>0.5323082272779871</c:v>
                </c:pt>
                <c:pt idx="681">
                  <c:v>0.53228959768911466</c:v>
                </c:pt>
                <c:pt idx="682">
                  <c:v>0.5322709683827167</c:v>
                </c:pt>
                <c:pt idx="683">
                  <c:v>0.53225233935879501</c:v>
                </c:pt>
                <c:pt idx="684">
                  <c:v>0.53223371061734781</c:v>
                </c:pt>
                <c:pt idx="685">
                  <c:v>0.53221508215836799</c:v>
                </c:pt>
                <c:pt idx="686">
                  <c:v>0.53219645398185733</c:v>
                </c:pt>
                <c:pt idx="687">
                  <c:v>0.5321778260878105</c:v>
                </c:pt>
                <c:pt idx="688">
                  <c:v>0.53215919847621862</c:v>
                </c:pt>
                <c:pt idx="689">
                  <c:v>0.53214057114709412</c:v>
                </c:pt>
                <c:pt idx="690">
                  <c:v>0.53212194410041569</c:v>
                </c:pt>
                <c:pt idx="691">
                  <c:v>0.53210331733619043</c:v>
                </c:pt>
                <c:pt idx="692">
                  <c:v>0.53208469085441301</c:v>
                </c:pt>
                <c:pt idx="693">
                  <c:v>0.53206606465508166</c:v>
                </c:pt>
                <c:pt idx="694">
                  <c:v>0.53204743873818572</c:v>
                </c:pt>
                <c:pt idx="695">
                  <c:v>0.53202881310372874</c:v>
                </c:pt>
                <c:pt idx="696">
                  <c:v>0.53201018775170716</c:v>
                </c:pt>
                <c:pt idx="697">
                  <c:v>0.53199156268211922</c:v>
                </c:pt>
                <c:pt idx="698">
                  <c:v>0.53197293789496136</c:v>
                </c:pt>
                <c:pt idx="699">
                  <c:v>0.53195431339023003</c:v>
                </c:pt>
                <c:pt idx="700">
                  <c:v>0.53193568916791101</c:v>
                </c:pt>
                <c:pt idx="701">
                  <c:v>0.53191706522801852</c:v>
                </c:pt>
                <c:pt idx="702">
                  <c:v>0.53189844157054011</c:v>
                </c:pt>
                <c:pt idx="703">
                  <c:v>0.53187981819547403</c:v>
                </c:pt>
                <c:pt idx="704">
                  <c:v>0.53186119510281671</c:v>
                </c:pt>
                <c:pt idx="705">
                  <c:v>0.53184257229256282</c:v>
                </c:pt>
                <c:pt idx="706">
                  <c:v>0.53182394976471592</c:v>
                </c:pt>
                <c:pt idx="707">
                  <c:v>0.53180532751926712</c:v>
                </c:pt>
                <c:pt idx="708">
                  <c:v>0.53178670555620755</c:v>
                </c:pt>
                <c:pt idx="709">
                  <c:v>0.53176808387555141</c:v>
                </c:pt>
                <c:pt idx="710">
                  <c:v>0.53174946247727384</c:v>
                </c:pt>
                <c:pt idx="711">
                  <c:v>0.53173084136139082</c:v>
                </c:pt>
                <c:pt idx="712">
                  <c:v>0.53171222052788814</c:v>
                </c:pt>
                <c:pt idx="713">
                  <c:v>0.5316935999767729</c:v>
                </c:pt>
                <c:pt idx="714">
                  <c:v>0.53167497970802202</c:v>
                </c:pt>
                <c:pt idx="715">
                  <c:v>0.53165635972164971</c:v>
                </c:pt>
                <c:pt idx="716">
                  <c:v>0.5316377400176453</c:v>
                </c:pt>
                <c:pt idx="717">
                  <c:v>0.53161912059601413</c:v>
                </c:pt>
                <c:pt idx="718">
                  <c:v>0.53160050145674198</c:v>
                </c:pt>
                <c:pt idx="719">
                  <c:v>0.53158188259983064</c:v>
                </c:pt>
                <c:pt idx="720">
                  <c:v>0.53156326402528009</c:v>
                </c:pt>
                <c:pt idx="721">
                  <c:v>0.53154464573308147</c:v>
                </c:pt>
                <c:pt idx="722">
                  <c:v>0.53152602772323654</c:v>
                </c:pt>
                <c:pt idx="723">
                  <c:v>0.53150740999573998</c:v>
                </c:pt>
                <c:pt idx="724">
                  <c:v>0.53148879255058468</c:v>
                </c:pt>
                <c:pt idx="725">
                  <c:v>0.53147017538777064</c:v>
                </c:pt>
                <c:pt idx="726">
                  <c:v>0.53145155850729431</c:v>
                </c:pt>
                <c:pt idx="727">
                  <c:v>0.53143294190915746</c:v>
                </c:pt>
                <c:pt idx="728">
                  <c:v>0.531414325593353</c:v>
                </c:pt>
                <c:pt idx="729">
                  <c:v>0.53139570955986848</c:v>
                </c:pt>
                <c:pt idx="730">
                  <c:v>0.53137709380871101</c:v>
                </c:pt>
                <c:pt idx="731">
                  <c:v>0.53135847833988414</c:v>
                </c:pt>
                <c:pt idx="732">
                  <c:v>0.53133986315337189</c:v>
                </c:pt>
                <c:pt idx="733">
                  <c:v>0.53132124824917248</c:v>
                </c:pt>
                <c:pt idx="734">
                  <c:v>0.53130263362729302</c:v>
                </c:pt>
                <c:pt idx="735">
                  <c:v>0.53128401928771574</c:v>
                </c:pt>
                <c:pt idx="736">
                  <c:v>0.53126540523044419</c:v>
                </c:pt>
                <c:pt idx="737">
                  <c:v>0.5312467914554837</c:v>
                </c:pt>
                <c:pt idx="738">
                  <c:v>0.53122817796281119</c:v>
                </c:pt>
                <c:pt idx="739">
                  <c:v>0.53120956475244085</c:v>
                </c:pt>
                <c:pt idx="740">
                  <c:v>0.53119095182436382</c:v>
                </c:pt>
                <c:pt idx="741">
                  <c:v>0.53117233917857654</c:v>
                </c:pt>
                <c:pt idx="742">
                  <c:v>0.53115372681507722</c:v>
                </c:pt>
                <c:pt idx="743">
                  <c:v>0.5311351147338641</c:v>
                </c:pt>
                <c:pt idx="744">
                  <c:v>0.53111650293492119</c:v>
                </c:pt>
                <c:pt idx="745">
                  <c:v>0.53109789141826624</c:v>
                </c:pt>
                <c:pt idx="746">
                  <c:v>0.53107928018387796</c:v>
                </c:pt>
                <c:pt idx="747">
                  <c:v>0.53106066923176165</c:v>
                </c:pt>
                <c:pt idx="748">
                  <c:v>0.53104205856191733</c:v>
                </c:pt>
                <c:pt idx="749">
                  <c:v>0.53102344817433078</c:v>
                </c:pt>
                <c:pt idx="750">
                  <c:v>0.53100483806901089</c:v>
                </c:pt>
                <c:pt idx="751">
                  <c:v>0.53098622824595054</c:v>
                </c:pt>
                <c:pt idx="752">
                  <c:v>0.53096761870514264</c:v>
                </c:pt>
                <c:pt idx="753">
                  <c:v>0.53094900944658185</c:v>
                </c:pt>
                <c:pt idx="754">
                  <c:v>0.53093040047027174</c:v>
                </c:pt>
                <c:pt idx="755">
                  <c:v>0.53091179177620873</c:v>
                </c:pt>
                <c:pt idx="756">
                  <c:v>0.53089318336438929</c:v>
                </c:pt>
                <c:pt idx="757">
                  <c:v>0.5308745752348063</c:v>
                </c:pt>
                <c:pt idx="758">
                  <c:v>0.53085596738745089</c:v>
                </c:pt>
                <c:pt idx="759">
                  <c:v>0.53083735982233549</c:v>
                </c:pt>
                <c:pt idx="760">
                  <c:v>0.53081875253944943</c:v>
                </c:pt>
                <c:pt idx="761">
                  <c:v>0.53080014553878385</c:v>
                </c:pt>
                <c:pt idx="762">
                  <c:v>0.53078153882034762</c:v>
                </c:pt>
                <c:pt idx="763">
                  <c:v>0.53076293238412831</c:v>
                </c:pt>
                <c:pt idx="764">
                  <c:v>0.53074432623012058</c:v>
                </c:pt>
                <c:pt idx="765">
                  <c:v>0.53072572035832977</c:v>
                </c:pt>
                <c:pt idx="766">
                  <c:v>0.53070711476874699</c:v>
                </c:pt>
                <c:pt idx="767">
                  <c:v>0.5306885094613687</c:v>
                </c:pt>
                <c:pt idx="768">
                  <c:v>0.53066990443619844</c:v>
                </c:pt>
                <c:pt idx="769">
                  <c:v>0.53065129969322733</c:v>
                </c:pt>
                <c:pt idx="770">
                  <c:v>0.53063269523245538</c:v>
                </c:pt>
                <c:pt idx="771">
                  <c:v>0.53061409105387014</c:v>
                </c:pt>
                <c:pt idx="772">
                  <c:v>0.53059548715748051</c:v>
                </c:pt>
                <c:pt idx="773">
                  <c:v>0.53057688354327581</c:v>
                </c:pt>
                <c:pt idx="774">
                  <c:v>0.53055828021125429</c:v>
                </c:pt>
                <c:pt idx="775">
                  <c:v>0.53053967716141237</c:v>
                </c:pt>
                <c:pt idx="776">
                  <c:v>0.53052107439375007</c:v>
                </c:pt>
                <c:pt idx="777">
                  <c:v>0.53050247190826738</c:v>
                </c:pt>
                <c:pt idx="778">
                  <c:v>0.53048386970495187</c:v>
                </c:pt>
                <c:pt idx="779">
                  <c:v>0.53046526778380354</c:v>
                </c:pt>
                <c:pt idx="780">
                  <c:v>0.53044666614481528</c:v>
                </c:pt>
                <c:pt idx="781">
                  <c:v>0.53042806478799065</c:v>
                </c:pt>
                <c:pt idx="782">
                  <c:v>0.53040946371332609</c:v>
                </c:pt>
                <c:pt idx="783">
                  <c:v>0.53039086292081805</c:v>
                </c:pt>
                <c:pt idx="784">
                  <c:v>0.53037226241046476</c:v>
                </c:pt>
                <c:pt idx="785">
                  <c:v>0.53035366218225377</c:v>
                </c:pt>
                <c:pt idx="786">
                  <c:v>0.53033506223618687</c:v>
                </c:pt>
                <c:pt idx="787">
                  <c:v>0.53031646257226939</c:v>
                </c:pt>
                <c:pt idx="788">
                  <c:v>0.53029786319048533</c:v>
                </c:pt>
                <c:pt idx="789">
                  <c:v>0.53027926409083825</c:v>
                </c:pt>
                <c:pt idx="790">
                  <c:v>0.53026066527332105</c:v>
                </c:pt>
                <c:pt idx="791">
                  <c:v>0.53024206673794083</c:v>
                </c:pt>
                <c:pt idx="792">
                  <c:v>0.53022346848467627</c:v>
                </c:pt>
                <c:pt idx="793">
                  <c:v>0.53020487051353982</c:v>
                </c:pt>
                <c:pt idx="794">
                  <c:v>0.5301862728245208</c:v>
                </c:pt>
                <c:pt idx="795">
                  <c:v>0.53016767541761922</c:v>
                </c:pt>
                <c:pt idx="796">
                  <c:v>0.53014907829283153</c:v>
                </c:pt>
                <c:pt idx="797">
                  <c:v>0.53013048145015773</c:v>
                </c:pt>
                <c:pt idx="798">
                  <c:v>0.53011188488958716</c:v>
                </c:pt>
                <c:pt idx="799">
                  <c:v>0.53009328861111626</c:v>
                </c:pt>
                <c:pt idx="800">
                  <c:v>0.53007469261475215</c:v>
                </c:pt>
                <c:pt idx="801">
                  <c:v>0.53005609690048061</c:v>
                </c:pt>
                <c:pt idx="802">
                  <c:v>0.53003750146830342</c:v>
                </c:pt>
                <c:pt idx="803">
                  <c:v>0.53001890631822235</c:v>
                </c:pt>
                <c:pt idx="804">
                  <c:v>0.53000031145022497</c:v>
                </c:pt>
                <c:pt idx="805">
                  <c:v>0.52998171686430773</c:v>
                </c:pt>
                <c:pt idx="806">
                  <c:v>0.52996312256047773</c:v>
                </c:pt>
                <c:pt idx="807">
                  <c:v>0.52994452853872076</c:v>
                </c:pt>
                <c:pt idx="808">
                  <c:v>0.52992593479904038</c:v>
                </c:pt>
                <c:pt idx="809">
                  <c:v>0.52990734134142947</c:v>
                </c:pt>
                <c:pt idx="810">
                  <c:v>0.52988874816588805</c:v>
                </c:pt>
                <c:pt idx="811">
                  <c:v>0.52987015527241255</c:v>
                </c:pt>
                <c:pt idx="812">
                  <c:v>0.52985156266100297</c:v>
                </c:pt>
                <c:pt idx="813">
                  <c:v>0.52983297033164689</c:v>
                </c:pt>
                <c:pt idx="814">
                  <c:v>0.5298143782843443</c:v>
                </c:pt>
                <c:pt idx="815">
                  <c:v>0.52979578651909343</c:v>
                </c:pt>
                <c:pt idx="816">
                  <c:v>0.5297771950358996</c:v>
                </c:pt>
                <c:pt idx="817">
                  <c:v>0.52975860383474505</c:v>
                </c:pt>
                <c:pt idx="818">
                  <c:v>0.52974001291563333</c:v>
                </c:pt>
                <c:pt idx="819">
                  <c:v>0.52972142227856089</c:v>
                </c:pt>
                <c:pt idx="820">
                  <c:v>0.52970283192352774</c:v>
                </c:pt>
                <c:pt idx="821">
                  <c:v>0.52968424185052676</c:v>
                </c:pt>
                <c:pt idx="822">
                  <c:v>0.52966565205955085</c:v>
                </c:pt>
                <c:pt idx="823">
                  <c:v>0.52964706255060356</c:v>
                </c:pt>
                <c:pt idx="824">
                  <c:v>0.5296284733236778</c:v>
                </c:pt>
                <c:pt idx="825">
                  <c:v>0.5296098843787771</c:v>
                </c:pt>
                <c:pt idx="826">
                  <c:v>0.52959129571589081</c:v>
                </c:pt>
                <c:pt idx="827">
                  <c:v>0.52957270733502071</c:v>
                </c:pt>
                <c:pt idx="828">
                  <c:v>0.52955411923615792</c:v>
                </c:pt>
                <c:pt idx="829">
                  <c:v>0.52953553141930065</c:v>
                </c:pt>
                <c:pt idx="830">
                  <c:v>0.52951694388444714</c:v>
                </c:pt>
                <c:pt idx="831">
                  <c:v>0.52949835663159561</c:v>
                </c:pt>
                <c:pt idx="832">
                  <c:v>0.52947976966074428</c:v>
                </c:pt>
                <c:pt idx="833">
                  <c:v>0.52946118297188605</c:v>
                </c:pt>
                <c:pt idx="834">
                  <c:v>0.52944259656501735</c:v>
                </c:pt>
                <c:pt idx="835">
                  <c:v>0.52942401044013643</c:v>
                </c:pt>
                <c:pt idx="836">
                  <c:v>0.52940542459724327</c:v>
                </c:pt>
                <c:pt idx="837">
                  <c:v>0.52938683903632366</c:v>
                </c:pt>
                <c:pt idx="838">
                  <c:v>0.52936825375739005</c:v>
                </c:pt>
                <c:pt idx="839">
                  <c:v>0.52934966876042822</c:v>
                </c:pt>
                <c:pt idx="840">
                  <c:v>0.52933108404543638</c:v>
                </c:pt>
                <c:pt idx="841">
                  <c:v>0.52931249961241988</c:v>
                </c:pt>
                <c:pt idx="842">
                  <c:v>0.52929391546136273</c:v>
                </c:pt>
                <c:pt idx="843">
                  <c:v>0.5292753315922667</c:v>
                </c:pt>
                <c:pt idx="844">
                  <c:v>0.52925674800513356</c:v>
                </c:pt>
                <c:pt idx="845">
                  <c:v>0.52923816469995799</c:v>
                </c:pt>
                <c:pt idx="846">
                  <c:v>0.52921958167673289</c:v>
                </c:pt>
                <c:pt idx="847">
                  <c:v>0.52920099893545469</c:v>
                </c:pt>
                <c:pt idx="848">
                  <c:v>0.52918241647611808</c:v>
                </c:pt>
                <c:pt idx="849">
                  <c:v>0.52916383429873193</c:v>
                </c:pt>
                <c:pt idx="850">
                  <c:v>0.52914525240328736</c:v>
                </c:pt>
                <c:pt idx="851">
                  <c:v>0.52912667078977371</c:v>
                </c:pt>
                <c:pt idx="852">
                  <c:v>0.52910808945819277</c:v>
                </c:pt>
                <c:pt idx="853">
                  <c:v>0.52908950840854807</c:v>
                </c:pt>
                <c:pt idx="854">
                  <c:v>0.52907092764082186</c:v>
                </c:pt>
                <c:pt idx="855">
                  <c:v>0.5290523471550248</c:v>
                </c:pt>
                <c:pt idx="856">
                  <c:v>0.5290337669511409</c:v>
                </c:pt>
                <c:pt idx="857">
                  <c:v>0.52901518702918615</c:v>
                </c:pt>
                <c:pt idx="858">
                  <c:v>0.52899660738913568</c:v>
                </c:pt>
                <c:pt idx="859">
                  <c:v>0.52897802803099481</c:v>
                </c:pt>
                <c:pt idx="860">
                  <c:v>0.52895944895477065</c:v>
                </c:pt>
                <c:pt idx="861">
                  <c:v>0.52894087016044189</c:v>
                </c:pt>
                <c:pt idx="862">
                  <c:v>0.52892229164801563</c:v>
                </c:pt>
                <c:pt idx="863">
                  <c:v>0.52890371341749187</c:v>
                </c:pt>
                <c:pt idx="864">
                  <c:v>0.52888513546885996</c:v>
                </c:pt>
                <c:pt idx="865">
                  <c:v>0.52886655780212344</c:v>
                </c:pt>
                <c:pt idx="866">
                  <c:v>0.5288479804172681</c:v>
                </c:pt>
                <c:pt idx="867">
                  <c:v>0.52882940331430284</c:v>
                </c:pt>
                <c:pt idx="868">
                  <c:v>0.5288108264932152</c:v>
                </c:pt>
                <c:pt idx="869">
                  <c:v>0.5287922499540052</c:v>
                </c:pt>
                <c:pt idx="870">
                  <c:v>0.52877367369667461</c:v>
                </c:pt>
                <c:pt idx="871">
                  <c:v>0.52875509772121987</c:v>
                </c:pt>
                <c:pt idx="872">
                  <c:v>0.52873652202763033</c:v>
                </c:pt>
                <c:pt idx="873">
                  <c:v>0.52871794661590421</c:v>
                </c:pt>
                <c:pt idx="874">
                  <c:v>0.52869937148604329</c:v>
                </c:pt>
                <c:pt idx="875">
                  <c:v>0.52868079663803869</c:v>
                </c:pt>
                <c:pt idx="876">
                  <c:v>0.52866222207188862</c:v>
                </c:pt>
                <c:pt idx="877">
                  <c:v>0.5286436477876002</c:v>
                </c:pt>
                <c:pt idx="878">
                  <c:v>0.52862507378515566</c:v>
                </c:pt>
                <c:pt idx="879">
                  <c:v>0.52860650006455501</c:v>
                </c:pt>
                <c:pt idx="880">
                  <c:v>0.52858792662580534</c:v>
                </c:pt>
                <c:pt idx="881">
                  <c:v>0.52856935346889244</c:v>
                </c:pt>
                <c:pt idx="882">
                  <c:v>0.528550780593811</c:v>
                </c:pt>
                <c:pt idx="883">
                  <c:v>0.52853220800056988</c:v>
                </c:pt>
                <c:pt idx="884">
                  <c:v>0.52851363568915311</c:v>
                </c:pt>
                <c:pt idx="885">
                  <c:v>0.52849506365956955</c:v>
                </c:pt>
                <c:pt idx="886">
                  <c:v>0.52847649191180501</c:v>
                </c:pt>
                <c:pt idx="887">
                  <c:v>0.52845792044586126</c:v>
                </c:pt>
                <c:pt idx="888">
                  <c:v>0.52843934926173652</c:v>
                </c:pt>
                <c:pt idx="889">
                  <c:v>0.52842077835942192</c:v>
                </c:pt>
                <c:pt idx="890">
                  <c:v>0.52840220773892632</c:v>
                </c:pt>
                <c:pt idx="891">
                  <c:v>0.52838363740023908</c:v>
                </c:pt>
                <c:pt idx="892">
                  <c:v>0.52836506734334776</c:v>
                </c:pt>
                <c:pt idx="893">
                  <c:v>0.52834649756826835</c:v>
                </c:pt>
                <c:pt idx="894">
                  <c:v>0.52832792807497597</c:v>
                </c:pt>
                <c:pt idx="895">
                  <c:v>0.52830935886348662</c:v>
                </c:pt>
                <c:pt idx="896">
                  <c:v>0.52829078993378609</c:v>
                </c:pt>
                <c:pt idx="897">
                  <c:v>0.52827222128586904</c:v>
                </c:pt>
                <c:pt idx="898">
                  <c:v>0.52825365291974435</c:v>
                </c:pt>
                <c:pt idx="899">
                  <c:v>0.5282350848353996</c:v>
                </c:pt>
                <c:pt idx="900">
                  <c:v>0.52821651703284012</c:v>
                </c:pt>
                <c:pt idx="901">
                  <c:v>0.52819794951204813</c:v>
                </c:pt>
                <c:pt idx="902">
                  <c:v>0.52817938227302896</c:v>
                </c:pt>
                <c:pt idx="903">
                  <c:v>0.52816081531578263</c:v>
                </c:pt>
                <c:pt idx="904">
                  <c:v>0.52814224864029846</c:v>
                </c:pt>
                <c:pt idx="905">
                  <c:v>0.52812368224658002</c:v>
                </c:pt>
                <c:pt idx="906">
                  <c:v>0.52810511613462197</c:v>
                </c:pt>
                <c:pt idx="907">
                  <c:v>0.52808655030442075</c:v>
                </c:pt>
                <c:pt idx="908">
                  <c:v>0.5280679847559675</c:v>
                </c:pt>
                <c:pt idx="909">
                  <c:v>0.52804941948926931</c:v>
                </c:pt>
                <c:pt idx="910">
                  <c:v>0.52803085450431908</c:v>
                </c:pt>
                <c:pt idx="911">
                  <c:v>0.5280122898011097</c:v>
                </c:pt>
                <c:pt idx="912">
                  <c:v>0.5279937253796394</c:v>
                </c:pt>
                <c:pt idx="913">
                  <c:v>0.52797516123990462</c:v>
                </c:pt>
                <c:pt idx="914">
                  <c:v>0.5279565973819107</c:v>
                </c:pt>
                <c:pt idx="915">
                  <c:v>0.52793803380564341</c:v>
                </c:pt>
                <c:pt idx="916">
                  <c:v>0.52791947051110455</c:v>
                </c:pt>
                <c:pt idx="917">
                  <c:v>0.52790090749829055</c:v>
                </c:pt>
                <c:pt idx="918">
                  <c:v>0.52788234476719786</c:v>
                </c:pt>
                <c:pt idx="919">
                  <c:v>0.52786378231782116</c:v>
                </c:pt>
                <c:pt idx="920">
                  <c:v>0.52784522015016044</c:v>
                </c:pt>
                <c:pt idx="921">
                  <c:v>0.52782665826420683</c:v>
                </c:pt>
                <c:pt idx="922">
                  <c:v>0.52780809665996387</c:v>
                </c:pt>
                <c:pt idx="923">
                  <c:v>0.52778953533742445</c:v>
                </c:pt>
                <c:pt idx="924">
                  <c:v>0.52777097429659392</c:v>
                </c:pt>
                <c:pt idx="925">
                  <c:v>0.52775241353745805</c:v>
                </c:pt>
                <c:pt idx="926">
                  <c:v>0.52773385306000975</c:v>
                </c:pt>
                <c:pt idx="927">
                  <c:v>0.52771529286426677</c:v>
                </c:pt>
                <c:pt idx="928">
                  <c:v>0.52769673295020603</c:v>
                </c:pt>
                <c:pt idx="929">
                  <c:v>0.52767817331782929</c:v>
                </c:pt>
                <c:pt idx="930">
                  <c:v>0.52765961396714012</c:v>
                </c:pt>
                <c:pt idx="931">
                  <c:v>0.5276410548981314</c:v>
                </c:pt>
                <c:pt idx="932">
                  <c:v>0.52762249611079248</c:v>
                </c:pt>
                <c:pt idx="933">
                  <c:v>0.52760393760513402</c:v>
                </c:pt>
                <c:pt idx="934">
                  <c:v>0.5275853793811347</c:v>
                </c:pt>
                <c:pt idx="935">
                  <c:v>0.52756682143880873</c:v>
                </c:pt>
                <c:pt idx="936">
                  <c:v>0.52754826377814901</c:v>
                </c:pt>
                <c:pt idx="937">
                  <c:v>0.52752970639913777</c:v>
                </c:pt>
                <c:pt idx="938">
                  <c:v>0.52751114930179277</c:v>
                </c:pt>
                <c:pt idx="939">
                  <c:v>0.52749259248610159</c:v>
                </c:pt>
                <c:pt idx="940">
                  <c:v>0.52747403595205711</c:v>
                </c:pt>
                <c:pt idx="941">
                  <c:v>0.52745547969965756</c:v>
                </c:pt>
                <c:pt idx="942">
                  <c:v>0.52743692372890649</c:v>
                </c:pt>
                <c:pt idx="943">
                  <c:v>0.52741836803979503</c:v>
                </c:pt>
                <c:pt idx="944">
                  <c:v>0.52739981263232139</c:v>
                </c:pt>
                <c:pt idx="945">
                  <c:v>0.52738125750648024</c:v>
                </c:pt>
                <c:pt idx="946">
                  <c:v>0.52736270266226981</c:v>
                </c:pt>
                <c:pt idx="947">
                  <c:v>0.52734414809969188</c:v>
                </c:pt>
                <c:pt idx="948">
                  <c:v>0.52732559381873401</c:v>
                </c:pt>
                <c:pt idx="949">
                  <c:v>0.52730703981940152</c:v>
                </c:pt>
                <c:pt idx="950">
                  <c:v>0.52728848610168022</c:v>
                </c:pt>
                <c:pt idx="951">
                  <c:v>0.52726993266557898</c:v>
                </c:pt>
                <c:pt idx="952">
                  <c:v>0.52725137951109069</c:v>
                </c:pt>
                <c:pt idx="953">
                  <c:v>0.5272328266382118</c:v>
                </c:pt>
                <c:pt idx="954">
                  <c:v>0.52721427404693344</c:v>
                </c:pt>
                <c:pt idx="955">
                  <c:v>0.52719572173726448</c:v>
                </c:pt>
                <c:pt idx="956">
                  <c:v>0.52717716970918893</c:v>
                </c:pt>
                <c:pt idx="957">
                  <c:v>0.52715861796271213</c:v>
                </c:pt>
                <c:pt idx="958">
                  <c:v>0.52714006649782696</c:v>
                </c:pt>
                <c:pt idx="959">
                  <c:v>0.52712151531452633</c:v>
                </c:pt>
                <c:pt idx="960">
                  <c:v>0.5271029644128209</c:v>
                </c:pt>
                <c:pt idx="961">
                  <c:v>0.52708441379269466</c:v>
                </c:pt>
                <c:pt idx="962">
                  <c:v>0.52706586345414586</c:v>
                </c:pt>
                <c:pt idx="963">
                  <c:v>0.52704731339717092</c:v>
                </c:pt>
                <c:pt idx="964">
                  <c:v>0.52702876362177697</c:v>
                </c:pt>
                <c:pt idx="965">
                  <c:v>0.52701021412794624</c:v>
                </c:pt>
                <c:pt idx="966">
                  <c:v>0.52699166491568761</c:v>
                </c:pt>
                <c:pt idx="967">
                  <c:v>0.52697311598498686</c:v>
                </c:pt>
                <c:pt idx="968">
                  <c:v>0.52695456733585289</c:v>
                </c:pt>
                <c:pt idx="969">
                  <c:v>0.52693601896826969</c:v>
                </c:pt>
                <c:pt idx="970">
                  <c:v>0.52691747088224616</c:v>
                </c:pt>
                <c:pt idx="971">
                  <c:v>0.52689892307776809</c:v>
                </c:pt>
                <c:pt idx="972">
                  <c:v>0.52688037555484257</c:v>
                </c:pt>
                <c:pt idx="973">
                  <c:v>0.52686182831345896</c:v>
                </c:pt>
                <c:pt idx="974">
                  <c:v>0.52684328135361547</c:v>
                </c:pt>
                <c:pt idx="975">
                  <c:v>0.5268247346753121</c:v>
                </c:pt>
                <c:pt idx="976">
                  <c:v>0.52680618827854531</c:v>
                </c:pt>
                <c:pt idx="977">
                  <c:v>0.52678764216330976</c:v>
                </c:pt>
                <c:pt idx="978">
                  <c:v>0.52676909632960012</c:v>
                </c:pt>
                <c:pt idx="979">
                  <c:v>0.52675055077741639</c:v>
                </c:pt>
                <c:pt idx="980">
                  <c:v>0.52673200550675148</c:v>
                </c:pt>
                <c:pt idx="981">
                  <c:v>0.5267134605176107</c:v>
                </c:pt>
                <c:pt idx="982">
                  <c:v>0.52669491580997629</c:v>
                </c:pt>
                <c:pt idx="983">
                  <c:v>0.5266763713838607</c:v>
                </c:pt>
                <c:pt idx="984">
                  <c:v>0.52665782723925858</c:v>
                </c:pt>
                <c:pt idx="985">
                  <c:v>0.52663928337615573</c:v>
                </c:pt>
                <c:pt idx="986">
                  <c:v>0.52662073979455748</c:v>
                </c:pt>
                <c:pt idx="987">
                  <c:v>0.52660219649445672</c:v>
                </c:pt>
                <c:pt idx="988">
                  <c:v>0.52658365347585523</c:v>
                </c:pt>
                <c:pt idx="989">
                  <c:v>0.52656511073874235</c:v>
                </c:pt>
                <c:pt idx="990">
                  <c:v>0.52654656828311985</c:v>
                </c:pt>
                <c:pt idx="991">
                  <c:v>0.52652802610898419</c:v>
                </c:pt>
                <c:pt idx="992">
                  <c:v>0.52650948421633181</c:v>
                </c:pt>
                <c:pt idx="993">
                  <c:v>0.52649094260516449</c:v>
                </c:pt>
                <c:pt idx="994">
                  <c:v>0.52647240127546979</c:v>
                </c:pt>
                <c:pt idx="995">
                  <c:v>0.52645386022724594</c:v>
                </c:pt>
                <c:pt idx="996">
                  <c:v>0.52643531946050004</c:v>
                </c:pt>
                <c:pt idx="997">
                  <c:v>0.5264167789752161</c:v>
                </c:pt>
                <c:pt idx="998">
                  <c:v>0.52639823877139413</c:v>
                </c:pt>
                <c:pt idx="999">
                  <c:v>0.52637969884904301</c:v>
                </c:pt>
                <c:pt idx="1000">
                  <c:v>0.52636115920814142</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Calculs!$AH$4:$AH$1004</c:f>
              <c:numCache>
                <c:formatCode>0.00</c:formatCode>
                <c:ptCount val="1001"/>
                <c:pt idx="0">
                  <c:v>0</c:v>
                </c:pt>
                <c:pt idx="1">
                  <c:v>2.3599871147531788</c:v>
                </c:pt>
                <c:pt idx="2">
                  <c:v>43.900966600362594</c:v>
                </c:pt>
                <c:pt idx="3">
                  <c:v>61.285450141433259</c:v>
                </c:pt>
                <c:pt idx="4">
                  <c:v>54.538402657834837</c:v>
                </c:pt>
                <c:pt idx="5">
                  <c:v>50.983426702747622</c:v>
                </c:pt>
                <c:pt idx="6">
                  <c:v>50.61749341569152</c:v>
                </c:pt>
                <c:pt idx="7">
                  <c:v>50.251871796042558</c:v>
                </c:pt>
                <c:pt idx="8">
                  <c:v>49.886569944799284</c:v>
                </c:pt>
                <c:pt idx="9">
                  <c:v>49.521595874542811</c:v>
                </c:pt>
                <c:pt idx="10">
                  <c:v>49.156957509367061</c:v>
                </c:pt>
                <c:pt idx="11">
                  <c:v>48.792662684821977</c:v>
                </c:pt>
                <c:pt idx="12">
                  <c:v>48.428719147869543</c:v>
                </c:pt>
                <c:pt idx="13">
                  <c:v>48.065134556852534</c:v>
                </c:pt>
                <c:pt idx="14">
                  <c:v>47.701916481475777</c:v>
                </c:pt>
                <c:pt idx="15">
                  <c:v>47.339072402799843</c:v>
                </c:pt>
                <c:pt idx="16">
                  <c:v>46.976609713246987</c:v>
                </c:pt>
                <c:pt idx="17">
                  <c:v>46.614535716619237</c:v>
                </c:pt>
                <c:pt idx="18">
                  <c:v>46.252857628128325</c:v>
                </c:pt>
                <c:pt idx="19">
                  <c:v>45.891582574437571</c:v>
                </c:pt>
                <c:pt idx="20">
                  <c:v>45.530717593715352</c:v>
                </c:pt>
                <c:pt idx="21">
                  <c:v>45.170269635700038</c:v>
                </c:pt>
                <c:pt idx="22">
                  <c:v>44.810245561776455</c:v>
                </c:pt>
                <c:pt idx="23">
                  <c:v>44.450652145063302</c:v>
                </c:pt>
                <c:pt idx="24">
                  <c:v>44.091496070511823</c:v>
                </c:pt>
                <c:pt idx="25">
                  <c:v>43.73278393501527</c:v>
                </c:pt>
                <c:pt idx="26">
                  <c:v>43.374522247529164</c:v>
                </c:pt>
                <c:pt idx="27">
                  <c:v>43.016717429202046</c:v>
                </c:pt>
                <c:pt idx="28">
                  <c:v>42.659375813516831</c:v>
                </c:pt>
                <c:pt idx="29">
                  <c:v>42.302503646442204</c:v>
                </c:pt>
                <c:pt idx="30">
                  <c:v>41.946107086594367</c:v>
                </c:pt>
                <c:pt idx="31">
                  <c:v>41.590192205408549</c:v>
                </c:pt>
                <c:pt idx="32">
                  <c:v>41.234764987320482</c:v>
                </c:pt>
                <c:pt idx="33">
                  <c:v>40.879831329957412</c:v>
                </c:pt>
                <c:pt idx="34">
                  <c:v>40.525397044338561</c:v>
                </c:pt>
                <c:pt idx="35">
                  <c:v>40.171467855085154</c:v>
                </c:pt>
                <c:pt idx="36">
                  <c:v>39.818049400639381</c:v>
                </c:pt>
                <c:pt idx="37">
                  <c:v>39.465147233492445</c:v>
                </c:pt>
                <c:pt idx="38">
                  <c:v>39.112766820421434</c:v>
                </c:pt>
                <c:pt idx="39">
                  <c:v>38.760913542735118</c:v>
                </c:pt>
                <c:pt idx="40">
                  <c:v>38.409592696527938</c:v>
                </c:pt>
                <c:pt idx="41">
                  <c:v>38.058809492942672</c:v>
                </c:pt>
                <c:pt idx="42">
                  <c:v>37.708569058441228</c:v>
                </c:pt>
                <c:pt idx="43">
                  <c:v>37.358876435083438</c:v>
                </c:pt>
                <c:pt idx="44">
                  <c:v>37.009736580813986</c:v>
                </c:pt>
                <c:pt idx="45">
                  <c:v>36.661154369756822</c:v>
                </c:pt>
                <c:pt idx="46">
                  <c:v>36.313134592517457</c:v>
                </c:pt>
                <c:pt idx="47">
                  <c:v>35.965681956492503</c:v>
                </c:pt>
                <c:pt idx="48">
                  <c:v>35.61880108618665</c:v>
                </c:pt>
                <c:pt idx="49">
                  <c:v>35.272496523536752</c:v>
                </c:pt>
                <c:pt idx="50">
                  <c:v>34.926772728242867</c:v>
                </c:pt>
                <c:pt idx="51">
                  <c:v>34.58163407810617</c:v>
                </c:pt>
                <c:pt idx="52">
                  <c:v>34.237084869373597</c:v>
                </c:pt>
                <c:pt idx="53">
                  <c:v>33.893129317088999</c:v>
                </c:pt>
                <c:pt idx="54">
                  <c:v>33.549771555450619</c:v>
                </c:pt>
                <c:pt idx="55">
                  <c:v>33.207015638174894</c:v>
                </c:pt>
                <c:pt idx="56">
                  <c:v>32.864865538866333</c:v>
                </c:pt>
                <c:pt idx="57">
                  <c:v>32.523325151393358</c:v>
                </c:pt>
                <c:pt idx="58">
                  <c:v>32.182398290269823</c:v>
                </c:pt>
                <c:pt idx="59">
                  <c:v>31.842088691042356</c:v>
                </c:pt>
                <c:pt idx="60">
                  <c:v>31.50240001068298</c:v>
                </c:pt>
                <c:pt idx="61">
                  <c:v>31.163335827987385</c:v>
                </c:pt>
                <c:pt idx="62">
                  <c:v>30.824899643978121</c:v>
                </c:pt>
                <c:pt idx="63">
                  <c:v>30.209466497471848</c:v>
                </c:pt>
                <c:pt idx="64">
                  <c:v>29.317523095300093</c:v>
                </c:pt>
                <c:pt idx="65">
                  <c:v>28.427350052574173</c:v>
                </c:pt>
                <c:pt idx="66">
                  <c:v>27.53896304717826</c:v>
                </c:pt>
                <c:pt idx="67">
                  <c:v>26.39785434080364</c:v>
                </c:pt>
                <c:pt idx="68">
                  <c:v>25.004509811181595</c:v>
                </c:pt>
                <c:pt idx="69">
                  <c:v>23.161374259127104</c:v>
                </c:pt>
                <c:pt idx="70">
                  <c:v>20.869361656822001</c:v>
                </c:pt>
                <c:pt idx="71">
                  <c:v>18.582343367391246</c:v>
                </c:pt>
                <c:pt idx="72">
                  <c:v>16.300400204269394</c:v>
                </c:pt>
                <c:pt idx="73">
                  <c:v>14.02360993812195</c:v>
                </c:pt>
                <c:pt idx="74">
                  <c:v>11.752047314182775</c:v>
                </c:pt>
                <c:pt idx="75">
                  <c:v>9.4857840704812606</c:v>
                </c:pt>
                <c:pt idx="76">
                  <c:v>7.2248889569254162</c:v>
                </c:pt>
                <c:pt idx="77">
                  <c:v>4.9694277552075352</c:v>
                </c:pt>
                <c:pt idx="78">
                  <c:v>2.7194632994988521</c:v>
                </c:pt>
                <c:pt idx="79">
                  <c:v>0.47505549789990414</c:v>
                </c:pt>
                <c:pt idx="80">
                  <c:v>-1.7637386453861517</c:v>
                </c:pt>
                <c:pt idx="81">
                  <c:v>-3.458240771916814</c:v>
                </c:pt>
                <c:pt idx="82">
                  <c:v>-4.6097547322717762</c:v>
                </c:pt>
                <c:pt idx="83">
                  <c:v>-5.7583420472879832</c:v>
                </c:pt>
                <c:pt idx="84">
                  <c:v>-6.9039976749951295</c:v>
                </c:pt>
                <c:pt idx="85">
                  <c:v>-8.0467172803668792</c:v>
                </c:pt>
                <c:pt idx="86">
                  <c:v>-9.1864972277581707</c:v>
                </c:pt>
                <c:pt idx="87">
                  <c:v>-10.323334573319942</c:v>
                </c:pt>
                <c:pt idx="88">
                  <c:v>-11.457227057395151</c:v>
                </c:pt>
                <c:pt idx="89">
                  <c:v>-12.417979438418758</c:v>
                </c:pt>
                <c:pt idx="90">
                  <c:v>-13.206042956210659</c:v>
                </c:pt>
                <c:pt idx="91">
                  <c:v>-13.992083671307659</c:v>
                </c:pt>
                <c:pt idx="92">
                  <c:v>-14.776105786646196</c:v>
                </c:pt>
                <c:pt idx="93">
                  <c:v>-15.515557894796705</c:v>
                </c:pt>
                <c:pt idx="94">
                  <c:v>-16.210559716350279</c:v>
                </c:pt>
                <c:pt idx="95">
                  <c:v>-16.903790471227804</c:v>
                </c:pt>
                <c:pt idx="96">
                  <c:v>-17.595255770745233</c:v>
                </c:pt>
                <c:pt idx="97">
                  <c:v>-18.114718908447102</c:v>
                </c:pt>
                <c:pt idx="98">
                  <c:v>-18.462651633367127</c:v>
                </c:pt>
                <c:pt idx="99">
                  <c:v>-18.809775073065534</c:v>
                </c:pt>
                <c:pt idx="100">
                  <c:v>-19.156094014492545</c:v>
                </c:pt>
                <c:pt idx="101">
                  <c:v>-19.501613278655338</c:v>
                </c:pt>
                <c:pt idx="102">
                  <c:v>-19.846337720062397</c:v>
                </c:pt>
                <c:pt idx="103">
                  <c:v>-20.190272226175477</c:v>
                </c:pt>
                <c:pt idx="104">
                  <c:v>-20.533421716868464</c:v>
                </c:pt>
                <c:pt idx="105">
                  <c:v>-20.875791143893824</c:v>
                </c:pt>
                <c:pt idx="106">
                  <c:v>-21.217385490356058</c:v>
                </c:pt>
                <c:pt idx="107">
                  <c:v>-21.558209770192487</c:v>
                </c:pt>
                <c:pt idx="108">
                  <c:v>-21.898269027661364</c:v>
                </c:pt>
                <c:pt idx="109">
                  <c:v>-22.024740548858048</c:v>
                </c:pt>
                <c:pt idx="110">
                  <c:v>-21.938216596205656</c:v>
                </c:pt>
                <c:pt idx="111">
                  <c:v>-21.852111791592673</c:v>
                </c:pt>
                <c:pt idx="112">
                  <c:v>-21.766423454799096</c:v>
                </c:pt>
                <c:pt idx="113">
                  <c:v>-21.681148927195331</c:v>
                </c:pt>
                <c:pt idx="114">
                  <c:v>-21.59628557153324</c:v>
                </c:pt>
                <c:pt idx="115">
                  <c:v>-21.511830771739664</c:v>
                </c:pt>
                <c:pt idx="116">
                  <c:v>-21.427781932712204</c:v>
                </c:pt>
                <c:pt idx="117">
                  <c:v>-21.344136480117402</c:v>
                </c:pt>
                <c:pt idx="118">
                  <c:v>-21.260891860191027</c:v>
                </c:pt>
                <c:pt idx="119">
                  <c:v>-21.178045539540754</c:v>
                </c:pt>
                <c:pt idx="120">
                  <c:v>-21.095595004950965</c:v>
                </c:pt>
                <c:pt idx="121">
                  <c:v>-21.013537763189863</c:v>
                </c:pt>
                <c:pt idx="122">
                  <c:v>-20.931871340818503</c:v>
                </c:pt>
                <c:pt idx="123">
                  <c:v>-20.850593284002187</c:v>
                </c:pt>
                <c:pt idx="124">
                  <c:v>-20.769701158323848</c:v>
                </c:pt>
                <c:pt idx="125">
                  <c:v>-20.689192548599493</c:v>
                </c:pt>
                <c:pt idx="126">
                  <c:v>-20.609065058695801</c:v>
                </c:pt>
                <c:pt idx="127">
                  <c:v>-20.529316311349543</c:v>
                </c:pt>
                <c:pt idx="128">
                  <c:v>-20.449943947989301</c:v>
                </c:pt>
                <c:pt idx="129">
                  <c:v>-20.370945628558779</c:v>
                </c:pt>
                <c:pt idx="130">
                  <c:v>-20.292319031342437</c:v>
                </c:pt>
                <c:pt idx="131">
                  <c:v>-20.214061852792746</c:v>
                </c:pt>
                <c:pt idx="132">
                  <c:v>-20.136171807359535</c:v>
                </c:pt>
                <c:pt idx="133">
                  <c:v>-20.058646627321139</c:v>
                </c:pt>
                <c:pt idx="134">
                  <c:v>-19.981484062617344</c:v>
                </c:pt>
                <c:pt idx="135">
                  <c:v>-19.90468188068429</c:v>
                </c:pt>
                <c:pt idx="136">
                  <c:v>-19.828237866291033</c:v>
                </c:pt>
                <c:pt idx="137">
                  <c:v>-19.752149821378012</c:v>
                </c:pt>
                <c:pt idx="138">
                  <c:v>-19.676415564897198</c:v>
                </c:pt>
                <c:pt idx="139">
                  <c:v>-19.601032932653993</c:v>
                </c:pt>
                <c:pt idx="140">
                  <c:v>-19.525999777150858</c:v>
                </c:pt>
                <c:pt idx="141">
                  <c:v>-19.451313967432672</c:v>
                </c:pt>
                <c:pt idx="142">
                  <c:v>-19.376973388933674</c:v>
                </c:pt>
                <c:pt idx="143">
                  <c:v>-19.302975943326143</c:v>
                </c:pt>
                <c:pt idx="144">
                  <c:v>-19.229319548370629</c:v>
                </c:pt>
                <c:pt idx="145">
                  <c:v>-19.156002137767935</c:v>
                </c:pt>
                <c:pt idx="146">
                  <c:v>-19.083021661012481</c:v>
                </c:pt>
                <c:pt idx="147">
                  <c:v>-19.010376083247483</c:v>
                </c:pt>
                <c:pt idx="148">
                  <c:v>-18.938063385121456</c:v>
                </c:pt>
                <c:pt idx="149">
                  <c:v>-18.866081562646432</c:v>
                </c:pt>
                <c:pt idx="150">
                  <c:v>-18.794428627057549</c:v>
                </c:pt>
                <c:pt idx="151">
                  <c:v>-18.723102604674335</c:v>
                </c:pt>
                <c:pt idx="152">
                  <c:v>-18.652101536763162</c:v>
                </c:pt>
                <c:pt idx="153">
                  <c:v>-18.581423479401508</c:v>
                </c:pt>
                <c:pt idx="154">
                  <c:v>-18.511066503343418</c:v>
                </c:pt>
                <c:pt idx="155">
                  <c:v>-18.441028693886441</c:v>
                </c:pt>
                <c:pt idx="156">
                  <c:v>-18.371308150740131</c:v>
                </c:pt>
                <c:pt idx="157">
                  <c:v>-18.301902987895648</c:v>
                </c:pt>
                <c:pt idx="158">
                  <c:v>-18.232811333496997</c:v>
                </c:pt>
                <c:pt idx="159">
                  <c:v>-18.164031329713552</c:v>
                </c:pt>
                <c:pt idx="160">
                  <c:v>-18.095561132613803</c:v>
                </c:pt>
                <c:pt idx="161">
                  <c:v>-18.027398912040582</c:v>
                </c:pt>
                <c:pt idx="162">
                  <c:v>-17.95954285148753</c:v>
                </c:pt>
                <c:pt idx="163">
                  <c:v>-17.891991147976881</c:v>
                </c:pt>
                <c:pt idx="164">
                  <c:v>-17.824742011938454</c:v>
                </c:pt>
                <c:pt idx="165">
                  <c:v>-17.757793667090034</c:v>
                </c:pt>
                <c:pt idx="166">
                  <c:v>-17.691144350318879</c:v>
                </c:pt>
                <c:pt idx="167">
                  <c:v>-17.624792311564544</c:v>
                </c:pt>
                <c:pt idx="168">
                  <c:v>-17.558735813702828</c:v>
                </c:pt>
                <c:pt idx="169">
                  <c:v>-17.492973132431114</c:v>
                </c:pt>
                <c:pt idx="170">
                  <c:v>-17.427502556154653</c:v>
                </c:pt>
                <c:pt idx="171">
                  <c:v>-17.362322385874158</c:v>
                </c:pt>
                <c:pt idx="172">
                  <c:v>-17.29743093507463</c:v>
                </c:pt>
                <c:pt idx="173">
                  <c:v>-17.232826529615156</c:v>
                </c:pt>
                <c:pt idx="174">
                  <c:v>-17.168507507619964</c:v>
                </c:pt>
                <c:pt idx="175">
                  <c:v>-17.104472219370589</c:v>
                </c:pt>
                <c:pt idx="176">
                  <c:v>-17.040719027199085</c:v>
                </c:pt>
                <c:pt idx="177">
                  <c:v>-16.977246305382401</c:v>
                </c:pt>
                <c:pt idx="178">
                  <c:v>-16.914052440037818</c:v>
                </c:pt>
                <c:pt idx="179">
                  <c:v>-16.85113582901942</c:v>
                </c:pt>
                <c:pt idx="180">
                  <c:v>-16.788494881815655</c:v>
                </c:pt>
                <c:pt idx="181">
                  <c:v>-16.726128019447948</c:v>
                </c:pt>
                <c:pt idx="182">
                  <c:v>-16.664033674370341</c:v>
                </c:pt>
                <c:pt idx="183">
                  <c:v>-16.602210290370117</c:v>
                </c:pt>
                <c:pt idx="184">
                  <c:v>-16.540656322469481</c:v>
                </c:pt>
                <c:pt idx="185">
                  <c:v>-16.47937023682822</c:v>
                </c:pt>
                <c:pt idx="186">
                  <c:v>-16.418350510647347</c:v>
                </c:pt>
                <c:pt idx="187">
                  <c:v>-16.357595632073689</c:v>
                </c:pt>
                <c:pt idx="188">
                  <c:v>-16.297104100105528</c:v>
                </c:pt>
                <c:pt idx="189">
                  <c:v>-16.236874424499046</c:v>
                </c:pt>
                <c:pt idx="190">
                  <c:v>-16.176905125675901</c:v>
                </c:pt>
                <c:pt idx="191">
                  <c:v>-16.117194734631532</c:v>
                </c:pt>
                <c:pt idx="192">
                  <c:v>-16.057741792844553</c:v>
                </c:pt>
                <c:pt idx="193">
                  <c:v>-15.998544852186923</c:v>
                </c:pt>
                <c:pt idx="194">
                  <c:v>-15.939602474835111</c:v>
                </c:pt>
                <c:pt idx="195">
                  <c:v>-15.880913233182115</c:v>
                </c:pt>
                <c:pt idx="196">
                  <c:v>-15.822475709750334</c:v>
                </c:pt>
                <c:pt idx="197">
                  <c:v>-15.764288497105342</c:v>
                </c:pt>
                <c:pt idx="198">
                  <c:v>-15.706350197770471</c:v>
                </c:pt>
                <c:pt idx="199">
                  <c:v>-15.648659424142346</c:v>
                </c:pt>
                <c:pt idx="200">
                  <c:v>-15.591214798407123</c:v>
                </c:pt>
                <c:pt idx="201">
                  <c:v>-15.53401495245769</c:v>
                </c:pt>
                <c:pt idx="202">
                  <c:v>-14.969713316926342</c:v>
                </c:pt>
                <c:pt idx="203">
                  <c:v>-14.429001326197396</c:v>
                </c:pt>
                <c:pt idx="204">
                  <c:v>-13.910608916512906</c:v>
                </c:pt>
                <c:pt idx="205">
                  <c:v>-13.41335176184807</c:v>
                </c:pt>
                <c:pt idx="206">
                  <c:v>-12.936124404079475</c:v>
                </c:pt>
                <c:pt idx="207">
                  <c:v>-12.477894019586122</c:v>
                </c:pt>
                <c:pt idx="208">
                  <c:v>-12.03769475560418</c:v>
                </c:pt>
                <c:pt idx="209">
                  <c:v>-11.614622577432092</c:v>
                </c:pt>
                <c:pt idx="210">
                  <c:v>-11.207830574362008</c:v>
                </c:pt>
                <c:pt idx="211">
                  <c:v>-10.816524678135034</c:v>
                </c:pt>
                <c:pt idx="212">
                  <c:v>-10.439959752899966</c:v>
                </c:pt>
                <c:pt idx="213">
                  <c:v>-10.077436020198281</c:v>
                </c:pt>
                <c:pt idx="214">
                  <c:v>-9.7282957864876778</c:v>
                </c:pt>
                <c:pt idx="215">
                  <c:v>-9.3919204442266526</c:v>
                </c:pt>
                <c:pt idx="216">
                  <c:v>-9.0677277206349327</c:v>
                </c:pt>
                <c:pt idx="217">
                  <c:v>-8.7551691509745044</c:v>
                </c:pt>
                <c:pt idx="218">
                  <c:v>-8.4537277556088846</c:v>
                </c:pt>
                <c:pt idx="219">
                  <c:v>-8.1629159022342037</c:v>
                </c:pt>
                <c:pt idx="220">
                  <c:v>-7.8822733365703082</c:v>
                </c:pt>
                <c:pt idx="221">
                  <c:v>-7.6113653664815457</c:v>
                </c:pt>
                <c:pt idx="222">
                  <c:v>-7.3497811859927022</c:v>
                </c:pt>
                <c:pt idx="223">
                  <c:v>-7.0971323269972393</c:v>
                </c:pt>
                <c:pt idx="224">
                  <c:v>-6.8530512276424478</c:v>
                </c:pt>
                <c:pt idx="225">
                  <c:v>-6.6171899074363907</c:v>
                </c:pt>
                <c:pt idx="226">
                  <c:v>-6.389218740069305</c:v>
                </c:pt>
                <c:pt idx="227">
                  <c:v>-6.168825315790655</c:v>
                </c:pt>
                <c:pt idx="228">
                  <c:v>-5.9557133859433842</c:v>
                </c:pt>
                <c:pt idx="229">
                  <c:v>-5.7496018829393085</c:v>
                </c:pt>
                <c:pt idx="230">
                  <c:v>-5.5502240095725872</c:v>
                </c:pt>
                <c:pt idx="231">
                  <c:v>-5.3573263921195524</c:v>
                </c:pt>
                <c:pt idx="232">
                  <c:v>-5.1706682921696494</c:v>
                </c:pt>
                <c:pt idx="233">
                  <c:v>-4.9900208725798363</c:v>
                </c:pt>
                <c:pt idx="234">
                  <c:v>-4.8151665133485233</c:v>
                </c:pt>
                <c:pt idx="235">
                  <c:v>-4.6458981735701137</c:v>
                </c:pt>
                <c:pt idx="236">
                  <c:v>-4.4820187959610305</c:v>
                </c:pt>
                <c:pt idx="237">
                  <c:v>-4.3233407507467945</c:v>
                </c:pt>
                <c:pt idx="238">
                  <c:v>-4.1696853159703657</c:v>
                </c:pt>
                <c:pt idx="239">
                  <c:v>-4.0208821915273338</c:v>
                </c:pt>
                <c:pt idx="240">
                  <c:v>-3.8767690444564504</c:v>
                </c:pt>
                <c:pt idx="241">
                  <c:v>-3.7371910832163913</c:v>
                </c:pt>
                <c:pt idx="242">
                  <c:v>-3.6020006588638585</c:v>
                </c:pt>
                <c:pt idx="243">
                  <c:v>-3.4710568912157225</c:v>
                </c:pt>
                <c:pt idx="244">
                  <c:v>-3.3442253182306345</c:v>
                </c:pt>
                <c:pt idx="245">
                  <c:v>-3.2213775669848332</c:v>
                </c:pt>
                <c:pt idx="246">
                  <c:v>-3.1023910447438729</c:v>
                </c:pt>
                <c:pt idx="247">
                  <c:v>-2.9871486487481658</c:v>
                </c:pt>
                <c:pt idx="248">
                  <c:v>-2.8755384934361694</c:v>
                </c:pt>
                <c:pt idx="249">
                  <c:v>-2.7674536539261818</c:v>
                </c:pt>
                <c:pt idx="250">
                  <c:v>-2.6627919246663545</c:v>
                </c:pt>
                <c:pt idx="251">
                  <c:v>-2.5614555922439393</c:v>
                </c:pt>
                <c:pt idx="252">
                  <c:v>-2.4633512214191917</c:v>
                </c:pt>
                <c:pt idx="253">
                  <c:v>-2.3683894535176853</c:v>
                </c:pt>
                <c:pt idx="254">
                  <c:v>-2.2764848163773652</c:v>
                </c:pt>
                <c:pt idx="255">
                  <c:v>-2.1875555451041961</c:v>
                </c:pt>
                <c:pt idx="256">
                  <c:v>-2.1015234129428992</c:v>
                </c:pt>
                <c:pt idx="257">
                  <c:v>-2.0183135716177345</c:v>
                </c:pt>
                <c:pt idx="258">
                  <c:v>-1.9378544005426686</c:v>
                </c:pt>
                <c:pt idx="259">
                  <c:v>-1.8600773643410655</c:v>
                </c:pt>
                <c:pt idx="260">
                  <c:v>-1.7849168781523714</c:v>
                </c:pt>
                <c:pt idx="261">
                  <c:v>-1.7123101802376581</c:v>
                </c:pt>
                <c:pt idx="262">
                  <c:v>-1.6421972114271965</c:v>
                </c:pt>
                <c:pt idx="263">
                  <c:v>-1.5745205009820675</c:v>
                </c:pt>
                <c:pt idx="264">
                  <c:v>-1.5092250584680462</c:v>
                </c:pt>
                <c:pt idx="265">
                  <c:v>-1.4462582712639176</c:v>
                </c:pt>
                <c:pt idx="266">
                  <c:v>-1.3855698073482179</c:v>
                </c:pt>
                <c:pt idx="267">
                  <c:v>-1.3271115230280621</c:v>
                </c:pt>
                <c:pt idx="268">
                  <c:v>-1.2708373752915638</c:v>
                </c:pt>
                <c:pt idx="269">
                  <c:v>-1.2167033384812993</c:v>
                </c:pt>
                <c:pt idx="270">
                  <c:v>-1.1646673250005108</c:v>
                </c:pt>
                <c:pt idx="271">
                  <c:v>-1.1146891097763085</c:v>
                </c:pt>
                <c:pt idx="272">
                  <c:v>-1.0667302582151454</c:v>
                </c:pt>
                <c:pt idx="273">
                  <c:v>-1.0207540573952676</c:v>
                </c:pt>
                <c:pt idx="274">
                  <c:v>-0.97672545024889823</c:v>
                </c:pt>
                <c:pt idx="275">
                  <c:v>-0.93461097249355274</c:v>
                </c:pt>
                <c:pt idx="276">
                  <c:v>-0.89437869207722343</c:v>
                </c:pt>
                <c:pt idx="277">
                  <c:v>-0.85599815090632503</c:v>
                </c:pt>
                <c:pt idx="278">
                  <c:v>-0.81944030862835449</c:v>
                </c:pt>
                <c:pt idx="279">
                  <c:v>-0.78467748824331873</c:v>
                </c:pt>
                <c:pt idx="280">
                  <c:v>-0.75168332331935472</c:v>
                </c:pt>
                <c:pt idx="281">
                  <c:v>-0.72043270658877945</c:v>
                </c:pt>
                <c:pt idx="282">
                  <c:v>-0.69090173970139079</c:v>
                </c:pt>
                <c:pt idx="283">
                  <c:v>-0.66306768391256066</c:v>
                </c:pt>
                <c:pt idx="284">
                  <c:v>-0.63690891148491047</c:v>
                </c:pt>
                <c:pt idx="285">
                  <c:v>-0.61240485758475327</c:v>
                </c:pt>
                <c:pt idx="286">
                  <c:v>-0.5895359724585173</c:v>
                </c:pt>
                <c:pt idx="287">
                  <c:v>-0.56828367368086052</c:v>
                </c:pt>
                <c:pt idx="288">
                  <c:v>-0.54863029827579446</c:v>
                </c:pt>
                <c:pt idx="289">
                  <c:v>-0.53055905452570573</c:v>
                </c:pt>
                <c:pt idx="290">
                  <c:v>-0.51405397330145264</c:v>
                </c:pt>
                <c:pt idx="291">
                  <c:v>-0.49909985877041013</c:v>
                </c:pt>
                <c:pt idx="292">
                  <c:v>-0.48568223836896168</c:v>
                </c:pt>
                <c:pt idx="293">
                  <c:v>-0.47378731196173934</c:v>
                </c:pt>
                <c:pt idx="294">
                  <c:v>-0.46340190015180138</c:v>
                </c:pt>
                <c:pt idx="295">
                  <c:v>-0.45451339175330069</c:v>
                </c:pt>
                <c:pt idx="296">
                  <c:v>-0.44710969048996929</c:v>
                </c:pt>
                <c:pt idx="297">
                  <c:v>-0.44117916103719462</c:v>
                </c:pt>
                <c:pt idx="298">
                  <c:v>-0.43671057458046464</c:v>
                </c:pt>
                <c:pt idx="299">
                  <c:v>-0.43369305411583059</c:v>
                </c:pt>
                <c:pt idx="300">
                  <c:v>-0.43211601976597402</c:v>
                </c:pt>
                <c:pt idx="301">
                  <c:v>-0.43196913442560447</c:v>
                </c:pt>
                <c:pt idx="302">
                  <c:v>-0.43324225007973027</c:v>
                </c:pt>
                <c:pt idx="303">
                  <c:v>-0.43592535515583652</c:v>
                </c:pt>
                <c:pt idx="304">
                  <c:v>-0.44000852327503759</c:v>
                </c:pt>
                <c:pt idx="305">
                  <c:v>-0.44548186375756066</c:v>
                </c:pt>
                <c:pt idx="306">
                  <c:v>-0.45233547421528741</c:v>
                </c:pt>
                <c:pt idx="307">
                  <c:v>-0.46055939553009045</c:v>
                </c:pt>
                <c:pt idx="308">
                  <c:v>-0.47014356947376368</c:v>
                </c:pt>
                <c:pt idx="309">
                  <c:v>-0.48107779917620103</c:v>
                </c:pt>
                <c:pt idx="310">
                  <c:v>-0.49335171259606758</c:v>
                </c:pt>
                <c:pt idx="311">
                  <c:v>-0.50695472909535966</c:v>
                </c:pt>
                <c:pt idx="312">
                  <c:v>-0.52187602916842191</c:v>
                </c:pt>
                <c:pt idx="313">
                  <c:v>-0.53810452732916669</c:v>
                </c:pt>
                <c:pt idx="314">
                  <c:v>-0.55562884811884616</c:v>
                </c:pt>
                <c:pt idx="315">
                  <c:v>-0.57443730516158042</c:v>
                </c:pt>
                <c:pt idx="316">
                  <c:v>-0.59451788316632359</c:v>
                </c:pt>
                <c:pt idx="317">
                  <c:v>-0.61585822275190172</c:v>
                </c:pt>
                <c:pt idx="318">
                  <c:v>-0.63844560795582195</c:v>
                </c:pt>
                <c:pt idx="319">
                  <c:v>-0.66226695627703891</c:v>
                </c:pt>
                <c:pt idx="320">
                  <c:v>-0.68730881109708097</c:v>
                </c:pt>
                <c:pt idx="321">
                  <c:v>-0.71355733632202134</c:v>
                </c:pt>
                <c:pt idx="322">
                  <c:v>-0.74099831308901176</c:v>
                </c:pt>
                <c:pt idx="323">
                  <c:v>-0.76961713838469492</c:v>
                </c:pt>
                <c:pt idx="324">
                  <c:v>-0.79939882542818985</c:v>
                </c:pt>
                <c:pt idx="325">
                  <c:v>-0.8303280056779121</c:v>
                </c:pt>
                <c:pt idx="326">
                  <c:v>-0.86238893232882474</c:v>
                </c:pt>
                <c:pt idx="327">
                  <c:v>-0.8955654851744228</c:v>
                </c:pt>
                <c:pt idx="328">
                  <c:v>-0.92984117671560151</c:v>
                </c:pt>
                <c:pt idx="329">
                  <c:v>-0.96519915940627343</c:v>
                </c:pt>
                <c:pt idx="330">
                  <c:v>-1.001622233933084</c:v>
                </c:pt>
                <c:pt idx="331">
                  <c:v>-1.0390928584337067</c:v>
                </c:pt>
                <c:pt idx="332">
                  <c:v>-1.0775931585648959</c:v>
                </c:pt>
                <c:pt idx="333">
                  <c:v>-1.1171049383377505</c:v>
                </c:pt>
                <c:pt idx="334">
                  <c:v>-1.1576096916434206</c:v>
                </c:pt>
                <c:pt idx="335">
                  <c:v>-1.1990886143978452</c:v>
                </c:pt>
                <c:pt idx="336">
                  <c:v>-1.2415226172389868</c:v>
                </c:pt>
                <c:pt idx="337">
                  <c:v>-1.2848923387145366</c:v>
                </c:pt>
                <c:pt idx="338">
                  <c:v>-1.3291781589021279</c:v>
                </c:pt>
                <c:pt idx="339">
                  <c:v>-1.3743602134078421</c:v>
                </c:pt>
                <c:pt idx="340">
                  <c:v>-1.4204184076922166</c:v>
                </c:pt>
                <c:pt idx="341">
                  <c:v>-1.4673324316760321</c:v>
                </c:pt>
                <c:pt idx="342">
                  <c:v>-1.5150817745810725</c:v>
                </c:pt>
                <c:pt idx="343">
                  <c:v>-1.5636457399635943</c:v>
                </c:pt>
                <c:pt idx="344">
                  <c:v>-1.6130034609007107</c:v>
                </c:pt>
                <c:pt idx="345">
                  <c:v>-1.6631339152920677</c:v>
                </c:pt>
                <c:pt idx="346">
                  <c:v>-1.7140159412412777</c:v>
                </c:pt>
                <c:pt idx="347">
                  <c:v>-1.7656282524834599</c:v>
                </c:pt>
                <c:pt idx="348">
                  <c:v>-1.8179494538270786</c:v>
                </c:pt>
                <c:pt idx="349">
                  <c:v>-1.8709580565798665</c:v>
                </c:pt>
                <c:pt idx="350">
                  <c:v>-1.9246324939302901</c:v>
                </c:pt>
                <c:pt idx="351">
                  <c:v>-1.9789511362574468</c:v>
                </c:pt>
                <c:pt idx="352">
                  <c:v>-2.0338923063437453</c:v>
                </c:pt>
                <c:pt idx="353">
                  <c:v>-2.08943429446607</c:v>
                </c:pt>
                <c:pt idx="354">
                  <c:v>-2.1455553733424244</c:v>
                </c:pt>
                <c:pt idx="355">
                  <c:v>-2.2022338129123322</c:v>
                </c:pt>
                <c:pt idx="356">
                  <c:v>-2.259447894930446</c:v>
                </c:pt>
                <c:pt idx="357">
                  <c:v>-2.3171759273540324</c:v>
                </c:pt>
                <c:pt idx="358">
                  <c:v>-2.3753962585060897</c:v>
                </c:pt>
                <c:pt idx="359">
                  <c:v>-2.4340872909970122</c:v>
                </c:pt>
                <c:pt idx="360">
                  <c:v>-2.4932274953887332</c:v>
                </c:pt>
                <c:pt idx="361">
                  <c:v>-2.5527954235863937</c:v>
                </c:pt>
                <c:pt idx="362">
                  <c:v>-2.6127697219435562</c:v>
                </c:pt>
                <c:pt idx="363">
                  <c:v>-2.6731291440680049</c:v>
                </c:pt>
                <c:pt idx="364">
                  <c:v>-2.7338525633161739</c:v>
                </c:pt>
                <c:pt idx="365">
                  <c:v>-2.7949189849651535</c:v>
                </c:pt>
                <c:pt idx="366">
                  <c:v>-2.8563075580522272</c:v>
                </c:pt>
                <c:pt idx="367">
                  <c:v>-2.9179975868727266</c:v>
                </c:pt>
                <c:pt idx="368">
                  <c:v>-2.9799685421279856</c:v>
                </c:pt>
                <c:pt idx="369">
                  <c:v>-3.0422000717159512</c:v>
                </c:pt>
                <c:pt idx="370">
                  <c:v>-3.1046720111579358</c:v>
                </c:pt>
                <c:pt idx="371">
                  <c:v>-3.1673643936557943</c:v>
                </c:pt>
                <c:pt idx="372">
                  <c:v>-3.2302574597746165</c:v>
                </c:pt>
                <c:pt idx="373">
                  <c:v>-3.2933316667468522</c:v>
                </c:pt>
                <c:pt idx="374">
                  <c:v>-3.3565676973945022</c:v>
                </c:pt>
                <c:pt idx="375">
                  <c:v>-3.4199464686668053</c:v>
                </c:pt>
                <c:pt idx="376">
                  <c:v>-3.4834491397915293</c:v>
                </c:pt>
                <c:pt idx="377">
                  <c:v>-3.5470571200387213</c:v>
                </c:pt>
                <c:pt idx="378">
                  <c:v>-3.6107520760963956</c:v>
                </c:pt>
                <c:pt idx="379">
                  <c:v>-3.6745159390583493</c:v>
                </c:pt>
                <c:pt idx="380">
                  <c:v>-3.7383309110248697</c:v>
                </c:pt>
                <c:pt idx="381">
                  <c:v>-3.8021794713177495</c:v>
                </c:pt>
                <c:pt idx="382">
                  <c:v>-3.8660443823115598</c:v>
                </c:pt>
                <c:pt idx="383">
                  <c:v>-3.9299086948837472</c:v>
                </c:pt>
                <c:pt idx="384">
                  <c:v>-3.9937557534865635</c:v>
                </c:pt>
                <c:pt idx="385">
                  <c:v>-4.0575692008444602</c:v>
                </c:pt>
                <c:pt idx="386">
                  <c:v>-4.1213329822809355</c:v>
                </c:pt>
                <c:pt idx="387">
                  <c:v>-4.1850313496793721</c:v>
                </c:pt>
                <c:pt idx="388">
                  <c:v>-4.2486488650827958</c:v>
                </c:pt>
                <c:pt idx="389">
                  <c:v>-4.3121704039378699</c:v>
                </c:pt>
                <c:pt idx="390">
                  <c:v>-4.3755811579888979</c:v>
                </c:pt>
                <c:pt idx="391">
                  <c:v>-4.4388666378278288</c:v>
                </c:pt>
                <c:pt idx="392">
                  <c:v>-4.502012675106795</c:v>
                </c:pt>
                <c:pt idx="393">
                  <c:v>-4.5650054244197467</c:v>
                </c:pt>
                <c:pt idx="394">
                  <c:v>-4.6278313648603389</c:v>
                </c:pt>
                <c:pt idx="395">
                  <c:v>-4.6904773012632175</c:v>
                </c:pt>
                <c:pt idx="396">
                  <c:v>-4.7529303651362662</c:v>
                </c:pt>
                <c:pt idx="397">
                  <c:v>-4.8151780152915036</c:v>
                </c:pt>
                <c:pt idx="398">
                  <c:v>-4.8772080381825491</c:v>
                </c:pt>
                <c:pt idx="399">
                  <c:v>-4.939008547956738</c:v>
                </c:pt>
                <c:pt idx="400">
                  <c:v>-5.0005679862301076</c:v>
                </c:pt>
                <c:pt idx="401">
                  <c:v>-5.0618751215936104</c:v>
                </c:pt>
                <c:pt idx="402">
                  <c:v>-5.1229190488590621</c:v>
                </c:pt>
                <c:pt idx="403">
                  <c:v>-5.1836891880533198</c:v>
                </c:pt>
                <c:pt idx="404">
                  <c:v>-5.2441752831693869</c:v>
                </c:pt>
                <c:pt idx="405">
                  <c:v>-5.3043674006830832</c:v>
                </c:pt>
                <c:pt idx="406">
                  <c:v>-5.3642559278440274</c:v>
                </c:pt>
                <c:pt idx="407">
                  <c:v>-5.4238315707496794</c:v>
                </c:pt>
                <c:pt idx="408">
                  <c:v>-5.483085352211166</c:v>
                </c:pt>
                <c:pt idx="409">
                  <c:v>-5.5420086094196268</c:v>
                </c:pt>
                <c:pt idx="410">
                  <c:v>-5.6005929914218155</c:v>
                </c:pt>
                <c:pt idx="411">
                  <c:v>-5.6588304564135763</c:v>
                </c:pt>
                <c:pt idx="412">
                  <c:v>-5.7167132688598672</c:v>
                </c:pt>
                <c:pt idx="413">
                  <c:v>-5.7742339964497873</c:v>
                </c:pt>
                <c:pt idx="414">
                  <c:v>-5.8313855068952023</c:v>
                </c:pt>
                <c:pt idx="415">
                  <c:v>-5.8881609645811999</c:v>
                </c:pt>
                <c:pt idx="416">
                  <c:v>-5.9445538270767697</c:v>
                </c:pt>
                <c:pt idx="417">
                  <c:v>-6.000557841513805</c:v>
                </c:pt>
                <c:pt idx="418">
                  <c:v>-6.0561670408425146</c:v>
                </c:pt>
                <c:pt idx="419">
                  <c:v>-6.1113757399711286</c:v>
                </c:pt>
                <c:pt idx="420">
                  <c:v>-6.1661785317977085</c:v>
                </c:pt>
                <c:pt idx="421">
                  <c:v>-6.2205702831416669</c:v>
                </c:pt>
                <c:pt idx="422">
                  <c:v>-6.274546130582543</c:v>
                </c:pt>
                <c:pt idx="423">
                  <c:v>-6.3281014762132966</c:v>
                </c:pt>
                <c:pt idx="424">
                  <c:v>-6.381231983315363</c:v>
                </c:pt>
                <c:pt idx="425">
                  <c:v>-6.4339335719623856</c:v>
                </c:pt>
                <c:pt idx="426">
                  <c:v>-6.4862024145595685</c:v>
                </c:pt>
                <c:pt idx="427">
                  <c:v>-6.5380349313252024</c:v>
                </c:pt>
                <c:pt idx="428">
                  <c:v>-6.589427785720928</c:v>
                </c:pt>
                <c:pt idx="429">
                  <c:v>-6.6403778798369677</c:v>
                </c:pt>
                <c:pt idx="430">
                  <c:v>-6.6908823497385193</c:v>
                </c:pt>
                <c:pt idx="431">
                  <c:v>-6.7409385607791341</c:v>
                </c:pt>
                <c:pt idx="432">
                  <c:v>-6.790544102886952</c:v>
                </c:pt>
                <c:pt idx="433">
                  <c:v>-6.839696785829239</c:v>
                </c:pt>
                <c:pt idx="434">
                  <c:v>-6.8883946344606812</c:v>
                </c:pt>
                <c:pt idx="435">
                  <c:v>-6.9366358839605278</c:v>
                </c:pt>
                <c:pt idx="436">
                  <c:v>-6.9844189750636749</c:v>
                </c:pt>
                <c:pt idx="437">
                  <c:v>-7.0317425492903984</c:v>
                </c:pt>
                <c:pt idx="438">
                  <c:v>-7.078605444179435</c:v>
                </c:pt>
                <c:pt idx="439">
                  <c:v>-7.1250066885287602</c:v>
                </c:pt>
                <c:pt idx="440">
                  <c:v>-7.1709454976483906</c:v>
                </c:pt>
                <c:pt idx="441">
                  <c:v>-7.2164212686292206</c:v>
                </c:pt>
                <c:pt idx="442">
                  <c:v>-7.2614335756317709</c:v>
                </c:pt>
                <c:pt idx="443">
                  <c:v>-7.3059821651985919</c:v>
                </c:pt>
                <c:pt idx="444">
                  <c:v>-7.3500669515938597</c:v>
                </c:pt>
                <c:pt idx="445">
                  <c:v>-7.3936880121734037</c:v>
                </c:pt>
                <c:pt idx="446">
                  <c:v>-7.4368455827885187</c:v>
                </c:pt>
                <c:pt idx="447">
                  <c:v>-7.4795400532264242</c:v>
                </c:pt>
                <c:pt idx="448">
                  <c:v>-7.5217719626903463</c:v>
                </c:pt>
                <c:pt idx="449">
                  <c:v>-7.5635419953217653</c:v>
                </c:pt>
                <c:pt idx="450">
                  <c:v>-7.6048509757675493</c:v>
                </c:pt>
                <c:pt idx="451">
                  <c:v>-7.6456998647941399</c:v>
                </c:pt>
                <c:pt idx="452">
                  <c:v>-7.6860897549511806</c:v>
                </c:pt>
                <c:pt idx="453">
                  <c:v>-7.7260218662865521</c:v>
                </c:pt>
                <c:pt idx="454">
                  <c:v>-7.7654975421148364</c:v>
                </c:pt>
                <c:pt idx="455">
                  <c:v>-7.8045182448409287</c:v>
                </c:pt>
                <c:pt idx="456">
                  <c:v>-7.8430855518404767</c:v>
                </c:pt>
                <c:pt idx="457">
                  <c:v>-7.8812011513986873</c:v>
                </c:pt>
                <c:pt idx="458">
                  <c:v>-7.9188668387088939</c:v>
                </c:pt>
                <c:pt idx="459">
                  <c:v>-7.9560845119321044</c:v>
                </c:pt>
                <c:pt idx="460">
                  <c:v>-7.992856168318772</c:v>
                </c:pt>
                <c:pt idx="461">
                  <c:v>-8.0291839003937415</c:v>
                </c:pt>
                <c:pt idx="462">
                  <c:v>-8.0650698922052921</c:v>
                </c:pt>
                <c:pt idx="463">
                  <c:v>-8.1005164156391842</c:v>
                </c:pt>
                <c:pt idx="464">
                  <c:v>-8.1355258267982986</c:v>
                </c:pt>
                <c:pt idx="465">
                  <c:v>-8.1701005624485408</c:v>
                </c:pt>
                <c:pt idx="466">
                  <c:v>-8.2042431365315327</c:v>
                </c:pt>
                <c:pt idx="467">
                  <c:v>-8.2379561367444261</c:v>
                </c:pt>
                <c:pt idx="468">
                  <c:v>-8.2712422211872667</c:v>
                </c:pt>
                <c:pt idx="469">
                  <c:v>-8.3041041150781201</c:v>
                </c:pt>
                <c:pt idx="470">
                  <c:v>-8.3365446075360392</c:v>
                </c:pt>
                <c:pt idx="471">
                  <c:v>-8.3685665484320833</c:v>
                </c:pt>
                <c:pt idx="472">
                  <c:v>-8.4001728453083189</c:v>
                </c:pt>
                <c:pt idx="473">
                  <c:v>-8.4313664603646981</c:v>
                </c:pt>
                <c:pt idx="474">
                  <c:v>-8.4621504075138194</c:v>
                </c:pt>
                <c:pt idx="475">
                  <c:v>-8.4925277495032372</c:v>
                </c:pt>
                <c:pt idx="476">
                  <c:v>-8.5225015951051297</c:v>
                </c:pt>
                <c:pt idx="477">
                  <c:v>-8.5520750963729615</c:v>
                </c:pt>
                <c:pt idx="478">
                  <c:v>-8.5812514459648668</c:v>
                </c:pt>
                <c:pt idx="479">
                  <c:v>-8.6100338745332117</c:v>
                </c:pt>
                <c:pt idx="480">
                  <c:v>-8.6384256481799273</c:v>
                </c:pt>
                <c:pt idx="481">
                  <c:v>-8.6664300659771154</c:v>
                </c:pt>
                <c:pt idx="482">
                  <c:v>-8.6940504575523025</c:v>
                </c:pt>
                <c:pt idx="483">
                  <c:v>-8.7212901807377783</c:v>
                </c:pt>
                <c:pt idx="484">
                  <c:v>-8.7481526192834256</c:v>
                </c:pt>
                <c:pt idx="485">
                  <c:v>-8.7746411806322477</c:v>
                </c:pt>
                <c:pt idx="486">
                  <c:v>-8.8007592937580146</c:v>
                </c:pt>
                <c:pt idx="487">
                  <c:v>-8.8265104070642195</c:v>
                </c:pt>
                <c:pt idx="488">
                  <c:v>-8.8518979863435767</c:v>
                </c:pt>
                <c:pt idx="489">
                  <c:v>-8.8769255127973246</c:v>
                </c:pt>
                <c:pt idx="490">
                  <c:v>-8.9015964811134598</c:v>
                </c:pt>
                <c:pt idx="491">
                  <c:v>-8.9259143976031083</c:v>
                </c:pt>
                <c:pt idx="492">
                  <c:v>-8.9498827783941746</c:v>
                </c:pt>
                <c:pt idx="493">
                  <c:v>-8.9735051476813421</c:v>
                </c:pt>
                <c:pt idx="494">
                  <c:v>-8.9967850360316337</c:v>
                </c:pt>
                <c:pt idx="495">
                  <c:v>-9.0197259787445727</c:v>
                </c:pt>
                <c:pt idx="496">
                  <c:v>-9.0423315142659906</c:v>
                </c:pt>
                <c:pt idx="497">
                  <c:v>-9.0646051826546508</c:v>
                </c:pt>
                <c:pt idx="498">
                  <c:v>-9.0865505241007156</c:v>
                </c:pt>
                <c:pt idx="499">
                  <c:v>-9.1081710774950615</c:v>
                </c:pt>
                <c:pt idx="500">
                  <c:v>-9.1294703790485894</c:v>
                </c:pt>
                <c:pt idx="501">
                  <c:v>-9.1504519609605062</c:v>
                </c:pt>
                <c:pt idx="502">
                  <c:v>-9.1711193501346848</c:v>
                </c:pt>
                <c:pt idx="503">
                  <c:v>-9.1914760669430819</c:v>
                </c:pt>
                <c:pt idx="504">
                  <c:v>-9.2115256240352856</c:v>
                </c:pt>
                <c:pt idx="505">
                  <c:v>-9.2312715251932786</c:v>
                </c:pt>
                <c:pt idx="506">
                  <c:v>-9.2507172642303779</c:v>
                </c:pt>
                <c:pt idx="507">
                  <c:v>-9.2507363893130599</c:v>
                </c:pt>
                <c:pt idx="508">
                  <c:v>-9.2507555141040907</c:v>
                </c:pt>
                <c:pt idx="509">
                  <c:v>-9.2507746386034739</c:v>
                </c:pt>
                <c:pt idx="510">
                  <c:v>-9.250793762811206</c:v>
                </c:pt>
                <c:pt idx="511">
                  <c:v>-9.2508128867272994</c:v>
                </c:pt>
                <c:pt idx="512">
                  <c:v>-9.2508320103517558</c:v>
                </c:pt>
                <c:pt idx="513">
                  <c:v>-9.2508511336845736</c:v>
                </c:pt>
                <c:pt idx="514">
                  <c:v>-9.2508702567257615</c:v>
                </c:pt>
                <c:pt idx="515">
                  <c:v>-9.2508893794753213</c:v>
                </c:pt>
                <c:pt idx="516">
                  <c:v>-9.2509085019332566</c:v>
                </c:pt>
                <c:pt idx="517">
                  <c:v>-9.2509276240995675</c:v>
                </c:pt>
                <c:pt idx="518">
                  <c:v>-9.2509467459742609</c:v>
                </c:pt>
                <c:pt idx="519">
                  <c:v>-9.2509658675573352</c:v>
                </c:pt>
                <c:pt idx="520">
                  <c:v>-9.2509849888488027</c:v>
                </c:pt>
                <c:pt idx="521">
                  <c:v>-9.25100410984866</c:v>
                </c:pt>
                <c:pt idx="522">
                  <c:v>-9.2510232305569158</c:v>
                </c:pt>
                <c:pt idx="523">
                  <c:v>-9.2510423509735649</c:v>
                </c:pt>
                <c:pt idx="524">
                  <c:v>-9.2510614710986161</c:v>
                </c:pt>
                <c:pt idx="525">
                  <c:v>-9.251080590932073</c:v>
                </c:pt>
                <c:pt idx="526">
                  <c:v>-9.2510997104739427</c:v>
                </c:pt>
                <c:pt idx="527">
                  <c:v>-9.2511188297242217</c:v>
                </c:pt>
                <c:pt idx="528">
                  <c:v>-9.2511379486829188</c:v>
                </c:pt>
                <c:pt idx="529">
                  <c:v>-9.2511570673500252</c:v>
                </c:pt>
                <c:pt idx="530">
                  <c:v>-9.2511761857255639</c:v>
                </c:pt>
                <c:pt idx="531">
                  <c:v>-9.2511953038095225</c:v>
                </c:pt>
                <c:pt idx="532">
                  <c:v>-9.2512144216019152</c:v>
                </c:pt>
                <c:pt idx="533">
                  <c:v>-9.2512335391027349</c:v>
                </c:pt>
                <c:pt idx="534">
                  <c:v>-9.2512526563119977</c:v>
                </c:pt>
                <c:pt idx="535">
                  <c:v>-9.251271773229691</c:v>
                </c:pt>
                <c:pt idx="536">
                  <c:v>-9.251290889855829</c:v>
                </c:pt>
                <c:pt idx="537">
                  <c:v>-9.251310006190419</c:v>
                </c:pt>
                <c:pt idx="538">
                  <c:v>-9.2513291222334519</c:v>
                </c:pt>
                <c:pt idx="539">
                  <c:v>-9.2513482379849368</c:v>
                </c:pt>
                <c:pt idx="540">
                  <c:v>-9.2513673534448824</c:v>
                </c:pt>
                <c:pt idx="541">
                  <c:v>-9.2513864686132852</c:v>
                </c:pt>
                <c:pt idx="542">
                  <c:v>-9.2514055834901541</c:v>
                </c:pt>
                <c:pt idx="543">
                  <c:v>-9.251424698075482</c:v>
                </c:pt>
                <c:pt idx="544">
                  <c:v>-9.2514438123692884</c:v>
                </c:pt>
                <c:pt idx="545">
                  <c:v>-9.2514629263715609</c:v>
                </c:pt>
                <c:pt idx="546">
                  <c:v>-9.2514820400823119</c:v>
                </c:pt>
                <c:pt idx="547">
                  <c:v>-9.2515011535015432</c:v>
                </c:pt>
                <c:pt idx="548">
                  <c:v>-9.2515202666292602</c:v>
                </c:pt>
                <c:pt idx="549">
                  <c:v>-9.2515393794654592</c:v>
                </c:pt>
                <c:pt idx="550">
                  <c:v>-9.2515584920101528</c:v>
                </c:pt>
                <c:pt idx="551">
                  <c:v>-9.2515776042633355</c:v>
                </c:pt>
                <c:pt idx="552">
                  <c:v>-9.2515967162250217</c:v>
                </c:pt>
                <c:pt idx="553">
                  <c:v>-9.2516158278952005</c:v>
                </c:pt>
                <c:pt idx="554">
                  <c:v>-9.2516349392738864</c:v>
                </c:pt>
                <c:pt idx="555">
                  <c:v>-9.251654050361072</c:v>
                </c:pt>
                <c:pt idx="556">
                  <c:v>-9.2516731611567824</c:v>
                </c:pt>
                <c:pt idx="557">
                  <c:v>-9.2516922716609979</c:v>
                </c:pt>
                <c:pt idx="558">
                  <c:v>-9.2517113818737347</c:v>
                </c:pt>
                <c:pt idx="559">
                  <c:v>-9.2517304917949907</c:v>
                </c:pt>
                <c:pt idx="560">
                  <c:v>-9.2517496014247698</c:v>
                </c:pt>
                <c:pt idx="561">
                  <c:v>-9.2517687107630771</c:v>
                </c:pt>
                <c:pt idx="562">
                  <c:v>-9.2517878198099126</c:v>
                </c:pt>
                <c:pt idx="563">
                  <c:v>-9.2518069285652818</c:v>
                </c:pt>
                <c:pt idx="564">
                  <c:v>-9.2518260370291898</c:v>
                </c:pt>
                <c:pt idx="565">
                  <c:v>-9.2518451452016439</c:v>
                </c:pt>
                <c:pt idx="566">
                  <c:v>-9.2518642530826352</c:v>
                </c:pt>
                <c:pt idx="567">
                  <c:v>-9.2518833606721778</c:v>
                </c:pt>
                <c:pt idx="568">
                  <c:v>-9.2519024679702717</c:v>
                </c:pt>
                <c:pt idx="569">
                  <c:v>-9.2519215749769206</c:v>
                </c:pt>
                <c:pt idx="570">
                  <c:v>-9.2519406816921244</c:v>
                </c:pt>
                <c:pt idx="571">
                  <c:v>-9.2519597881158919</c:v>
                </c:pt>
                <c:pt idx="572">
                  <c:v>-9.2519788942482215</c:v>
                </c:pt>
                <c:pt idx="573">
                  <c:v>-9.2519980000891238</c:v>
                </c:pt>
                <c:pt idx="574">
                  <c:v>-9.2520171056385969</c:v>
                </c:pt>
                <c:pt idx="575">
                  <c:v>-9.2520362108966427</c:v>
                </c:pt>
                <c:pt idx="576">
                  <c:v>-9.2520553158632719</c:v>
                </c:pt>
                <c:pt idx="577">
                  <c:v>-9.2520744205384737</c:v>
                </c:pt>
                <c:pt idx="578">
                  <c:v>-9.2520935249222678</c:v>
                </c:pt>
                <c:pt idx="579">
                  <c:v>-9.2521126290146505</c:v>
                </c:pt>
                <c:pt idx="580">
                  <c:v>-9.2521317328156236</c:v>
                </c:pt>
                <c:pt idx="581">
                  <c:v>-9.2521508363251872</c:v>
                </c:pt>
                <c:pt idx="582">
                  <c:v>-9.2521699395433536</c:v>
                </c:pt>
                <c:pt idx="583">
                  <c:v>-9.2521890424701247</c:v>
                </c:pt>
                <c:pt idx="584">
                  <c:v>-9.2522081451054952</c:v>
                </c:pt>
                <c:pt idx="585">
                  <c:v>-9.2522272474494791</c:v>
                </c:pt>
                <c:pt idx="586">
                  <c:v>-9.2522463495020748</c:v>
                </c:pt>
                <c:pt idx="587">
                  <c:v>-9.252265451263284</c:v>
                </c:pt>
                <c:pt idx="588">
                  <c:v>-9.2522845527331121</c:v>
                </c:pt>
                <c:pt idx="589">
                  <c:v>-9.2523036539115662</c:v>
                </c:pt>
                <c:pt idx="590">
                  <c:v>-9.2523227547986462</c:v>
                </c:pt>
                <c:pt idx="591">
                  <c:v>-9.2523418553943575</c:v>
                </c:pt>
                <c:pt idx="592">
                  <c:v>-9.252360955698693</c:v>
                </c:pt>
                <c:pt idx="593">
                  <c:v>-9.2523800557116687</c:v>
                </c:pt>
                <c:pt idx="594">
                  <c:v>-9.2523991554332845</c:v>
                </c:pt>
                <c:pt idx="595">
                  <c:v>-9.2524182548635423</c:v>
                </c:pt>
                <c:pt idx="596">
                  <c:v>-9.2524373540024474</c:v>
                </c:pt>
                <c:pt idx="597">
                  <c:v>-9.2524564528500051</c:v>
                </c:pt>
                <c:pt idx="598">
                  <c:v>-9.2524755514062118</c:v>
                </c:pt>
                <c:pt idx="599">
                  <c:v>-9.2524946496710729</c:v>
                </c:pt>
                <c:pt idx="600">
                  <c:v>-9.2525137476445956</c:v>
                </c:pt>
                <c:pt idx="601">
                  <c:v>-9.2525328453267832</c:v>
                </c:pt>
                <c:pt idx="602">
                  <c:v>-9.2525519427176377</c:v>
                </c:pt>
                <c:pt idx="603">
                  <c:v>-9.2525710398171643</c:v>
                </c:pt>
                <c:pt idx="604">
                  <c:v>-9.252590136625356</c:v>
                </c:pt>
                <c:pt idx="605">
                  <c:v>-9.2526092331422376</c:v>
                </c:pt>
                <c:pt idx="606">
                  <c:v>-9.2526283293677878</c:v>
                </c:pt>
                <c:pt idx="607">
                  <c:v>-9.2526474253020261</c:v>
                </c:pt>
                <c:pt idx="608">
                  <c:v>-9.252666520944949</c:v>
                </c:pt>
                <c:pt idx="609">
                  <c:v>-9.2526856162965636</c:v>
                </c:pt>
                <c:pt idx="610">
                  <c:v>-9.2527047113568734</c:v>
                </c:pt>
                <c:pt idx="611">
                  <c:v>-9.2527238061258785</c:v>
                </c:pt>
                <c:pt idx="612">
                  <c:v>-9.2527429006035824</c:v>
                </c:pt>
                <c:pt idx="613">
                  <c:v>-9.2527619947899904</c:v>
                </c:pt>
                <c:pt idx="614">
                  <c:v>-9.2527810886851078</c:v>
                </c:pt>
                <c:pt idx="615">
                  <c:v>-9.2528001822889383</c:v>
                </c:pt>
                <c:pt idx="616">
                  <c:v>-9.2528192756014764</c:v>
                </c:pt>
                <c:pt idx="617">
                  <c:v>-9.2528383686227382</c:v>
                </c:pt>
                <c:pt idx="618">
                  <c:v>-9.2528574613527201</c:v>
                </c:pt>
                <c:pt idx="619">
                  <c:v>-9.2528765537914204</c:v>
                </c:pt>
                <c:pt idx="620">
                  <c:v>-9.2528956459388585</c:v>
                </c:pt>
                <c:pt idx="621">
                  <c:v>-9.2529147377950203</c:v>
                </c:pt>
                <c:pt idx="622">
                  <c:v>-9.2529338293599146</c:v>
                </c:pt>
                <c:pt idx="623">
                  <c:v>-9.2529529206335521</c:v>
                </c:pt>
                <c:pt idx="624">
                  <c:v>-9.2529720116159275</c:v>
                </c:pt>
                <c:pt idx="625">
                  <c:v>-9.2529911023070497</c:v>
                </c:pt>
                <c:pt idx="626">
                  <c:v>-9.2530101927069168</c:v>
                </c:pt>
                <c:pt idx="627">
                  <c:v>-9.2530292828155396</c:v>
                </c:pt>
                <c:pt idx="628">
                  <c:v>-9.2530483726329145</c:v>
                </c:pt>
                <c:pt idx="629">
                  <c:v>-9.2530674621590503</c:v>
                </c:pt>
                <c:pt idx="630">
                  <c:v>-9.2530865513939453</c:v>
                </c:pt>
                <c:pt idx="631">
                  <c:v>-9.2531056403376066</c:v>
                </c:pt>
                <c:pt idx="632">
                  <c:v>-9.2531247289900325</c:v>
                </c:pt>
                <c:pt idx="633">
                  <c:v>-9.2531438173512353</c:v>
                </c:pt>
                <c:pt idx="634">
                  <c:v>-9.2531629054212114</c:v>
                </c:pt>
                <c:pt idx="635">
                  <c:v>-9.2531819931999664</c:v>
                </c:pt>
                <c:pt idx="636">
                  <c:v>-9.2532010806874982</c:v>
                </c:pt>
                <c:pt idx="637">
                  <c:v>-9.2532201678838231</c:v>
                </c:pt>
                <c:pt idx="638">
                  <c:v>-9.2532392547889337</c:v>
                </c:pt>
                <c:pt idx="639">
                  <c:v>-9.2532583414028355</c:v>
                </c:pt>
                <c:pt idx="640">
                  <c:v>-9.2532774277255356</c:v>
                </c:pt>
                <c:pt idx="641">
                  <c:v>-9.2532965137570322</c:v>
                </c:pt>
                <c:pt idx="642">
                  <c:v>-9.2533155994973324</c:v>
                </c:pt>
                <c:pt idx="643">
                  <c:v>-9.2533346849464397</c:v>
                </c:pt>
                <c:pt idx="644">
                  <c:v>-9.2533537701043524</c:v>
                </c:pt>
                <c:pt idx="645">
                  <c:v>-9.2533728549710812</c:v>
                </c:pt>
                <c:pt idx="646">
                  <c:v>-9.2533919395466242</c:v>
                </c:pt>
                <c:pt idx="647">
                  <c:v>-9.253411023830985</c:v>
                </c:pt>
                <c:pt idx="648">
                  <c:v>-9.2534301078241725</c:v>
                </c:pt>
                <c:pt idx="649">
                  <c:v>-9.2534491915261832</c:v>
                </c:pt>
                <c:pt idx="650">
                  <c:v>-9.253468274937017</c:v>
                </c:pt>
                <c:pt idx="651">
                  <c:v>-9.2534873580566916</c:v>
                </c:pt>
                <c:pt idx="652">
                  <c:v>-9.2535064408852072</c:v>
                </c:pt>
                <c:pt idx="653">
                  <c:v>-9.2535255234225513</c:v>
                </c:pt>
                <c:pt idx="654">
                  <c:v>-9.2535446056687451</c:v>
                </c:pt>
                <c:pt idx="655">
                  <c:v>-9.2535636876237835</c:v>
                </c:pt>
                <c:pt idx="656">
                  <c:v>-9.2535827692876751</c:v>
                </c:pt>
                <c:pt idx="657">
                  <c:v>-9.2536018506604112</c:v>
                </c:pt>
                <c:pt idx="658">
                  <c:v>-9.2536209317420131</c:v>
                </c:pt>
                <c:pt idx="659">
                  <c:v>-9.25364001253247</c:v>
                </c:pt>
                <c:pt idx="660">
                  <c:v>-9.2536590930317892</c:v>
                </c:pt>
                <c:pt idx="661">
                  <c:v>-9.2536781732399778</c:v>
                </c:pt>
                <c:pt idx="662">
                  <c:v>-9.2536972531570374</c:v>
                </c:pt>
                <c:pt idx="663">
                  <c:v>-9.2537163327829699</c:v>
                </c:pt>
                <c:pt idx="664">
                  <c:v>-9.2537354121177771</c:v>
                </c:pt>
                <c:pt idx="665">
                  <c:v>-9.2537544911614678</c:v>
                </c:pt>
                <c:pt idx="666">
                  <c:v>-9.253773569914042</c:v>
                </c:pt>
                <c:pt idx="667">
                  <c:v>-9.2537926483755051</c:v>
                </c:pt>
                <c:pt idx="668">
                  <c:v>-9.2538117265458553</c:v>
                </c:pt>
                <c:pt idx="669">
                  <c:v>-9.2538308044250961</c:v>
                </c:pt>
                <c:pt idx="670">
                  <c:v>-9.2538498820132418</c:v>
                </c:pt>
                <c:pt idx="671">
                  <c:v>-9.2538689593102852</c:v>
                </c:pt>
                <c:pt idx="672">
                  <c:v>-9.2538880363162317</c:v>
                </c:pt>
                <c:pt idx="673">
                  <c:v>-9.2539071130310848</c:v>
                </c:pt>
                <c:pt idx="674">
                  <c:v>-9.2539261894548517</c:v>
                </c:pt>
                <c:pt idx="675">
                  <c:v>-9.2539452655875305</c:v>
                </c:pt>
                <c:pt idx="676">
                  <c:v>-9.2539643414291284</c:v>
                </c:pt>
                <c:pt idx="677">
                  <c:v>-9.2539834169796471</c:v>
                </c:pt>
                <c:pt idx="678">
                  <c:v>-9.2540024922390938</c:v>
                </c:pt>
                <c:pt idx="679">
                  <c:v>-9.2540215672074631</c:v>
                </c:pt>
                <c:pt idx="680">
                  <c:v>-9.2540406418847692</c:v>
                </c:pt>
                <c:pt idx="681">
                  <c:v>-9.2540597162710014</c:v>
                </c:pt>
                <c:pt idx="682">
                  <c:v>-9.2540787903661759</c:v>
                </c:pt>
                <c:pt idx="683">
                  <c:v>-9.2540978641702942</c:v>
                </c:pt>
                <c:pt idx="684">
                  <c:v>-9.2541169376833547</c:v>
                </c:pt>
                <c:pt idx="685">
                  <c:v>-9.2541360109053663</c:v>
                </c:pt>
                <c:pt idx="686">
                  <c:v>-9.2541550838363271</c:v>
                </c:pt>
                <c:pt idx="687">
                  <c:v>-9.2541741564762425</c:v>
                </c:pt>
                <c:pt idx="688">
                  <c:v>-9.2541932288251214</c:v>
                </c:pt>
                <c:pt idx="689">
                  <c:v>-9.2542123008829531</c:v>
                </c:pt>
                <c:pt idx="690">
                  <c:v>-9.2542313726497571</c:v>
                </c:pt>
                <c:pt idx="691">
                  <c:v>-9.2542504441255282</c:v>
                </c:pt>
                <c:pt idx="692">
                  <c:v>-9.2542695153102716</c:v>
                </c:pt>
                <c:pt idx="693">
                  <c:v>-9.2542885862039856</c:v>
                </c:pt>
                <c:pt idx="694">
                  <c:v>-9.254307656806688</c:v>
                </c:pt>
                <c:pt idx="695">
                  <c:v>-9.254326727118368</c:v>
                </c:pt>
                <c:pt idx="696">
                  <c:v>-9.2543457971390328</c:v>
                </c:pt>
                <c:pt idx="697">
                  <c:v>-9.254364866868686</c:v>
                </c:pt>
                <c:pt idx="698">
                  <c:v>-9.2543839363073293</c:v>
                </c:pt>
                <c:pt idx="699">
                  <c:v>-9.254403005454968</c:v>
                </c:pt>
                <c:pt idx="700">
                  <c:v>-9.2544220743116146</c:v>
                </c:pt>
                <c:pt idx="701">
                  <c:v>-9.2544411428772548</c:v>
                </c:pt>
                <c:pt idx="702">
                  <c:v>-9.254460211151903</c:v>
                </c:pt>
                <c:pt idx="703">
                  <c:v>-9.2544792791355608</c:v>
                </c:pt>
                <c:pt idx="704">
                  <c:v>-9.2544983468282318</c:v>
                </c:pt>
                <c:pt idx="705">
                  <c:v>-9.2545174142299196</c:v>
                </c:pt>
                <c:pt idx="706">
                  <c:v>-9.2545364813406241</c:v>
                </c:pt>
                <c:pt idx="707">
                  <c:v>-9.2545555481603508</c:v>
                </c:pt>
                <c:pt idx="708">
                  <c:v>-9.2545746146891119</c:v>
                </c:pt>
                <c:pt idx="709">
                  <c:v>-9.2545936809268916</c:v>
                </c:pt>
                <c:pt idx="710">
                  <c:v>-9.2546127468737147</c:v>
                </c:pt>
                <c:pt idx="711">
                  <c:v>-9.2546318125295688</c:v>
                </c:pt>
                <c:pt idx="712">
                  <c:v>-9.2546508778944645</c:v>
                </c:pt>
                <c:pt idx="713">
                  <c:v>-9.2546699429683947</c:v>
                </c:pt>
                <c:pt idx="714">
                  <c:v>-9.2546890077513861</c:v>
                </c:pt>
                <c:pt idx="715">
                  <c:v>-9.254708072243421</c:v>
                </c:pt>
                <c:pt idx="716">
                  <c:v>-9.2547271364445116</c:v>
                </c:pt>
                <c:pt idx="717">
                  <c:v>-9.2547462003546546</c:v>
                </c:pt>
                <c:pt idx="718">
                  <c:v>-9.2547652639738605</c:v>
                </c:pt>
                <c:pt idx="719">
                  <c:v>-9.2547843273021311</c:v>
                </c:pt>
                <c:pt idx="720">
                  <c:v>-9.2548033903394629</c:v>
                </c:pt>
                <c:pt idx="721">
                  <c:v>-9.2548224530858718</c:v>
                </c:pt>
                <c:pt idx="722">
                  <c:v>-9.254841515541349</c:v>
                </c:pt>
                <c:pt idx="723">
                  <c:v>-9.2548605777059034</c:v>
                </c:pt>
                <c:pt idx="724">
                  <c:v>-9.2548796395795438</c:v>
                </c:pt>
                <c:pt idx="725">
                  <c:v>-9.254898701162265</c:v>
                </c:pt>
                <c:pt idx="726">
                  <c:v>-9.2549177624540757</c:v>
                </c:pt>
                <c:pt idx="727">
                  <c:v>-9.2549368234549743</c:v>
                </c:pt>
                <c:pt idx="728">
                  <c:v>-9.2549558841649642</c:v>
                </c:pt>
                <c:pt idx="729">
                  <c:v>-9.2549749445840597</c:v>
                </c:pt>
                <c:pt idx="730">
                  <c:v>-9.2549940047122554</c:v>
                </c:pt>
                <c:pt idx="731">
                  <c:v>-9.2550130645495479</c:v>
                </c:pt>
                <c:pt idx="732">
                  <c:v>-9.2550321240959512</c:v>
                </c:pt>
                <c:pt idx="733">
                  <c:v>-9.255051183351469</c:v>
                </c:pt>
                <c:pt idx="734">
                  <c:v>-9.2550702423160942</c:v>
                </c:pt>
                <c:pt idx="735">
                  <c:v>-9.2550893009898427</c:v>
                </c:pt>
                <c:pt idx="736">
                  <c:v>-9.2551083593727146</c:v>
                </c:pt>
                <c:pt idx="737">
                  <c:v>-9.2551274174647027</c:v>
                </c:pt>
                <c:pt idx="738">
                  <c:v>-9.2551464752658301</c:v>
                </c:pt>
                <c:pt idx="739">
                  <c:v>-9.2551655327760827</c:v>
                </c:pt>
                <c:pt idx="740">
                  <c:v>-9.255184589995471</c:v>
                </c:pt>
                <c:pt idx="741">
                  <c:v>-9.2552036469239969</c:v>
                </c:pt>
                <c:pt idx="742">
                  <c:v>-9.2552227035616639</c:v>
                </c:pt>
                <c:pt idx="743">
                  <c:v>-9.2552417599084738</c:v>
                </c:pt>
                <c:pt idx="744">
                  <c:v>-9.2552608159644407</c:v>
                </c:pt>
                <c:pt idx="745">
                  <c:v>-9.2552798717295488</c:v>
                </c:pt>
                <c:pt idx="746">
                  <c:v>-9.2552989272038211</c:v>
                </c:pt>
                <c:pt idx="747">
                  <c:v>-9.2553179823872487</c:v>
                </c:pt>
                <c:pt idx="748">
                  <c:v>-9.2553370372798351</c:v>
                </c:pt>
                <c:pt idx="749">
                  <c:v>-9.2553560918815911</c:v>
                </c:pt>
                <c:pt idx="750">
                  <c:v>-9.2553751461925131</c:v>
                </c:pt>
                <c:pt idx="751">
                  <c:v>-9.2553942002126046</c:v>
                </c:pt>
                <c:pt idx="752">
                  <c:v>-9.2554132539418745</c:v>
                </c:pt>
                <c:pt idx="753">
                  <c:v>-9.2554323073803264</c:v>
                </c:pt>
                <c:pt idx="754">
                  <c:v>-9.2554513605279585</c:v>
                </c:pt>
                <c:pt idx="755">
                  <c:v>-9.2554704133847743</c:v>
                </c:pt>
                <c:pt idx="756">
                  <c:v>-9.2554894659507756</c:v>
                </c:pt>
                <c:pt idx="757">
                  <c:v>-9.2555085182259749</c:v>
                </c:pt>
                <c:pt idx="758">
                  <c:v>-9.2555275702103756</c:v>
                </c:pt>
                <c:pt idx="759">
                  <c:v>-9.255546621903969</c:v>
                </c:pt>
                <c:pt idx="760">
                  <c:v>-9.2555656733067639</c:v>
                </c:pt>
                <c:pt idx="761">
                  <c:v>-9.2555847244187692</c:v>
                </c:pt>
                <c:pt idx="762">
                  <c:v>-9.2556037752399796</c:v>
                </c:pt>
                <c:pt idx="763">
                  <c:v>-9.2556228257704038</c:v>
                </c:pt>
                <c:pt idx="764">
                  <c:v>-9.2556418760100474</c:v>
                </c:pt>
                <c:pt idx="765">
                  <c:v>-9.2556609259589084</c:v>
                </c:pt>
                <c:pt idx="766">
                  <c:v>-9.2556799756169941</c:v>
                </c:pt>
                <c:pt idx="767">
                  <c:v>-9.2556990249843061</c:v>
                </c:pt>
                <c:pt idx="768">
                  <c:v>-9.2557180740608445</c:v>
                </c:pt>
                <c:pt idx="769">
                  <c:v>-9.2557371228466181</c:v>
                </c:pt>
                <c:pt idx="770">
                  <c:v>-9.2557561713416234</c:v>
                </c:pt>
                <c:pt idx="771">
                  <c:v>-9.2557752195458782</c:v>
                </c:pt>
                <c:pt idx="772">
                  <c:v>-9.2557942674593683</c:v>
                </c:pt>
                <c:pt idx="773">
                  <c:v>-9.2558133150821096</c:v>
                </c:pt>
                <c:pt idx="774">
                  <c:v>-9.2558323624141003</c:v>
                </c:pt>
                <c:pt idx="775">
                  <c:v>-9.2558514094553459</c:v>
                </c:pt>
                <c:pt idx="776">
                  <c:v>-9.2558704562058463</c:v>
                </c:pt>
                <c:pt idx="777">
                  <c:v>-9.2558895026656032</c:v>
                </c:pt>
                <c:pt idx="778">
                  <c:v>-9.2559085488346273</c:v>
                </c:pt>
                <c:pt idx="779">
                  <c:v>-9.2559275947129169</c:v>
                </c:pt>
                <c:pt idx="780">
                  <c:v>-9.2559466403004844</c:v>
                </c:pt>
                <c:pt idx="781">
                  <c:v>-9.2559656855973209</c:v>
                </c:pt>
                <c:pt idx="782">
                  <c:v>-9.2559847306034335</c:v>
                </c:pt>
                <c:pt idx="783">
                  <c:v>-9.2560037753188276</c:v>
                </c:pt>
                <c:pt idx="784">
                  <c:v>-9.2560228197435013</c:v>
                </c:pt>
                <c:pt idx="785">
                  <c:v>-9.2560418638774689</c:v>
                </c:pt>
                <c:pt idx="786">
                  <c:v>-9.2560609077207268</c:v>
                </c:pt>
                <c:pt idx="787">
                  <c:v>-9.256079951273275</c:v>
                </c:pt>
                <c:pt idx="788">
                  <c:v>-9.2560989945351224</c:v>
                </c:pt>
                <c:pt idx="789">
                  <c:v>-9.2561180375062726</c:v>
                </c:pt>
                <c:pt idx="790">
                  <c:v>-9.2561370801867291</c:v>
                </c:pt>
                <c:pt idx="791">
                  <c:v>-9.2561561225764866</c:v>
                </c:pt>
                <c:pt idx="792">
                  <c:v>-9.2561751646755628</c:v>
                </c:pt>
                <c:pt idx="793">
                  <c:v>-9.2561942064839506</c:v>
                </c:pt>
                <c:pt idx="794">
                  <c:v>-9.2562132480016572</c:v>
                </c:pt>
                <c:pt idx="795">
                  <c:v>-9.2562322892286861</c:v>
                </c:pt>
                <c:pt idx="796">
                  <c:v>-9.2562513301650373</c:v>
                </c:pt>
                <c:pt idx="797">
                  <c:v>-9.2562703708107144</c:v>
                </c:pt>
                <c:pt idx="798">
                  <c:v>-9.2562894111657261</c:v>
                </c:pt>
                <c:pt idx="799">
                  <c:v>-9.2563084512300744</c:v>
                </c:pt>
                <c:pt idx="800">
                  <c:v>-9.2563274910037574</c:v>
                </c:pt>
                <c:pt idx="801">
                  <c:v>-9.2563465304867858</c:v>
                </c:pt>
                <c:pt idx="802">
                  <c:v>-9.2563655696791578</c:v>
                </c:pt>
                <c:pt idx="803">
                  <c:v>-9.2563846085808752</c:v>
                </c:pt>
                <c:pt idx="804">
                  <c:v>-9.2564036471919451</c:v>
                </c:pt>
                <c:pt idx="805">
                  <c:v>-9.2564226855123781</c:v>
                </c:pt>
                <c:pt idx="806">
                  <c:v>-9.2564417235421619</c:v>
                </c:pt>
                <c:pt idx="807">
                  <c:v>-9.2564607612813106</c:v>
                </c:pt>
                <c:pt idx="808">
                  <c:v>-9.256479798729826</c:v>
                </c:pt>
                <c:pt idx="809">
                  <c:v>-9.2564988358877098</c:v>
                </c:pt>
                <c:pt idx="810">
                  <c:v>-9.2565178727549657</c:v>
                </c:pt>
                <c:pt idx="811">
                  <c:v>-9.2565369093315972</c:v>
                </c:pt>
                <c:pt idx="812">
                  <c:v>-9.2565559456176025</c:v>
                </c:pt>
                <c:pt idx="813">
                  <c:v>-9.2565749816129959</c:v>
                </c:pt>
                <c:pt idx="814">
                  <c:v>-9.2565940173177754</c:v>
                </c:pt>
                <c:pt idx="815">
                  <c:v>-9.2566130527319448</c:v>
                </c:pt>
                <c:pt idx="816">
                  <c:v>-9.2566320878555004</c:v>
                </c:pt>
                <c:pt idx="817">
                  <c:v>-9.2566511226884565</c:v>
                </c:pt>
                <c:pt idx="818">
                  <c:v>-9.256670157230813</c:v>
                </c:pt>
                <c:pt idx="819">
                  <c:v>-9.2566891914825717</c:v>
                </c:pt>
                <c:pt idx="820">
                  <c:v>-9.2567082254437345</c:v>
                </c:pt>
                <c:pt idx="821">
                  <c:v>-9.2567272591143066</c:v>
                </c:pt>
                <c:pt idx="822">
                  <c:v>-9.2567462924942951</c:v>
                </c:pt>
                <c:pt idx="823">
                  <c:v>-9.2567653255837001</c:v>
                </c:pt>
                <c:pt idx="824">
                  <c:v>-9.2567843583825233</c:v>
                </c:pt>
                <c:pt idx="825">
                  <c:v>-9.2568033908907665</c:v>
                </c:pt>
                <c:pt idx="826">
                  <c:v>-9.2568224231084386</c:v>
                </c:pt>
                <c:pt idx="827">
                  <c:v>-9.2568414550355378</c:v>
                </c:pt>
                <c:pt idx="828">
                  <c:v>-9.2568604866720747</c:v>
                </c:pt>
                <c:pt idx="829">
                  <c:v>-9.2568795180180476</c:v>
                </c:pt>
                <c:pt idx="830">
                  <c:v>-9.2568985490734601</c:v>
                </c:pt>
                <c:pt idx="831">
                  <c:v>-9.2569175798383174</c:v>
                </c:pt>
                <c:pt idx="832">
                  <c:v>-9.2569366103126178</c:v>
                </c:pt>
                <c:pt idx="833">
                  <c:v>-9.2569556404963684</c:v>
                </c:pt>
                <c:pt idx="834">
                  <c:v>-9.2569746703895763</c:v>
                </c:pt>
                <c:pt idx="835">
                  <c:v>-9.2569936999922398</c:v>
                </c:pt>
                <c:pt idx="836">
                  <c:v>-9.2570127293043623</c:v>
                </c:pt>
                <c:pt idx="837">
                  <c:v>-9.2570317583259545</c:v>
                </c:pt>
                <c:pt idx="838">
                  <c:v>-9.2570507870570058</c:v>
                </c:pt>
                <c:pt idx="839">
                  <c:v>-9.2570698154975322</c:v>
                </c:pt>
                <c:pt idx="840">
                  <c:v>-9.2570888436475336</c:v>
                </c:pt>
                <c:pt idx="841">
                  <c:v>-9.2571078715070083</c:v>
                </c:pt>
                <c:pt idx="842">
                  <c:v>-9.257126899075967</c:v>
                </c:pt>
                <c:pt idx="843">
                  <c:v>-9.2571459263544114</c:v>
                </c:pt>
                <c:pt idx="844">
                  <c:v>-9.2571649533423379</c:v>
                </c:pt>
                <c:pt idx="845">
                  <c:v>-9.2571839800397555</c:v>
                </c:pt>
                <c:pt idx="846">
                  <c:v>-9.2572030064466695</c:v>
                </c:pt>
                <c:pt idx="847">
                  <c:v>-9.2572220325630834</c:v>
                </c:pt>
                <c:pt idx="848">
                  <c:v>-9.2572410583890008</c:v>
                </c:pt>
                <c:pt idx="849">
                  <c:v>-9.2572600839244181</c:v>
                </c:pt>
                <c:pt idx="850">
                  <c:v>-9.2572791091693407</c:v>
                </c:pt>
                <c:pt idx="851">
                  <c:v>-9.2572981341237774</c:v>
                </c:pt>
                <c:pt idx="852">
                  <c:v>-9.2573171587877336</c:v>
                </c:pt>
                <c:pt idx="853">
                  <c:v>-9.2573361831611969</c:v>
                </c:pt>
                <c:pt idx="854">
                  <c:v>-9.2573552072441938</c:v>
                </c:pt>
                <c:pt idx="855">
                  <c:v>-9.2573742310367084</c:v>
                </c:pt>
                <c:pt idx="856">
                  <c:v>-9.2573932545387585</c:v>
                </c:pt>
                <c:pt idx="857">
                  <c:v>-9.257412277750328</c:v>
                </c:pt>
                <c:pt idx="858">
                  <c:v>-9.2574313006714419</c:v>
                </c:pt>
                <c:pt idx="859">
                  <c:v>-9.2574503233020966</c:v>
                </c:pt>
                <c:pt idx="860">
                  <c:v>-9.2574693456422832</c:v>
                </c:pt>
                <c:pt idx="861">
                  <c:v>-9.257488367692023</c:v>
                </c:pt>
                <c:pt idx="862">
                  <c:v>-9.2575073894513107</c:v>
                </c:pt>
                <c:pt idx="863">
                  <c:v>-9.2575264109201463</c:v>
                </c:pt>
                <c:pt idx="864">
                  <c:v>-9.2575454320985404</c:v>
                </c:pt>
                <c:pt idx="865">
                  <c:v>-9.2575644529864878</c:v>
                </c:pt>
                <c:pt idx="866">
                  <c:v>-9.2575834735840044</c:v>
                </c:pt>
                <c:pt idx="867">
                  <c:v>-9.257602493891083</c:v>
                </c:pt>
                <c:pt idx="868">
                  <c:v>-9.2576215139077327</c:v>
                </c:pt>
                <c:pt idx="869">
                  <c:v>-9.2576405336339569</c:v>
                </c:pt>
                <c:pt idx="870">
                  <c:v>-9.2576595530697521</c:v>
                </c:pt>
                <c:pt idx="871">
                  <c:v>-9.2576785722151236</c:v>
                </c:pt>
                <c:pt idx="872">
                  <c:v>-9.2576975910700803</c:v>
                </c:pt>
                <c:pt idx="873">
                  <c:v>-9.2577166096346257</c:v>
                </c:pt>
                <c:pt idx="874">
                  <c:v>-9.2577356279087581</c:v>
                </c:pt>
                <c:pt idx="875">
                  <c:v>-9.2577546458924846</c:v>
                </c:pt>
                <c:pt idx="876">
                  <c:v>-9.2577736635858106</c:v>
                </c:pt>
                <c:pt idx="877">
                  <c:v>-9.2577926809887252</c:v>
                </c:pt>
                <c:pt idx="878">
                  <c:v>-9.2578116981012499</c:v>
                </c:pt>
                <c:pt idx="879">
                  <c:v>-9.2578307149233829</c:v>
                </c:pt>
                <c:pt idx="880">
                  <c:v>-9.2578497314551189</c:v>
                </c:pt>
                <c:pt idx="881">
                  <c:v>-9.2578687476964685</c:v>
                </c:pt>
                <c:pt idx="882">
                  <c:v>-9.2578877636474424</c:v>
                </c:pt>
                <c:pt idx="883">
                  <c:v>-9.2579067793080281</c:v>
                </c:pt>
                <c:pt idx="884">
                  <c:v>-9.2579257946782434</c:v>
                </c:pt>
                <c:pt idx="885">
                  <c:v>-9.2579448097580794</c:v>
                </c:pt>
                <c:pt idx="886">
                  <c:v>-9.2579638245475504</c:v>
                </c:pt>
                <c:pt idx="887">
                  <c:v>-9.2579828390466528</c:v>
                </c:pt>
                <c:pt idx="888">
                  <c:v>-9.2580018532553918</c:v>
                </c:pt>
                <c:pt idx="889">
                  <c:v>-9.2580208671737747</c:v>
                </c:pt>
                <c:pt idx="890">
                  <c:v>-9.2580398808017943</c:v>
                </c:pt>
                <c:pt idx="891">
                  <c:v>-9.2580588941394613</c:v>
                </c:pt>
                <c:pt idx="892">
                  <c:v>-9.2580779071867845</c:v>
                </c:pt>
                <c:pt idx="893">
                  <c:v>-9.2580969199437533</c:v>
                </c:pt>
                <c:pt idx="894">
                  <c:v>-9.2581159324103872</c:v>
                </c:pt>
                <c:pt idx="895">
                  <c:v>-9.2581349445866756</c:v>
                </c:pt>
                <c:pt idx="896">
                  <c:v>-9.258153956472631</c:v>
                </c:pt>
                <c:pt idx="897">
                  <c:v>-9.2581729680682585</c:v>
                </c:pt>
                <c:pt idx="898">
                  <c:v>-9.2581919793735494</c:v>
                </c:pt>
                <c:pt idx="899">
                  <c:v>-9.2582109903885161</c:v>
                </c:pt>
                <c:pt idx="900">
                  <c:v>-9.2582300011131569</c:v>
                </c:pt>
                <c:pt idx="901">
                  <c:v>-9.2582490115474823</c:v>
                </c:pt>
                <c:pt idx="902">
                  <c:v>-9.2582680216914941</c:v>
                </c:pt>
                <c:pt idx="903">
                  <c:v>-9.2582870315451906</c:v>
                </c:pt>
                <c:pt idx="904">
                  <c:v>-9.2583060411085789</c:v>
                </c:pt>
                <c:pt idx="905">
                  <c:v>-9.2583250503816608</c:v>
                </c:pt>
                <c:pt idx="906">
                  <c:v>-9.2583440593644415</c:v>
                </c:pt>
                <c:pt idx="907">
                  <c:v>-9.2583630680569211</c:v>
                </c:pt>
                <c:pt idx="908">
                  <c:v>-9.2583820764591103</c:v>
                </c:pt>
                <c:pt idx="909">
                  <c:v>-9.2584010845710019</c:v>
                </c:pt>
                <c:pt idx="910">
                  <c:v>-9.2584200923926048</c:v>
                </c:pt>
                <c:pt idx="911">
                  <c:v>-9.2584390999239261</c:v>
                </c:pt>
                <c:pt idx="912">
                  <c:v>-9.2584581071649641</c:v>
                </c:pt>
                <c:pt idx="913">
                  <c:v>-9.2584771141157258</c:v>
                </c:pt>
                <c:pt idx="914">
                  <c:v>-9.2584961207762078</c:v>
                </c:pt>
                <c:pt idx="915">
                  <c:v>-9.2585151271464206</c:v>
                </c:pt>
                <c:pt idx="916">
                  <c:v>-9.2585341332263642</c:v>
                </c:pt>
                <c:pt idx="917">
                  <c:v>-9.2585531390160423</c:v>
                </c:pt>
                <c:pt idx="918">
                  <c:v>-9.2585721445154583</c:v>
                </c:pt>
                <c:pt idx="919">
                  <c:v>-9.2585911497246176</c:v>
                </c:pt>
                <c:pt idx="920">
                  <c:v>-9.2586101546435238</c:v>
                </c:pt>
                <c:pt idx="921">
                  <c:v>-9.2586291592721803</c:v>
                </c:pt>
                <c:pt idx="922">
                  <c:v>-9.2586481636105855</c:v>
                </c:pt>
                <c:pt idx="923">
                  <c:v>-9.25866716765875</c:v>
                </c:pt>
                <c:pt idx="924">
                  <c:v>-9.2586861714166648</c:v>
                </c:pt>
                <c:pt idx="925">
                  <c:v>-9.2587051748843461</c:v>
                </c:pt>
                <c:pt idx="926">
                  <c:v>-9.2587241780618008</c:v>
                </c:pt>
                <c:pt idx="927">
                  <c:v>-9.2587431809490113</c:v>
                </c:pt>
                <c:pt idx="928">
                  <c:v>-9.2587621835460023</c:v>
                </c:pt>
                <c:pt idx="929">
                  <c:v>-9.2587811858527669</c:v>
                </c:pt>
                <c:pt idx="930">
                  <c:v>-9.2588001878693085</c:v>
                </c:pt>
                <c:pt idx="931">
                  <c:v>-9.2588191895956307</c:v>
                </c:pt>
                <c:pt idx="932">
                  <c:v>-9.2588381910317459</c:v>
                </c:pt>
                <c:pt idx="933">
                  <c:v>-9.2588571921776435</c:v>
                </c:pt>
                <c:pt idx="934">
                  <c:v>-9.2588761930333412</c:v>
                </c:pt>
                <c:pt idx="935">
                  <c:v>-9.258895193598832</c:v>
                </c:pt>
                <c:pt idx="936">
                  <c:v>-9.2589141938741175</c:v>
                </c:pt>
                <c:pt idx="937">
                  <c:v>-9.2589331938592156</c:v>
                </c:pt>
                <c:pt idx="938">
                  <c:v>-9.2589521935541121</c:v>
                </c:pt>
                <c:pt idx="939">
                  <c:v>-9.2589711929588177</c:v>
                </c:pt>
                <c:pt idx="940">
                  <c:v>-9.2589901920733428</c:v>
                </c:pt>
                <c:pt idx="941">
                  <c:v>-9.2590091908976824</c:v>
                </c:pt>
                <c:pt idx="942">
                  <c:v>-9.2590281894318398</c:v>
                </c:pt>
                <c:pt idx="943">
                  <c:v>-9.2590471876758205</c:v>
                </c:pt>
                <c:pt idx="944">
                  <c:v>-9.2590661856296279</c:v>
                </c:pt>
                <c:pt idx="945">
                  <c:v>-9.2590851832932675</c:v>
                </c:pt>
                <c:pt idx="946">
                  <c:v>-9.2591041806667391</c:v>
                </c:pt>
                <c:pt idx="947">
                  <c:v>-9.2591231777500447</c:v>
                </c:pt>
                <c:pt idx="948">
                  <c:v>-9.2591421745431948</c:v>
                </c:pt>
                <c:pt idx="949">
                  <c:v>-9.2591611710461841</c:v>
                </c:pt>
                <c:pt idx="950">
                  <c:v>-9.2591801672590268</c:v>
                </c:pt>
                <c:pt idx="951">
                  <c:v>-9.2591991631817159</c:v>
                </c:pt>
                <c:pt idx="952">
                  <c:v>-9.2592181588142584</c:v>
                </c:pt>
                <c:pt idx="953">
                  <c:v>-9.259237154156656</c:v>
                </c:pt>
                <c:pt idx="954">
                  <c:v>-9.2592561492089196</c:v>
                </c:pt>
                <c:pt idx="955">
                  <c:v>-9.2592751439710383</c:v>
                </c:pt>
                <c:pt idx="956">
                  <c:v>-9.2592941384430301</c:v>
                </c:pt>
                <c:pt idx="957">
                  <c:v>-9.2593131326248912</c:v>
                </c:pt>
                <c:pt idx="958">
                  <c:v>-9.2593321265166271</c:v>
                </c:pt>
                <c:pt idx="959">
                  <c:v>-9.259351120118243</c:v>
                </c:pt>
                <c:pt idx="960">
                  <c:v>-9.2593701134297337</c:v>
                </c:pt>
                <c:pt idx="961">
                  <c:v>-9.2593891064511116</c:v>
                </c:pt>
                <c:pt idx="962">
                  <c:v>-9.2594080991823784</c:v>
                </c:pt>
                <c:pt idx="963">
                  <c:v>-9.2594270916235377</c:v>
                </c:pt>
                <c:pt idx="964">
                  <c:v>-9.259446083774586</c:v>
                </c:pt>
                <c:pt idx="965">
                  <c:v>-9.2594650756355374</c:v>
                </c:pt>
                <c:pt idx="966">
                  <c:v>-9.2594840672063867</c:v>
                </c:pt>
                <c:pt idx="967">
                  <c:v>-9.2595030584871427</c:v>
                </c:pt>
                <c:pt idx="968">
                  <c:v>-9.2595220494778037</c:v>
                </c:pt>
                <c:pt idx="969">
                  <c:v>-9.2595410401783802</c:v>
                </c:pt>
                <c:pt idx="970">
                  <c:v>-9.259560030588867</c:v>
                </c:pt>
                <c:pt idx="971">
                  <c:v>-9.2595790207092765</c:v>
                </c:pt>
                <c:pt idx="972">
                  <c:v>-9.2595980105396034</c:v>
                </c:pt>
                <c:pt idx="973">
                  <c:v>-9.2596170000798583</c:v>
                </c:pt>
                <c:pt idx="974">
                  <c:v>-9.2596359893300395</c:v>
                </c:pt>
                <c:pt idx="975">
                  <c:v>-9.2596549782901523</c:v>
                </c:pt>
                <c:pt idx="976">
                  <c:v>-9.2596739669601984</c:v>
                </c:pt>
                <c:pt idx="977">
                  <c:v>-9.259692955340185</c:v>
                </c:pt>
                <c:pt idx="978">
                  <c:v>-9.2597119434301121</c:v>
                </c:pt>
                <c:pt idx="979">
                  <c:v>-9.2597309312299849</c:v>
                </c:pt>
                <c:pt idx="980">
                  <c:v>-9.2597499187398107</c:v>
                </c:pt>
                <c:pt idx="981">
                  <c:v>-9.2597689059595822</c:v>
                </c:pt>
                <c:pt idx="982">
                  <c:v>-9.2597878928893174</c:v>
                </c:pt>
                <c:pt idx="983">
                  <c:v>-9.2598068795290054</c:v>
                </c:pt>
                <c:pt idx="984">
                  <c:v>-9.2598258658786499</c:v>
                </c:pt>
                <c:pt idx="985">
                  <c:v>-9.2598448519382686</c:v>
                </c:pt>
                <c:pt idx="986">
                  <c:v>-9.2598638377078544</c:v>
                </c:pt>
                <c:pt idx="987">
                  <c:v>-9.2598828231874126</c:v>
                </c:pt>
                <c:pt idx="988">
                  <c:v>-9.2599018083769433</c:v>
                </c:pt>
                <c:pt idx="989">
                  <c:v>-9.2599207932764589</c:v>
                </c:pt>
                <c:pt idx="990">
                  <c:v>-9.2599397778859558</c:v>
                </c:pt>
                <c:pt idx="991">
                  <c:v>-9.2599587622054376</c:v>
                </c:pt>
                <c:pt idx="992">
                  <c:v>-9.2599777462349095</c:v>
                </c:pt>
                <c:pt idx="993">
                  <c:v>-9.25999672997437</c:v>
                </c:pt>
                <c:pt idx="994">
                  <c:v>-9.2600157134238295</c:v>
                </c:pt>
                <c:pt idx="995">
                  <c:v>-9.2600346965832898</c:v>
                </c:pt>
                <c:pt idx="996">
                  <c:v>-9.2600536794527493</c:v>
                </c:pt>
                <c:pt idx="997">
                  <c:v>-9.2600726620322185</c:v>
                </c:pt>
                <c:pt idx="998">
                  <c:v>-9.2600916443216992</c:v>
                </c:pt>
                <c:pt idx="999">
                  <c:v>-9.2601106263211825</c:v>
                </c:pt>
                <c:pt idx="1000">
                  <c:v>-9.2601296080306899</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Calculs!$J$4:$J$1004</c:f>
              <c:numCache>
                <c:formatCode>0.00</c:formatCode>
                <c:ptCount val="1001"/>
                <c:pt idx="0">
                  <c:v>131.1551130355156</c:v>
                </c:pt>
                <c:pt idx="1">
                  <c:v>131.54043629477366</c:v>
                </c:pt>
                <c:pt idx="2">
                  <c:v>131.92634189031048</c:v>
                </c:pt>
                <c:pt idx="3">
                  <c:v>132.31357209951508</c:v>
                </c:pt>
                <c:pt idx="4">
                  <c:v>132.70226168005766</c:v>
                </c:pt>
                <c:pt idx="5">
                  <c:v>133.09228165620732</c:v>
                </c:pt>
                <c:pt idx="6">
                  <c:v>133.48358339253065</c:v>
                </c:pt>
                <c:pt idx="7">
                  <c:v>133.87615843935444</c:v>
                </c:pt>
                <c:pt idx="8">
                  <c:v>134.26999834207857</c:v>
                </c:pt>
                <c:pt idx="9">
                  <c:v>134.66509464145443</c:v>
                </c:pt>
                <c:pt idx="10">
                  <c:v>135.06143887386077</c:v>
                </c:pt>
                <c:pt idx="11">
                  <c:v>135.45902257157638</c:v>
                </c:pt>
                <c:pt idx="12">
                  <c:v>135.85783726305027</c:v>
                </c:pt>
                <c:pt idx="13">
                  <c:v>136.25787447316884</c:v>
                </c:pt>
                <c:pt idx="14">
                  <c:v>136.65912572352019</c:v>
                </c:pt>
                <c:pt idx="15">
                  <c:v>137.06158253265576</c:v>
                </c:pt>
                <c:pt idx="16">
                  <c:v>137.46523641634906</c:v>
                </c:pt>
                <c:pt idx="17">
                  <c:v>137.87007888785169</c:v>
                </c:pt>
                <c:pt idx="18">
                  <c:v>138.27610145814651</c:v>
                </c:pt>
                <c:pt idx="19">
                  <c:v>138.68329563619804</c:v>
                </c:pt>
                <c:pt idx="20">
                  <c:v>139.09165292920008</c:v>
                </c:pt>
                <c:pt idx="21">
                  <c:v>139.50116484282066</c:v>
                </c:pt>
                <c:pt idx="22">
                  <c:v>139.91182288144415</c:v>
                </c:pt>
                <c:pt idx="23">
                  <c:v>140.32361854841065</c:v>
                </c:pt>
                <c:pt idx="24">
                  <c:v>140.7365433462526</c:v>
                </c:pt>
                <c:pt idx="25">
                  <c:v>141.1505887769288</c:v>
                </c:pt>
                <c:pt idx="26">
                  <c:v>141.56574634205555</c:v>
                </c:pt>
                <c:pt idx="27">
                  <c:v>141.98200754313515</c:v>
                </c:pt>
                <c:pt idx="28">
                  <c:v>142.39936388178182</c:v>
                </c:pt>
                <c:pt idx="29">
                  <c:v>142.81780685994465</c:v>
                </c:pt>
                <c:pt idx="30">
                  <c:v>143.23732798012816</c:v>
                </c:pt>
                <c:pt idx="31">
                  <c:v>143.65791874561</c:v>
                </c:pt>
                <c:pt idx="32">
                  <c:v>144.07957066065609</c:v>
                </c:pt>
                <c:pt idx="33">
                  <c:v>144.50227523073301</c:v>
                </c:pt>
                <c:pt idx="34">
                  <c:v>144.92602396271784</c:v>
                </c:pt>
                <c:pt idx="35">
                  <c:v>145.35080836510531</c:v>
                </c:pt>
                <c:pt idx="36">
                  <c:v>145.77661994821236</c:v>
                </c:pt>
                <c:pt idx="37">
                  <c:v>146.20345022438002</c:v>
                </c:pt>
                <c:pt idx="38">
                  <c:v>146.63129070817277</c:v>
                </c:pt>
                <c:pt idx="39">
                  <c:v>147.06013291657521</c:v>
                </c:pt>
                <c:pt idx="40">
                  <c:v>147.48996836918622</c:v>
                </c:pt>
                <c:pt idx="41">
                  <c:v>147.92078858841049</c:v>
                </c:pt>
                <c:pt idx="42">
                  <c:v>148.35258509964757</c:v>
                </c:pt>
                <c:pt idx="43">
                  <c:v>148.78534943147824</c:v>
                </c:pt>
                <c:pt idx="44">
                  <c:v>149.21907311584835</c:v>
                </c:pt>
                <c:pt idx="45">
                  <c:v>149.65374768825026</c:v>
                </c:pt>
                <c:pt idx="46">
                  <c:v>150.08936468790162</c:v>
                </c:pt>
                <c:pt idx="47">
                  <c:v>150.52591565792164</c:v>
                </c:pt>
                <c:pt idx="48">
                  <c:v>150.96339214550491</c:v>
                </c:pt>
                <c:pt idx="49">
                  <c:v>151.4017857020927</c:v>
                </c:pt>
                <c:pt idx="50">
                  <c:v>151.84108788354175</c:v>
                </c:pt>
                <c:pt idx="51">
                  <c:v>152.28129025029068</c:v>
                </c:pt>
                <c:pt idx="52">
                  <c:v>152.72238436752377</c:v>
                </c:pt>
                <c:pt idx="53">
                  <c:v>153.16436180533248</c:v>
                </c:pt>
                <c:pt idx="54">
                  <c:v>153.60721413887433</c:v>
                </c:pt>
                <c:pt idx="55">
                  <c:v>154.05093294852955</c:v>
                </c:pt>
                <c:pt idx="56">
                  <c:v>154.49550982005516</c:v>
                </c:pt>
                <c:pt idx="57">
                  <c:v>154.94093634473674</c:v>
                </c:pt>
                <c:pt idx="58">
                  <c:v>155.3872041195377</c:v>
                </c:pt>
                <c:pt idx="59">
                  <c:v>155.83430474724622</c:v>
                </c:pt>
                <c:pt idx="60">
                  <c:v>156.28222983661993</c:v>
                </c:pt>
                <c:pt idx="61">
                  <c:v>156.73097100252801</c:v>
                </c:pt>
                <c:pt idx="62">
                  <c:v>157.18051986609103</c:v>
                </c:pt>
                <c:pt idx="63">
                  <c:v>157.63086443437552</c:v>
                </c:pt>
                <c:pt idx="64">
                  <c:v>158.08198548044118</c:v>
                </c:pt>
                <c:pt idx="65">
                  <c:v>158.53386017078248</c:v>
                </c:pt>
                <c:pt idx="66">
                  <c:v>158.98646569261334</c:v>
                </c:pt>
                <c:pt idx="67">
                  <c:v>159.43977592798387</c:v>
                </c:pt>
                <c:pt idx="68">
                  <c:v>159.89375812859888</c:v>
                </c:pt>
                <c:pt idx="69">
                  <c:v>160.34837032671118</c:v>
                </c:pt>
                <c:pt idx="70">
                  <c:v>160.80355874742074</c:v>
                </c:pt>
                <c:pt idx="71">
                  <c:v>161.25926374615128</c:v>
                </c:pt>
                <c:pt idx="72">
                  <c:v>161.71542574494242</c:v>
                </c:pt>
                <c:pt idx="73">
                  <c:v>162.17198523478055</c:v>
                </c:pt>
                <c:pt idx="74">
                  <c:v>162.62888277783745</c:v>
                </c:pt>
                <c:pt idx="75">
                  <c:v>163.08605900961714</c:v>
                </c:pt>
                <c:pt idx="76">
                  <c:v>163.54345464101152</c:v>
                </c:pt>
                <c:pt idx="77">
                  <c:v>164.00101046026484</c:v>
                </c:pt>
                <c:pt idx="78">
                  <c:v>164.45866733484803</c:v>
                </c:pt>
                <c:pt idx="79">
                  <c:v>164.91636621324278</c:v>
                </c:pt>
                <c:pt idx="80">
                  <c:v>165.37404812663624</c:v>
                </c:pt>
                <c:pt idx="81">
                  <c:v>165.83166128373992</c:v>
                </c:pt>
                <c:pt idx="82">
                  <c:v>166.28916815926385</c:v>
                </c:pt>
                <c:pt idx="83">
                  <c:v>166.74653838015644</c:v>
                </c:pt>
                <c:pt idx="84">
                  <c:v>167.20374161745772</c:v>
                </c:pt>
                <c:pt idx="85">
                  <c:v>167.66074758647528</c:v>
                </c:pt>
                <c:pt idx="86">
                  <c:v>168.11752604693771</c:v>
                </c:pt>
                <c:pt idx="87">
                  <c:v>168.57404680312561</c:v>
                </c:pt>
                <c:pt idx="88">
                  <c:v>169.03027970398045</c:v>
                </c:pt>
                <c:pt idx="89">
                  <c:v>169.48619689431624</c:v>
                </c:pt>
                <c:pt idx="90">
                  <c:v>169.94177506373666</c:v>
                </c:pt>
                <c:pt idx="91">
                  <c:v>170.39699318826268</c:v>
                </c:pt>
                <c:pt idx="92">
                  <c:v>170.85183027415732</c:v>
                </c:pt>
                <c:pt idx="93">
                  <c:v>171.30626592194454</c:v>
                </c:pt>
                <c:pt idx="94">
                  <c:v>171.76028088982898</c:v>
                </c:pt>
                <c:pt idx="95">
                  <c:v>172.21385652760759</c:v>
                </c:pt>
                <c:pt idx="96">
                  <c:v>172.66697421115688</c:v>
                </c:pt>
                <c:pt idx="97">
                  <c:v>173.11961760401991</c:v>
                </c:pt>
                <c:pt idx="98">
                  <c:v>173.57177491656711</c:v>
                </c:pt>
                <c:pt idx="99">
                  <c:v>174.0234366366596</c:v>
                </c:pt>
                <c:pt idx="100">
                  <c:v>174.47459326274435</c:v>
                </c:pt>
                <c:pt idx="101">
                  <c:v>174.92523530372057</c:v>
                </c:pt>
                <c:pt idx="102">
                  <c:v>175.3753532788044</c:v>
                </c:pt>
                <c:pt idx="103">
                  <c:v>175.82493771739192</c:v>
                </c:pt>
                <c:pt idx="104">
                  <c:v>176.27397915892053</c:v>
                </c:pt>
                <c:pt idx="105">
                  <c:v>176.72246815272857</c:v>
                </c:pt>
                <c:pt idx="106">
                  <c:v>177.17039525791336</c:v>
                </c:pt>
                <c:pt idx="107">
                  <c:v>177.61775104318747</c:v>
                </c:pt>
                <c:pt idx="108">
                  <c:v>178.06452608673345</c:v>
                </c:pt>
                <c:pt idx="109">
                  <c:v>178.51071382264388</c:v>
                </c:pt>
                <c:pt idx="110">
                  <c:v>178.9563133843495</c:v>
                </c:pt>
                <c:pt idx="111">
                  <c:v>179.40132674870833</c:v>
                </c:pt>
                <c:pt idx="112">
                  <c:v>179.84575588320999</c:v>
                </c:pt>
                <c:pt idx="113">
                  <c:v>180.289602746036</c:v>
                </c:pt>
                <c:pt idx="114">
                  <c:v>180.73286928611941</c:v>
                </c:pt>
                <c:pt idx="115">
                  <c:v>181.17555744320416</c:v>
                </c:pt>
                <c:pt idx="116">
                  <c:v>181.6176691479038</c:v>
                </c:pt>
                <c:pt idx="117">
                  <c:v>182.05920632175983</c:v>
                </c:pt>
                <c:pt idx="118">
                  <c:v>182.50017087729955</c:v>
                </c:pt>
                <c:pt idx="119">
                  <c:v>182.94056471809341</c:v>
                </c:pt>
                <c:pt idx="120">
                  <c:v>183.38038973881203</c:v>
                </c:pt>
                <c:pt idx="121">
                  <c:v>183.81964782528254</c:v>
                </c:pt>
                <c:pt idx="122">
                  <c:v>184.2583408545448</c:v>
                </c:pt>
                <c:pt idx="123">
                  <c:v>184.69647069490674</c:v>
                </c:pt>
                <c:pt idx="124">
                  <c:v>185.13403920599976</c:v>
                </c:pt>
                <c:pt idx="125">
                  <c:v>185.57104823883321</c:v>
                </c:pt>
                <c:pt idx="126">
                  <c:v>186.00749963584889</c:v>
                </c:pt>
                <c:pt idx="127">
                  <c:v>186.44339523097469</c:v>
                </c:pt>
                <c:pt idx="128">
                  <c:v>186.87873684967818</c:v>
                </c:pt>
                <c:pt idx="129">
                  <c:v>187.31352630901949</c:v>
                </c:pt>
                <c:pt idx="130">
                  <c:v>187.74776541770402</c:v>
                </c:pt>
                <c:pt idx="131">
                  <c:v>188.18145597613454</c:v>
                </c:pt>
                <c:pt idx="132">
                  <c:v>188.614599776463</c:v>
                </c:pt>
                <c:pt idx="133">
                  <c:v>189.04719860264186</c:v>
                </c:pt>
                <c:pt idx="134">
                  <c:v>189.47925423047511</c:v>
                </c:pt>
                <c:pt idx="135">
                  <c:v>189.91076842766881</c:v>
                </c:pt>
                <c:pt idx="136">
                  <c:v>190.34174295388129</c:v>
                </c:pt>
                <c:pt idx="137">
                  <c:v>190.77217956077291</c:v>
                </c:pt>
                <c:pt idx="138">
                  <c:v>191.2020799920555</c:v>
                </c:pt>
                <c:pt idx="139">
                  <c:v>191.63144598354137</c:v>
                </c:pt>
                <c:pt idx="140">
                  <c:v>192.06027926319194</c:v>
                </c:pt>
                <c:pt idx="141">
                  <c:v>192.48858155116608</c:v>
                </c:pt>
                <c:pt idx="142">
                  <c:v>192.91635455986787</c:v>
                </c:pt>
                <c:pt idx="143">
                  <c:v>193.3435999939943</c:v>
                </c:pt>
                <c:pt idx="144">
                  <c:v>193.77031955058234</c:v>
                </c:pt>
                <c:pt idx="145">
                  <c:v>194.19651491905577</c:v>
                </c:pt>
                <c:pt idx="146">
                  <c:v>194.62218778127158</c:v>
                </c:pt>
                <c:pt idx="147">
                  <c:v>195.04733981156616</c:v>
                </c:pt>
                <c:pt idx="148">
                  <c:v>195.47197267680096</c:v>
                </c:pt>
                <c:pt idx="149">
                  <c:v>195.89608803640795</c:v>
                </c:pt>
                <c:pt idx="150">
                  <c:v>196.31968754243462</c:v>
                </c:pt>
                <c:pt idx="151">
                  <c:v>196.7427728395887</c:v>
                </c:pt>
                <c:pt idx="152">
                  <c:v>197.16534556528256</c:v>
                </c:pt>
                <c:pt idx="153">
                  <c:v>197.58740734967725</c:v>
                </c:pt>
                <c:pt idx="154">
                  <c:v>198.00895981572614</c:v>
                </c:pt>
                <c:pt idx="155">
                  <c:v>198.43000457921835</c:v>
                </c:pt>
                <c:pt idx="156">
                  <c:v>198.85054324882174</c:v>
                </c:pt>
                <c:pt idx="157">
                  <c:v>199.27057742612573</c:v>
                </c:pt>
                <c:pt idx="158">
                  <c:v>199.69010870568363</c:v>
                </c:pt>
                <c:pt idx="159">
                  <c:v>200.10913867505474</c:v>
                </c:pt>
                <c:pt idx="160">
                  <c:v>200.52766891484609</c:v>
                </c:pt>
                <c:pt idx="161">
                  <c:v>200.94570099875401</c:v>
                </c:pt>
                <c:pt idx="162">
                  <c:v>201.36323649360511</c:v>
                </c:pt>
                <c:pt idx="163">
                  <c:v>201.78027695939733</c:v>
                </c:pt>
                <c:pt idx="164">
                  <c:v>202.19682394934023</c:v>
                </c:pt>
                <c:pt idx="165">
                  <c:v>202.61287900989547</c:v>
                </c:pt>
                <c:pt idx="166">
                  <c:v>203.02844368081662</c:v>
                </c:pt>
                <c:pt idx="167">
                  <c:v>203.44351949518881</c:v>
                </c:pt>
                <c:pt idx="168">
                  <c:v>203.85810797946812</c:v>
                </c:pt>
                <c:pt idx="169">
                  <c:v>204.2722106535206</c:v>
                </c:pt>
                <c:pt idx="170">
                  <c:v>204.68582903066113</c:v>
                </c:pt>
                <c:pt idx="171">
                  <c:v>205.09896461769179</c:v>
                </c:pt>
                <c:pt idx="172">
                  <c:v>205.51161891494016</c:v>
                </c:pt>
                <c:pt idx="173">
                  <c:v>205.92379341629717</c:v>
                </c:pt>
                <c:pt idx="174">
                  <c:v>206.33548960925484</c:v>
                </c:pt>
                <c:pt idx="175">
                  <c:v>206.74670897494357</c:v>
                </c:pt>
                <c:pt idx="176">
                  <c:v>207.1574529881693</c:v>
                </c:pt>
                <c:pt idx="177">
                  <c:v>207.56772311745027</c:v>
                </c:pt>
                <c:pt idx="178">
                  <c:v>207.97752082505366</c:v>
                </c:pt>
                <c:pt idx="179">
                  <c:v>208.38684756703185</c:v>
                </c:pt>
                <c:pt idx="180">
                  <c:v>208.79570479325841</c:v>
                </c:pt>
                <c:pt idx="181">
                  <c:v>209.20409394746397</c:v>
                </c:pt>
                <c:pt idx="182">
                  <c:v>209.61201646727164</c:v>
                </c:pt>
                <c:pt idx="183">
                  <c:v>210.01947378423233</c:v>
                </c:pt>
                <c:pt idx="184">
                  <c:v>210.4264673238597</c:v>
                </c:pt>
                <c:pt idx="185">
                  <c:v>210.83299850566493</c:v>
                </c:pt>
                <c:pt idx="186">
                  <c:v>211.23906874319124</c:v>
                </c:pt>
                <c:pt idx="187">
                  <c:v>211.64467944404814</c:v>
                </c:pt>
                <c:pt idx="188">
                  <c:v>212.04983200994536</c:v>
                </c:pt>
                <c:pt idx="189">
                  <c:v>212.45452783672673</c:v>
                </c:pt>
                <c:pt idx="190">
                  <c:v>212.85876831440362</c:v>
                </c:pt>
                <c:pt idx="191">
                  <c:v>213.26255482718824</c:v>
                </c:pt>
                <c:pt idx="192">
                  <c:v>213.6658887535267</c:v>
                </c:pt>
                <c:pt idx="193">
                  <c:v>214.06877146613181</c:v>
                </c:pt>
                <c:pt idx="194">
                  <c:v>214.47120433201562</c:v>
                </c:pt>
                <c:pt idx="195">
                  <c:v>214.87318871252182</c:v>
                </c:pt>
                <c:pt idx="196">
                  <c:v>215.27472596335787</c:v>
                </c:pt>
                <c:pt idx="197">
                  <c:v>215.67581743462677</c:v>
                </c:pt>
                <c:pt idx="198">
                  <c:v>216.07646447085887</c:v>
                </c:pt>
                <c:pt idx="199">
                  <c:v>216.47666841104319</c:v>
                </c:pt>
                <c:pt idx="200">
                  <c:v>216.87643058865874</c:v>
                </c:pt>
                <c:pt idx="201">
                  <c:v>220.84985828205751</c:v>
                </c:pt>
                <c:pt idx="202">
                  <c:v>224.77996379349457</c:v>
                </c:pt>
                <c:pt idx="203">
                  <c:v>228.66803078942533</c:v>
                </c:pt>
                <c:pt idx="204">
                  <c:v>232.51529165971576</c:v>
                </c:pt>
                <c:pt idx="205">
                  <c:v>236.32293029398392</c:v>
                </c:pt>
                <c:pt idx="206">
                  <c:v>240.09208467203248</c:v>
                </c:pt>
                <c:pt idx="207">
                  <c:v>243.82384928317305</c:v>
                </c:pt>
                <c:pt idx="208">
                  <c:v>247.51927738788015</c:v>
                </c:pt>
                <c:pt idx="209">
                  <c:v>251.17938313399122</c:v>
                </c:pt>
                <c:pt idx="210">
                  <c:v>254.80514353857356</c:v>
                </c:pt>
                <c:pt idx="211">
                  <c:v>258.39750034559398</c:v>
                </c:pt>
                <c:pt idx="212">
                  <c:v>261.95736176864125</c:v>
                </c:pt>
                <c:pt idx="213">
                  <c:v>265.4856041271525</c:v>
                </c:pt>
                <c:pt idx="214">
                  <c:v>268.98307338387383</c:v>
                </c:pt>
                <c:pt idx="215">
                  <c:v>272.45058659063449</c:v>
                </c:pt>
                <c:pt idx="216">
                  <c:v>275.88893324892439</c:v>
                </c:pt>
                <c:pt idx="217">
                  <c:v>279.29887659123051</c:v>
                </c:pt>
                <c:pt idx="218">
                  <c:v>282.68115478860369</c:v>
                </c:pt>
                <c:pt idx="219">
                  <c:v>286.03648208948692</c:v>
                </c:pt>
                <c:pt idx="220">
                  <c:v>289.36554989443636</c:v>
                </c:pt>
                <c:pt idx="221">
                  <c:v>292.66902777100177</c:v>
                </c:pt>
                <c:pt idx="222">
                  <c:v>295.94756441270101</c:v>
                </c:pt>
                <c:pt idx="223">
                  <c:v>299.20178854571986</c:v>
                </c:pt>
                <c:pt idx="224">
                  <c:v>302.43230978669209</c:v>
                </c:pt>
                <c:pt idx="225">
                  <c:v>305.63971945466022</c:v>
                </c:pt>
                <c:pt idx="226">
                  <c:v>308.82459134008718</c:v>
                </c:pt>
                <c:pt idx="227">
                  <c:v>311.98748243357443</c:v>
                </c:pt>
                <c:pt idx="228">
                  <c:v>315.12893361674821</c:v>
                </c:pt>
                <c:pt idx="229">
                  <c:v>318.24947031759598</c:v>
                </c:pt>
                <c:pt idx="230">
                  <c:v>321.34960313236991</c:v>
                </c:pt>
                <c:pt idx="231">
                  <c:v>324.42982841602253</c:v>
                </c:pt>
                <c:pt idx="232">
                  <c:v>327.49062884299923</c:v>
                </c:pt>
                <c:pt idx="233">
                  <c:v>330.532473940084</c:v>
                </c:pt>
                <c:pt idx="234">
                  <c:v>333.55582059287389</c:v>
                </c:pt>
                <c:pt idx="235">
                  <c:v>336.56111352734831</c:v>
                </c:pt>
                <c:pt idx="236">
                  <c:v>339.54878576789639</c:v>
                </c:pt>
                <c:pt idx="237">
                  <c:v>342.51925907307049</c:v>
                </c:pt>
                <c:pt idx="238">
                  <c:v>345.47294435024565</c:v>
                </c:pt>
                <c:pt idx="239">
                  <c:v>348.41024205028333</c:v>
                </c:pt>
                <c:pt idx="240">
                  <c:v>351.33154254321988</c:v>
                </c:pt>
                <c:pt idx="241">
                  <c:v>354.23722647593019</c:v>
                </c:pt>
                <c:pt idx="242">
                  <c:v>357.12766511264891</c:v>
                </c:pt>
                <c:pt idx="243">
                  <c:v>360.00322065916993</c:v>
                </c:pt>
                <c:pt idx="244">
                  <c:v>362.86424657148524</c:v>
                </c:pt>
                <c:pt idx="245">
                  <c:v>365.71108784956959</c:v>
                </c:pt>
                <c:pt idx="246">
                  <c:v>368.54408131696476</c:v>
                </c:pt>
                <c:pt idx="247">
                  <c:v>371.36355588676787</c:v>
                </c:pt>
                <c:pt idx="248">
                  <c:v>374.16983281458158</c:v>
                </c:pt>
                <c:pt idx="249">
                  <c:v>376.9632259389391</c:v>
                </c:pt>
                <c:pt idx="250">
                  <c:v>379.74404190967499</c:v>
                </c:pt>
                <c:pt idx="251">
                  <c:v>382.51258040467081</c:v>
                </c:pt>
                <c:pt idx="252">
                  <c:v>385.26913433536726</c:v>
                </c:pt>
                <c:pt idx="253">
                  <c:v>388.01399004139478</c:v>
                </c:pt>
                <c:pt idx="254">
                  <c:v>390.74742747463966</c:v>
                </c:pt>
                <c:pt idx="255">
                  <c:v>393.46972037302601</c:v>
                </c:pt>
                <c:pt idx="256">
                  <c:v>396.18113642425948</c:v>
                </c:pt>
                <c:pt idx="257">
                  <c:v>398.88193741974561</c:v>
                </c:pt>
                <c:pt idx="258">
                  <c:v>401.57237939886045</c:v>
                </c:pt>
                <c:pt idx="259">
                  <c:v>404.25271278372014</c:v>
                </c:pt>
                <c:pt idx="260">
                  <c:v>406.92318250456202</c:v>
                </c:pt>
                <c:pt idx="261">
                  <c:v>409.58402811581902</c:v>
                </c:pt>
                <c:pt idx="262">
                  <c:v>412.23548390293587</c:v>
                </c:pt>
                <c:pt idx="263">
                  <c:v>414.87777897994528</c:v>
                </c:pt>
                <c:pt idx="264">
                  <c:v>417.51113737778991</c:v>
                </c:pt>
                <c:pt idx="265">
                  <c:v>420.13577812334614</c:v>
                </c:pt>
                <c:pt idx="266">
                  <c:v>422.75191530907466</c:v>
                </c:pt>
                <c:pt idx="267">
                  <c:v>425.35975815319381</c:v>
                </c:pt>
                <c:pt idx="268">
                  <c:v>427.95951105024386</c:v>
                </c:pt>
                <c:pt idx="269">
                  <c:v>430.55137361188326</c:v>
                </c:pt>
                <c:pt idx="270">
                  <c:v>433.13554069773443</c:v>
                </c:pt>
                <c:pt idx="271">
                  <c:v>435.7122024360749</c:v>
                </c:pt>
                <c:pt idx="272">
                  <c:v>438.2815442341531</c:v>
                </c:pt>
                <c:pt idx="273">
                  <c:v>440.84374677789566</c:v>
                </c:pt>
                <c:pt idx="274">
                  <c:v>443.39898602076806</c:v>
                </c:pt>
                <c:pt idx="275">
                  <c:v>445.94743316155399</c:v>
                </c:pt>
                <c:pt idx="276">
                  <c:v>448.48925461083144</c:v>
                </c:pt>
                <c:pt idx="277">
                  <c:v>451.02461194595071</c:v>
                </c:pt>
                <c:pt idx="278">
                  <c:v>453.55366185436094</c:v>
                </c:pt>
                <c:pt idx="279">
                  <c:v>456.07655606519205</c:v>
                </c:pt>
                <c:pt idx="280">
                  <c:v>458.59344126908104</c:v>
                </c:pt>
                <c:pt idx="281">
                  <c:v>461.10445902633813</c:v>
                </c:pt>
                <c:pt idx="282">
                  <c:v>463.60974566368446</c:v>
                </c:pt>
                <c:pt idx="283">
                  <c:v>466.10943215995832</c:v>
                </c:pt>
                <c:pt idx="284">
                  <c:v>468.60364402138953</c:v>
                </c:pt>
                <c:pt idx="285">
                  <c:v>471.0925011472757</c:v>
                </c:pt>
                <c:pt idx="286">
                  <c:v>473.57611768716703</c:v>
                </c:pt>
                <c:pt idx="287">
                  <c:v>476.05460189097113</c:v>
                </c:pt>
                <c:pt idx="288">
                  <c:v>478.52805595372172</c:v>
                </c:pt>
                <c:pt idx="289">
                  <c:v>480.996575857111</c:v>
                </c:pt>
                <c:pt idx="290">
                  <c:v>483.46025121024655</c:v>
                </c:pt>
                <c:pt idx="291">
                  <c:v>485.91916509245067</c:v>
                </c:pt>
                <c:pt idx="292">
                  <c:v>488.37339390124845</c:v>
                </c:pt>
                <c:pt idx="293">
                  <c:v>490.82300720896927</c:v>
                </c:pt>
                <c:pt idx="294">
                  <c:v>493.26806763159215</c:v>
                </c:pt>
                <c:pt idx="295">
                  <c:v>495.70863071356621</c:v>
                </c:pt>
                <c:pt idx="296">
                  <c:v>498.14474483232021</c:v>
                </c:pt>
                <c:pt idx="297">
                  <c:v>500.57645112601136</c:v>
                </c:pt>
                <c:pt idx="298">
                  <c:v>503.00378344775055</c:v>
                </c:pt>
                <c:pt idx="299">
                  <c:v>505.42676834907581</c:v>
                </c:pt>
                <c:pt idx="300">
                  <c:v>507.84542509483941</c:v>
                </c:pt>
                <c:pt idx="301">
                  <c:v>510.25976571095299</c:v>
                </c:pt>
                <c:pt idx="302">
                  <c:v>512.66979506563234</c:v>
                </c:pt>
                <c:pt idx="303">
                  <c:v>515.07551098394242</c:v>
                </c:pt>
                <c:pt idx="304">
                  <c:v>517.47690439461155</c:v>
                </c:pt>
                <c:pt idx="305">
                  <c:v>519.87395950730536</c:v>
                </c:pt>
                <c:pt idx="306">
                  <c:v>522.2666540178717</c:v>
                </c:pt>
                <c:pt idx="307">
                  <c:v>524.65495933851196</c:v>
                </c:pt>
                <c:pt idx="308">
                  <c:v>527.03884084943149</c:v>
                </c:pt>
                <c:pt idx="309">
                  <c:v>529.41825816827213</c:v>
                </c:pt>
                <c:pt idx="310">
                  <c:v>531.79316543353411</c:v>
                </c:pt>
                <c:pt idx="311">
                  <c:v>534.16351159824001</c:v>
                </c:pt>
                <c:pt idx="312">
                  <c:v>536.5292407302544</c:v>
                </c:pt>
                <c:pt idx="313">
                  <c:v>538.89029231592951</c:v>
                </c:pt>
                <c:pt idx="314">
                  <c:v>541.24660156406992</c:v>
                </c:pt>
                <c:pt idx="315">
                  <c:v>543.59809970757431</c:v>
                </c:pt>
                <c:pt idx="316">
                  <c:v>545.94471430049452</c:v>
                </c:pt>
                <c:pt idx="317">
                  <c:v>548.28636950863483</c:v>
                </c:pt>
                <c:pt idx="318">
                  <c:v>550.62298639218125</c:v>
                </c:pt>
                <c:pt idx="319">
                  <c:v>552.95448317919079</c:v>
                </c:pt>
                <c:pt idx="320">
                  <c:v>555.28077552907848</c:v>
                </c:pt>
                <c:pt idx="321">
                  <c:v>557.60177678550929</c:v>
                </c:pt>
                <c:pt idx="322">
                  <c:v>559.91739821833585</c:v>
                </c:pt>
                <c:pt idx="323">
                  <c:v>562.22754925441689</c:v>
                </c:pt>
                <c:pt idx="324">
                  <c:v>564.53213769731235</c:v>
                </c:pt>
                <c:pt idx="325">
                  <c:v>566.83106993598108</c:v>
                </c:pt>
                <c:pt idx="326">
                  <c:v>569.12425114270548</c:v>
                </c:pt>
                <c:pt idx="327">
                  <c:v>571.41158546054623</c:v>
                </c:pt>
                <c:pt idx="328">
                  <c:v>573.6929761806831</c:v>
                </c:pt>
                <c:pt idx="329">
                  <c:v>575.96832591003908</c:v>
                </c:pt>
                <c:pt idx="330">
                  <c:v>578.23753672960527</c:v>
                </c:pt>
                <c:pt idx="331">
                  <c:v>580.5005103438998</c:v>
                </c:pt>
                <c:pt idx="332">
                  <c:v>582.75714822199416</c:v>
                </c:pt>
                <c:pt idx="333">
                  <c:v>585.00735173053806</c:v>
                </c:pt>
                <c:pt idx="334">
                  <c:v>587.25102225920466</c:v>
                </c:pt>
                <c:pt idx="335">
                  <c:v>589.48806133896346</c:v>
                </c:pt>
                <c:pt idx="336">
                  <c:v>591.71837075357337</c:v>
                </c:pt>
                <c:pt idx="337">
                  <c:v>593.94185264466955</c:v>
                </c:pt>
                <c:pt idx="338">
                  <c:v>596.15840961079994</c:v>
                </c:pt>
                <c:pt idx="339">
                  <c:v>598.36794480074627</c:v>
                </c:pt>
                <c:pt idx="340">
                  <c:v>600.5703620014458</c:v>
                </c:pt>
                <c:pt idx="341">
                  <c:v>602.76556572081086</c:v>
                </c:pt>
                <c:pt idx="342">
                  <c:v>604.95346126572349</c:v>
                </c:pt>
                <c:pt idx="343">
                  <c:v>607.13395481546615</c:v>
                </c:pt>
                <c:pt idx="344">
                  <c:v>609.30695349083032</c:v>
                </c:pt>
                <c:pt idx="345">
                  <c:v>611.4723654191298</c:v>
                </c:pt>
                <c:pt idx="346">
                  <c:v>613.63009979533058</c:v>
                </c:pt>
                <c:pt idx="347">
                  <c:v>615.78006693949294</c:v>
                </c:pt>
                <c:pt idx="348">
                  <c:v>617.92217835071028</c:v>
                </c:pt>
                <c:pt idx="349">
                  <c:v>620.05634675771489</c:v>
                </c:pt>
                <c:pt idx="350">
                  <c:v>622.18248616631058</c:v>
                </c:pt>
                <c:pt idx="351">
                  <c:v>624.30051190378038</c:v>
                </c:pt>
                <c:pt idx="352">
                  <c:v>626.41034066040902</c:v>
                </c:pt>
                <c:pt idx="353">
                  <c:v>628.51189052824952</c:v>
                </c:pt>
                <c:pt idx="354">
                  <c:v>630.60508103725488</c:v>
                </c:pt>
                <c:pt idx="355">
                  <c:v>632.68983318888934</c:v>
                </c:pt>
                <c:pt idx="356">
                  <c:v>634.76606948732592</c:v>
                </c:pt>
                <c:pt idx="357">
                  <c:v>636.83371396832968</c:v>
                </c:pt>
                <c:pt idx="358">
                  <c:v>638.89269222592236</c:v>
                </c:pt>
                <c:pt idx="359">
                  <c:v>640.94293143691561</c:v>
                </c:pt>
                <c:pt idx="360">
                  <c:v>642.98436038339821</c:v>
                </c:pt>
                <c:pt idx="361">
                  <c:v>645.01690947325596</c:v>
                </c:pt>
                <c:pt idx="362">
                  <c:v>647.04051075879943</c:v>
                </c:pt>
                <c:pt idx="363">
                  <c:v>649.05509795357091</c:v>
                </c:pt>
                <c:pt idx="364">
                  <c:v>651.06060644739875</c:v>
                </c:pt>
                <c:pt idx="365">
                  <c:v>653.05697331976364</c:v>
                </c:pt>
                <c:pt idx="366">
                  <c:v>655.04413735153798</c:v>
                </c:pt>
                <c:pt idx="367">
                  <c:v>657.0220390351584</c:v>
                </c:pt>
                <c:pt idx="368">
                  <c:v>658.99062058328695</c:v>
                </c:pt>
                <c:pt idx="369">
                  <c:v>660.94982593601617</c:v>
                </c:pt>
                <c:pt idx="370">
                  <c:v>662.89960076666932</c:v>
                </c:pt>
                <c:pt idx="371">
                  <c:v>664.83989248624675</c:v>
                </c:pt>
                <c:pt idx="372">
                  <c:v>666.77065024656633</c:v>
                </c:pt>
                <c:pt idx="373">
                  <c:v>668.69182494214476</c:v>
                </c:pt>
                <c:pt idx="374">
                  <c:v>670.60336921086594</c:v>
                </c:pt>
                <c:pt idx="375">
                  <c:v>672.50523743347867</c:v>
                </c:pt>
                <c:pt idx="376">
                  <c:v>674.39738573196746</c:v>
                </c:pt>
                <c:pt idx="377">
                  <c:v>676.27977196683753</c:v>
                </c:pt>
                <c:pt idx="378">
                  <c:v>678.15235573335349</c:v>
                </c:pt>
                <c:pt idx="379">
                  <c:v>680.01509835677132</c:v>
                </c:pt>
                <c:pt idx="380">
                  <c:v>681.86796288660196</c:v>
                </c:pt>
                <c:pt idx="381">
                  <c:v>683.71091408994243</c:v>
                </c:pt>
                <c:pt idx="382">
                  <c:v>685.54391844391216</c:v>
                </c:pt>
                <c:pt idx="383">
                  <c:v>687.36694412722807</c:v>
                </c:pt>
                <c:pt idx="384">
                  <c:v>689.17996101095468</c:v>
                </c:pt>
                <c:pt idx="385">
                  <c:v>690.98294064846152</c:v>
                </c:pt>
                <c:pt idx="386">
                  <c:v>692.7758562646211</c:v>
                </c:pt>
                <c:pt idx="387">
                  <c:v>694.55868274428019</c:v>
                </c:pt>
                <c:pt idx="388">
                  <c:v>696.33139662003498</c:v>
                </c:pt>
                <c:pt idx="389">
                  <c:v>698.09397605934157</c:v>
                </c:pt>
                <c:pt idx="390">
                  <c:v>699.84640085099147</c:v>
                </c:pt>
                <c:pt idx="391">
                  <c:v>701.58865239098202</c:v>
                </c:pt>
                <c:pt idx="392">
                  <c:v>703.32071366780985</c:v>
                </c:pt>
                <c:pt idx="393">
                  <c:v>705.04256924721642</c:v>
                </c:pt>
                <c:pt idx="394">
                  <c:v>706.75420525641277</c:v>
                </c:pt>
                <c:pt idx="395">
                  <c:v>708.45560936781033</c:v>
                </c:pt>
                <c:pt idx="396">
                  <c:v>710.14677078228476</c:v>
                </c:pt>
                <c:pt idx="397">
                  <c:v>711.82768021199809</c:v>
                </c:pt>
                <c:pt idx="398">
                  <c:v>713.49832986280455</c:v>
                </c:pt>
                <c:pt idx="399">
                  <c:v>715.15871341626553</c:v>
                </c:pt>
                <c:pt idx="400">
                  <c:v>716.80882601129622</c:v>
                </c:pt>
                <c:pt idx="401">
                  <c:v>718.44866422546932</c:v>
                </c:pt>
                <c:pt idx="402">
                  <c:v>720.07822605599756</c:v>
                </c:pt>
                <c:pt idx="403">
                  <c:v>721.69751090041814</c:v>
                </c:pt>
                <c:pt idx="404">
                  <c:v>723.30651953700044</c:v>
                </c:pt>
                <c:pt idx="405">
                  <c:v>724.90525410489931</c:v>
                </c:pt>
                <c:pt idx="406">
                  <c:v>726.49371808407432</c:v>
                </c:pt>
                <c:pt idx="407">
                  <c:v>728.07191627499469</c:v>
                </c:pt>
                <c:pt idx="408">
                  <c:v>729.63985477815095</c:v>
                </c:pt>
                <c:pt idx="409">
                  <c:v>731.19754097339171</c:v>
                </c:pt>
                <c:pt idx="410">
                  <c:v>732.74498349910448</c:v>
                </c:pt>
                <c:pt idx="411">
                  <c:v>734.28219223125927</c:v>
                </c:pt>
                <c:pt idx="412">
                  <c:v>735.80917826233178</c:v>
                </c:pt>
                <c:pt idx="413">
                  <c:v>737.32595388012464</c:v>
                </c:pt>
                <c:pt idx="414">
                  <c:v>738.83253254650208</c:v>
                </c:pt>
                <c:pt idx="415">
                  <c:v>740.32892887605544</c:v>
                </c:pt>
                <c:pt idx="416">
                  <c:v>741.81515861471439</c:v>
                </c:pt>
                <c:pt idx="417">
                  <c:v>743.29123861831988</c:v>
                </c:pt>
                <c:pt idx="418">
                  <c:v>744.75718683117236</c:v>
                </c:pt>
                <c:pt idx="419">
                  <c:v>746.21302226457146</c:v>
                </c:pt>
                <c:pt idx="420">
                  <c:v>747.65876497535862</c:v>
                </c:pt>
                <c:pt idx="421">
                  <c:v>749.09443604447802</c:v>
                </c:pt>
                <c:pt idx="422">
                  <c:v>750.52005755556729</c:v>
                </c:pt>
                <c:pt idx="423">
                  <c:v>751.93565257359114</c:v>
                </c:pt>
                <c:pt idx="424">
                  <c:v>753.3412451235298</c:v>
                </c:pt>
                <c:pt idx="425">
                  <c:v>754.73686016913302</c:v>
                </c:pt>
                <c:pt idx="426">
                  <c:v>756.12252359175204</c:v>
                </c:pt>
                <c:pt idx="427">
                  <c:v>757.49826216925851</c:v>
                </c:pt>
                <c:pt idx="428">
                  <c:v>758.86410355506212</c:v>
                </c:pt>
                <c:pt idx="429">
                  <c:v>760.22007625723575</c:v>
                </c:pt>
                <c:pt idx="430">
                  <c:v>761.56620961775752</c:v>
                </c:pt>
                <c:pt idx="431">
                  <c:v>762.90253379187891</c:v>
                </c:pt>
                <c:pt idx="432">
                  <c:v>764.229079727628</c:v>
                </c:pt>
                <c:pt idx="433">
                  <c:v>765.54587914545482</c:v>
                </c:pt>
                <c:pt idx="434">
                  <c:v>766.85296451802742</c:v>
                </c:pt>
                <c:pt idx="435">
                  <c:v>768.15036905018587</c:v>
                </c:pt>
                <c:pt idx="436">
                  <c:v>769.43812665906125</c:v>
                </c:pt>
                <c:pt idx="437">
                  <c:v>770.71627195436599</c:v>
                </c:pt>
                <c:pt idx="438">
                  <c:v>771.98484021886202</c:v>
                </c:pt>
                <c:pt idx="439">
                  <c:v>773.24386738901285</c:v>
                </c:pt>
                <c:pt idx="440">
                  <c:v>774.49339003582509</c:v>
                </c:pt>
                <c:pt idx="441">
                  <c:v>775.73344534588421</c:v>
                </c:pt>
                <c:pt idx="442">
                  <c:v>776.96407110259065</c:v>
                </c:pt>
                <c:pt idx="443">
                  <c:v>778.18530566759921</c:v>
                </c:pt>
                <c:pt idx="444">
                  <c:v>779.39718796246768</c:v>
                </c:pt>
                <c:pt idx="445">
                  <c:v>780.59975745051781</c:v>
                </c:pt>
                <c:pt idx="446">
                  <c:v>781.79305411891255</c:v>
                </c:pt>
                <c:pt idx="447">
                  <c:v>782.97711846095319</c:v>
                </c:pt>
                <c:pt idx="448">
                  <c:v>784.1519914585989</c:v>
                </c:pt>
                <c:pt idx="449">
                  <c:v>785.3177145652129</c:v>
                </c:pt>
                <c:pt idx="450">
                  <c:v>786.47432968853616</c:v>
                </c:pt>
                <c:pt idx="451">
                  <c:v>787.62187917389258</c:v>
                </c:pt>
                <c:pt idx="452">
                  <c:v>788.76040578762695</c:v>
                </c:pt>
                <c:pt idx="453">
                  <c:v>789.88995270077737</c:v>
                </c:pt>
                <c:pt idx="454">
                  <c:v>791.01056347298493</c:v>
                </c:pt>
                <c:pt idx="455">
                  <c:v>792.12228203664029</c:v>
                </c:pt>
                <c:pt idx="456">
                  <c:v>793.22515268127074</c:v>
                </c:pt>
                <c:pt idx="457">
                  <c:v>794.31922003816635</c:v>
                </c:pt>
                <c:pt idx="458">
                  <c:v>795.40452906524763</c:v>
                </c:pt>
                <c:pt idx="459">
                  <c:v>796.48112503217487</c:v>
                </c:pt>
                <c:pt idx="460">
                  <c:v>797.54905350569948</c:v>
                </c:pt>
                <c:pt idx="461">
                  <c:v>798.60836033525743</c:v>
                </c:pt>
                <c:pt idx="462">
                  <c:v>799.65909163880565</c:v>
                </c:pt>
                <c:pt idx="463">
                  <c:v>800.70129378890033</c:v>
                </c:pt>
                <c:pt idx="464">
                  <c:v>801.73501339901736</c:v>
                </c:pt>
                <c:pt idx="465">
                  <c:v>802.76029731011465</c:v>
                </c:pt>
                <c:pt idx="466">
                  <c:v>803.77719257743559</c:v>
                </c:pt>
                <c:pt idx="467">
                  <c:v>804.78574645755293</c:v>
                </c:pt>
                <c:pt idx="468">
                  <c:v>805.78600639565218</c:v>
                </c:pt>
                <c:pt idx="469">
                  <c:v>806.77802001305406</c:v>
                </c:pt>
                <c:pt idx="470">
                  <c:v>807.76183509497446</c:v>
                </c:pt>
                <c:pt idx="471">
                  <c:v>808.73749957852044</c:v>
                </c:pt>
                <c:pt idx="472">
                  <c:v>809.70506154092232</c:v>
                </c:pt>
                <c:pt idx="473">
                  <c:v>810.6645691879985</c:v>
                </c:pt>
                <c:pt idx="474">
                  <c:v>811.61607084285345</c:v>
                </c:pt>
                <c:pt idx="475">
                  <c:v>812.55961493480561</c:v>
                </c:pt>
                <c:pt idx="476">
                  <c:v>813.49524998854497</c:v>
                </c:pt>
                <c:pt idx="477">
                  <c:v>814.4230246135171</c:v>
                </c:pt>
                <c:pt idx="478">
                  <c:v>815.34298749353309</c:v>
                </c:pt>
                <c:pt idx="479">
                  <c:v>816.25518737660298</c:v>
                </c:pt>
                <c:pt idx="480">
                  <c:v>817.15967306498987</c:v>
                </c:pt>
                <c:pt idx="481">
                  <c:v>818.05649340548416</c:v>
                </c:pt>
                <c:pt idx="482">
                  <c:v>818.94569727989472</c:v>
                </c:pt>
                <c:pt idx="483">
                  <c:v>819.82733359575491</c:v>
                </c:pt>
                <c:pt idx="484">
                  <c:v>820.70145127724174</c:v>
                </c:pt>
                <c:pt idx="485">
                  <c:v>821.56809925630512</c:v>
                </c:pt>
                <c:pt idx="486">
                  <c:v>822.42732646400566</c:v>
                </c:pt>
                <c:pt idx="487">
                  <c:v>823.27918182205792</c:v>
                </c:pt>
                <c:pt idx="488">
                  <c:v>824.12371423457705</c:v>
                </c:pt>
                <c:pt idx="489">
                  <c:v>824.96097258002669</c:v>
                </c:pt>
                <c:pt idx="490">
                  <c:v>825.79100570336459</c:v>
                </c:pt>
                <c:pt idx="491">
                  <c:v>826.61386240838476</c:v>
                </c:pt>
                <c:pt idx="492">
                  <c:v>827.42959145025247</c:v>
                </c:pt>
                <c:pt idx="493">
                  <c:v>828.23824152823045</c:v>
                </c:pt>
                <c:pt idx="494">
                  <c:v>829.03986127859275</c:v>
                </c:pt>
                <c:pt idx="495">
                  <c:v>829.8344992677246</c:v>
                </c:pt>
                <c:pt idx="496">
                  <c:v>830.62220398540489</c:v>
                </c:pt>
                <c:pt idx="497">
                  <c:v>831.40302383826929</c:v>
                </c:pt>
                <c:pt idx="498">
                  <c:v>832.17700714345062</c:v>
                </c:pt>
                <c:pt idx="499">
                  <c:v>832.94420212239459</c:v>
                </c:pt>
                <c:pt idx="500">
                  <c:v>833.70465689484763</c:v>
                </c:pt>
                <c:pt idx="501">
                  <c:v>834.4584194730146</c:v>
                </c:pt>
                <c:pt idx="502">
                  <c:v>835.20553775588337</c:v>
                </c:pt>
                <c:pt idx="503">
                  <c:v>835.94605952371376</c:v>
                </c:pt>
                <c:pt idx="504">
                  <c:v>836.68003243268845</c:v>
                </c:pt>
                <c:pt idx="505">
                  <c:v>837.4075040097224</c:v>
                </c:pt>
                <c:pt idx="506">
                  <c:v>837.4075040097224</c:v>
                </c:pt>
                <c:pt idx="507">
                  <c:v>837.4075040097224</c:v>
                </c:pt>
                <c:pt idx="508">
                  <c:v>837.4075040097224</c:v>
                </c:pt>
                <c:pt idx="509">
                  <c:v>837.4075040097224</c:v>
                </c:pt>
                <c:pt idx="510">
                  <c:v>837.4075040097224</c:v>
                </c:pt>
                <c:pt idx="511">
                  <c:v>837.4075040097224</c:v>
                </c:pt>
                <c:pt idx="512">
                  <c:v>837.4075040097224</c:v>
                </c:pt>
                <c:pt idx="513">
                  <c:v>837.4075040097224</c:v>
                </c:pt>
                <c:pt idx="514">
                  <c:v>837.4075040097224</c:v>
                </c:pt>
                <c:pt idx="515">
                  <c:v>837.4075040097224</c:v>
                </c:pt>
                <c:pt idx="516">
                  <c:v>837.4075040097224</c:v>
                </c:pt>
                <c:pt idx="517">
                  <c:v>837.4075040097224</c:v>
                </c:pt>
                <c:pt idx="518">
                  <c:v>837.4075040097224</c:v>
                </c:pt>
                <c:pt idx="519">
                  <c:v>837.4075040097224</c:v>
                </c:pt>
                <c:pt idx="520">
                  <c:v>837.4075040097224</c:v>
                </c:pt>
                <c:pt idx="521">
                  <c:v>837.4075040097224</c:v>
                </c:pt>
                <c:pt idx="522">
                  <c:v>837.4075040097224</c:v>
                </c:pt>
                <c:pt idx="523">
                  <c:v>837.4075040097224</c:v>
                </c:pt>
                <c:pt idx="524">
                  <c:v>837.4075040097224</c:v>
                </c:pt>
                <c:pt idx="525">
                  <c:v>837.4075040097224</c:v>
                </c:pt>
                <c:pt idx="526">
                  <c:v>837.4075040097224</c:v>
                </c:pt>
                <c:pt idx="527">
                  <c:v>837.4075040097224</c:v>
                </c:pt>
                <c:pt idx="528">
                  <c:v>837.4075040097224</c:v>
                </c:pt>
                <c:pt idx="529">
                  <c:v>837.4075040097224</c:v>
                </c:pt>
                <c:pt idx="530">
                  <c:v>837.4075040097224</c:v>
                </c:pt>
                <c:pt idx="531">
                  <c:v>837.4075040097224</c:v>
                </c:pt>
                <c:pt idx="532">
                  <c:v>837.4075040097224</c:v>
                </c:pt>
                <c:pt idx="533">
                  <c:v>837.4075040097224</c:v>
                </c:pt>
                <c:pt idx="534">
                  <c:v>837.4075040097224</c:v>
                </c:pt>
                <c:pt idx="535">
                  <c:v>837.4075040097224</c:v>
                </c:pt>
                <c:pt idx="536">
                  <c:v>837.4075040097224</c:v>
                </c:pt>
                <c:pt idx="537">
                  <c:v>837.4075040097224</c:v>
                </c:pt>
                <c:pt idx="538">
                  <c:v>837.4075040097224</c:v>
                </c:pt>
                <c:pt idx="539">
                  <c:v>837.4075040097224</c:v>
                </c:pt>
                <c:pt idx="540">
                  <c:v>837.4075040097224</c:v>
                </c:pt>
                <c:pt idx="541">
                  <c:v>837.4075040097224</c:v>
                </c:pt>
                <c:pt idx="542">
                  <c:v>837.4075040097224</c:v>
                </c:pt>
                <c:pt idx="543">
                  <c:v>837.4075040097224</c:v>
                </c:pt>
                <c:pt idx="544">
                  <c:v>837.4075040097224</c:v>
                </c:pt>
                <c:pt idx="545">
                  <c:v>837.4075040097224</c:v>
                </c:pt>
                <c:pt idx="546">
                  <c:v>837.4075040097224</c:v>
                </c:pt>
                <c:pt idx="547">
                  <c:v>837.4075040097224</c:v>
                </c:pt>
                <c:pt idx="548">
                  <c:v>837.4075040097224</c:v>
                </c:pt>
                <c:pt idx="549">
                  <c:v>837.4075040097224</c:v>
                </c:pt>
                <c:pt idx="550">
                  <c:v>837.4075040097224</c:v>
                </c:pt>
                <c:pt idx="551">
                  <c:v>837.4075040097224</c:v>
                </c:pt>
                <c:pt idx="552">
                  <c:v>837.4075040097224</c:v>
                </c:pt>
                <c:pt idx="553">
                  <c:v>837.4075040097224</c:v>
                </c:pt>
                <c:pt idx="554">
                  <c:v>837.4075040097224</c:v>
                </c:pt>
                <c:pt idx="555">
                  <c:v>837.4075040097224</c:v>
                </c:pt>
                <c:pt idx="556">
                  <c:v>837.4075040097224</c:v>
                </c:pt>
                <c:pt idx="557">
                  <c:v>837.4075040097224</c:v>
                </c:pt>
                <c:pt idx="558">
                  <c:v>837.4075040097224</c:v>
                </c:pt>
                <c:pt idx="559">
                  <c:v>837.4075040097224</c:v>
                </c:pt>
                <c:pt idx="560">
                  <c:v>837.4075040097224</c:v>
                </c:pt>
                <c:pt idx="561">
                  <c:v>837.4075040097224</c:v>
                </c:pt>
                <c:pt idx="562">
                  <c:v>837.4075040097224</c:v>
                </c:pt>
                <c:pt idx="563">
                  <c:v>837.4075040097224</c:v>
                </c:pt>
                <c:pt idx="564">
                  <c:v>837.4075040097224</c:v>
                </c:pt>
                <c:pt idx="565">
                  <c:v>837.4075040097224</c:v>
                </c:pt>
                <c:pt idx="566">
                  <c:v>837.4075040097224</c:v>
                </c:pt>
                <c:pt idx="567">
                  <c:v>837.4075040097224</c:v>
                </c:pt>
                <c:pt idx="568">
                  <c:v>837.4075040097224</c:v>
                </c:pt>
                <c:pt idx="569">
                  <c:v>837.4075040097224</c:v>
                </c:pt>
                <c:pt idx="570">
                  <c:v>837.4075040097224</c:v>
                </c:pt>
                <c:pt idx="571">
                  <c:v>837.4075040097224</c:v>
                </c:pt>
                <c:pt idx="572">
                  <c:v>837.4075040097224</c:v>
                </c:pt>
                <c:pt idx="573">
                  <c:v>837.4075040097224</c:v>
                </c:pt>
                <c:pt idx="574">
                  <c:v>837.4075040097224</c:v>
                </c:pt>
                <c:pt idx="575">
                  <c:v>837.4075040097224</c:v>
                </c:pt>
                <c:pt idx="576">
                  <c:v>837.4075040097224</c:v>
                </c:pt>
                <c:pt idx="577">
                  <c:v>837.4075040097224</c:v>
                </c:pt>
                <c:pt idx="578">
                  <c:v>837.4075040097224</c:v>
                </c:pt>
                <c:pt idx="579">
                  <c:v>837.4075040097224</c:v>
                </c:pt>
                <c:pt idx="580">
                  <c:v>837.4075040097224</c:v>
                </c:pt>
                <c:pt idx="581">
                  <c:v>837.4075040097224</c:v>
                </c:pt>
                <c:pt idx="582">
                  <c:v>837.4075040097224</c:v>
                </c:pt>
                <c:pt idx="583">
                  <c:v>837.4075040097224</c:v>
                </c:pt>
                <c:pt idx="584">
                  <c:v>837.4075040097224</c:v>
                </c:pt>
                <c:pt idx="585">
                  <c:v>837.4075040097224</c:v>
                </c:pt>
                <c:pt idx="586">
                  <c:v>837.4075040097224</c:v>
                </c:pt>
                <c:pt idx="587">
                  <c:v>837.4075040097224</c:v>
                </c:pt>
                <c:pt idx="588">
                  <c:v>837.4075040097224</c:v>
                </c:pt>
                <c:pt idx="589">
                  <c:v>837.4075040097224</c:v>
                </c:pt>
                <c:pt idx="590">
                  <c:v>837.4075040097224</c:v>
                </c:pt>
                <c:pt idx="591">
                  <c:v>837.4075040097224</c:v>
                </c:pt>
                <c:pt idx="592">
                  <c:v>837.4075040097224</c:v>
                </c:pt>
                <c:pt idx="593">
                  <c:v>837.4075040097224</c:v>
                </c:pt>
                <c:pt idx="594">
                  <c:v>837.4075040097224</c:v>
                </c:pt>
                <c:pt idx="595">
                  <c:v>837.4075040097224</c:v>
                </c:pt>
                <c:pt idx="596">
                  <c:v>837.4075040097224</c:v>
                </c:pt>
                <c:pt idx="597">
                  <c:v>837.4075040097224</c:v>
                </c:pt>
                <c:pt idx="598">
                  <c:v>837.4075040097224</c:v>
                </c:pt>
                <c:pt idx="599">
                  <c:v>837.4075040097224</c:v>
                </c:pt>
                <c:pt idx="600">
                  <c:v>837.4075040097224</c:v>
                </c:pt>
                <c:pt idx="601">
                  <c:v>837.4075040097224</c:v>
                </c:pt>
                <c:pt idx="602">
                  <c:v>837.4075040097224</c:v>
                </c:pt>
                <c:pt idx="603">
                  <c:v>837.4075040097224</c:v>
                </c:pt>
                <c:pt idx="604">
                  <c:v>837.4075040097224</c:v>
                </c:pt>
                <c:pt idx="605">
                  <c:v>837.4075040097224</c:v>
                </c:pt>
                <c:pt idx="606">
                  <c:v>837.4075040097224</c:v>
                </c:pt>
                <c:pt idx="607">
                  <c:v>837.4075040097224</c:v>
                </c:pt>
                <c:pt idx="608">
                  <c:v>837.4075040097224</c:v>
                </c:pt>
                <c:pt idx="609">
                  <c:v>837.4075040097224</c:v>
                </c:pt>
                <c:pt idx="610">
                  <c:v>837.4075040097224</c:v>
                </c:pt>
                <c:pt idx="611">
                  <c:v>837.4075040097224</c:v>
                </c:pt>
                <c:pt idx="612">
                  <c:v>837.4075040097224</c:v>
                </c:pt>
                <c:pt idx="613">
                  <c:v>837.4075040097224</c:v>
                </c:pt>
                <c:pt idx="614">
                  <c:v>837.4075040097224</c:v>
                </c:pt>
                <c:pt idx="615">
                  <c:v>837.4075040097224</c:v>
                </c:pt>
                <c:pt idx="616">
                  <c:v>837.4075040097224</c:v>
                </c:pt>
                <c:pt idx="617">
                  <c:v>837.4075040097224</c:v>
                </c:pt>
                <c:pt idx="618">
                  <c:v>837.4075040097224</c:v>
                </c:pt>
                <c:pt idx="619">
                  <c:v>837.4075040097224</c:v>
                </c:pt>
                <c:pt idx="620">
                  <c:v>837.4075040097224</c:v>
                </c:pt>
                <c:pt idx="621">
                  <c:v>837.4075040097224</c:v>
                </c:pt>
                <c:pt idx="622">
                  <c:v>837.4075040097224</c:v>
                </c:pt>
                <c:pt idx="623">
                  <c:v>837.4075040097224</c:v>
                </c:pt>
                <c:pt idx="624">
                  <c:v>837.4075040097224</c:v>
                </c:pt>
                <c:pt idx="625">
                  <c:v>837.4075040097224</c:v>
                </c:pt>
                <c:pt idx="626">
                  <c:v>837.4075040097224</c:v>
                </c:pt>
                <c:pt idx="627">
                  <c:v>837.4075040097224</c:v>
                </c:pt>
                <c:pt idx="628">
                  <c:v>837.4075040097224</c:v>
                </c:pt>
                <c:pt idx="629">
                  <c:v>837.4075040097224</c:v>
                </c:pt>
                <c:pt idx="630">
                  <c:v>837.4075040097224</c:v>
                </c:pt>
                <c:pt idx="631">
                  <c:v>837.4075040097224</c:v>
                </c:pt>
                <c:pt idx="632">
                  <c:v>837.4075040097224</c:v>
                </c:pt>
                <c:pt idx="633">
                  <c:v>837.4075040097224</c:v>
                </c:pt>
                <c:pt idx="634">
                  <c:v>837.4075040097224</c:v>
                </c:pt>
                <c:pt idx="635">
                  <c:v>837.4075040097224</c:v>
                </c:pt>
                <c:pt idx="636">
                  <c:v>837.4075040097224</c:v>
                </c:pt>
                <c:pt idx="637">
                  <c:v>837.4075040097224</c:v>
                </c:pt>
                <c:pt idx="638">
                  <c:v>837.4075040097224</c:v>
                </c:pt>
                <c:pt idx="639">
                  <c:v>837.4075040097224</c:v>
                </c:pt>
                <c:pt idx="640">
                  <c:v>837.4075040097224</c:v>
                </c:pt>
                <c:pt idx="641">
                  <c:v>837.4075040097224</c:v>
                </c:pt>
                <c:pt idx="642">
                  <c:v>837.4075040097224</c:v>
                </c:pt>
                <c:pt idx="643">
                  <c:v>837.4075040097224</c:v>
                </c:pt>
                <c:pt idx="644">
                  <c:v>837.4075040097224</c:v>
                </c:pt>
                <c:pt idx="645">
                  <c:v>837.4075040097224</c:v>
                </c:pt>
                <c:pt idx="646">
                  <c:v>837.4075040097224</c:v>
                </c:pt>
                <c:pt idx="647">
                  <c:v>837.4075040097224</c:v>
                </c:pt>
                <c:pt idx="648">
                  <c:v>837.4075040097224</c:v>
                </c:pt>
                <c:pt idx="649">
                  <c:v>837.4075040097224</c:v>
                </c:pt>
                <c:pt idx="650">
                  <c:v>837.4075040097224</c:v>
                </c:pt>
                <c:pt idx="651">
                  <c:v>837.4075040097224</c:v>
                </c:pt>
                <c:pt idx="652">
                  <c:v>837.4075040097224</c:v>
                </c:pt>
                <c:pt idx="653">
                  <c:v>837.4075040097224</c:v>
                </c:pt>
                <c:pt idx="654">
                  <c:v>837.4075040097224</c:v>
                </c:pt>
                <c:pt idx="655">
                  <c:v>837.4075040097224</c:v>
                </c:pt>
                <c:pt idx="656">
                  <c:v>837.4075040097224</c:v>
                </c:pt>
                <c:pt idx="657">
                  <c:v>837.4075040097224</c:v>
                </c:pt>
                <c:pt idx="658">
                  <c:v>837.4075040097224</c:v>
                </c:pt>
                <c:pt idx="659">
                  <c:v>837.4075040097224</c:v>
                </c:pt>
                <c:pt idx="660">
                  <c:v>837.4075040097224</c:v>
                </c:pt>
                <c:pt idx="661">
                  <c:v>837.4075040097224</c:v>
                </c:pt>
                <c:pt idx="662">
                  <c:v>837.4075040097224</c:v>
                </c:pt>
                <c:pt idx="663">
                  <c:v>837.4075040097224</c:v>
                </c:pt>
                <c:pt idx="664">
                  <c:v>837.4075040097224</c:v>
                </c:pt>
                <c:pt idx="665">
                  <c:v>837.4075040097224</c:v>
                </c:pt>
                <c:pt idx="666">
                  <c:v>837.4075040097224</c:v>
                </c:pt>
                <c:pt idx="667">
                  <c:v>837.4075040097224</c:v>
                </c:pt>
                <c:pt idx="668">
                  <c:v>837.4075040097224</c:v>
                </c:pt>
                <c:pt idx="669">
                  <c:v>837.4075040097224</c:v>
                </c:pt>
                <c:pt idx="670">
                  <c:v>837.4075040097224</c:v>
                </c:pt>
                <c:pt idx="671">
                  <c:v>837.4075040097224</c:v>
                </c:pt>
                <c:pt idx="672">
                  <c:v>837.4075040097224</c:v>
                </c:pt>
                <c:pt idx="673">
                  <c:v>837.4075040097224</c:v>
                </c:pt>
                <c:pt idx="674">
                  <c:v>837.4075040097224</c:v>
                </c:pt>
                <c:pt idx="675">
                  <c:v>837.4075040097224</c:v>
                </c:pt>
                <c:pt idx="676">
                  <c:v>837.4075040097224</c:v>
                </c:pt>
                <c:pt idx="677">
                  <c:v>837.4075040097224</c:v>
                </c:pt>
                <c:pt idx="678">
                  <c:v>837.4075040097224</c:v>
                </c:pt>
                <c:pt idx="679">
                  <c:v>837.4075040097224</c:v>
                </c:pt>
                <c:pt idx="680">
                  <c:v>837.4075040097224</c:v>
                </c:pt>
                <c:pt idx="681">
                  <c:v>837.4075040097224</c:v>
                </c:pt>
                <c:pt idx="682">
                  <c:v>837.4075040097224</c:v>
                </c:pt>
                <c:pt idx="683">
                  <c:v>837.4075040097224</c:v>
                </c:pt>
                <c:pt idx="684">
                  <c:v>837.4075040097224</c:v>
                </c:pt>
                <c:pt idx="685">
                  <c:v>837.4075040097224</c:v>
                </c:pt>
                <c:pt idx="686">
                  <c:v>837.4075040097224</c:v>
                </c:pt>
                <c:pt idx="687">
                  <c:v>837.4075040097224</c:v>
                </c:pt>
                <c:pt idx="688">
                  <c:v>837.4075040097224</c:v>
                </c:pt>
                <c:pt idx="689">
                  <c:v>837.4075040097224</c:v>
                </c:pt>
                <c:pt idx="690">
                  <c:v>837.4075040097224</c:v>
                </c:pt>
                <c:pt idx="691">
                  <c:v>837.4075040097224</c:v>
                </c:pt>
                <c:pt idx="692">
                  <c:v>837.4075040097224</c:v>
                </c:pt>
                <c:pt idx="693">
                  <c:v>837.4075040097224</c:v>
                </c:pt>
                <c:pt idx="694">
                  <c:v>837.4075040097224</c:v>
                </c:pt>
                <c:pt idx="695">
                  <c:v>837.4075040097224</c:v>
                </c:pt>
                <c:pt idx="696">
                  <c:v>837.4075040097224</c:v>
                </c:pt>
                <c:pt idx="697">
                  <c:v>837.4075040097224</c:v>
                </c:pt>
                <c:pt idx="698">
                  <c:v>837.4075040097224</c:v>
                </c:pt>
                <c:pt idx="699">
                  <c:v>837.4075040097224</c:v>
                </c:pt>
                <c:pt idx="700">
                  <c:v>837.4075040097224</c:v>
                </c:pt>
                <c:pt idx="701">
                  <c:v>837.4075040097224</c:v>
                </c:pt>
                <c:pt idx="702">
                  <c:v>837.4075040097224</c:v>
                </c:pt>
                <c:pt idx="703">
                  <c:v>837.4075040097224</c:v>
                </c:pt>
                <c:pt idx="704">
                  <c:v>837.4075040097224</c:v>
                </c:pt>
                <c:pt idx="705">
                  <c:v>837.4075040097224</c:v>
                </c:pt>
                <c:pt idx="706">
                  <c:v>837.4075040097224</c:v>
                </c:pt>
                <c:pt idx="707">
                  <c:v>837.4075040097224</c:v>
                </c:pt>
                <c:pt idx="708">
                  <c:v>837.4075040097224</c:v>
                </c:pt>
                <c:pt idx="709">
                  <c:v>837.4075040097224</c:v>
                </c:pt>
                <c:pt idx="710">
                  <c:v>837.4075040097224</c:v>
                </c:pt>
                <c:pt idx="711">
                  <c:v>837.4075040097224</c:v>
                </c:pt>
                <c:pt idx="712">
                  <c:v>837.4075040097224</c:v>
                </c:pt>
                <c:pt idx="713">
                  <c:v>837.4075040097224</c:v>
                </c:pt>
                <c:pt idx="714">
                  <c:v>837.4075040097224</c:v>
                </c:pt>
                <c:pt idx="715">
                  <c:v>837.4075040097224</c:v>
                </c:pt>
                <c:pt idx="716">
                  <c:v>837.4075040097224</c:v>
                </c:pt>
                <c:pt idx="717">
                  <c:v>837.4075040097224</c:v>
                </c:pt>
                <c:pt idx="718">
                  <c:v>837.4075040097224</c:v>
                </c:pt>
                <c:pt idx="719">
                  <c:v>837.4075040097224</c:v>
                </c:pt>
                <c:pt idx="720">
                  <c:v>837.4075040097224</c:v>
                </c:pt>
                <c:pt idx="721">
                  <c:v>837.4075040097224</c:v>
                </c:pt>
                <c:pt idx="722">
                  <c:v>837.4075040097224</c:v>
                </c:pt>
                <c:pt idx="723">
                  <c:v>837.4075040097224</c:v>
                </c:pt>
                <c:pt idx="724">
                  <c:v>837.4075040097224</c:v>
                </c:pt>
                <c:pt idx="725">
                  <c:v>837.4075040097224</c:v>
                </c:pt>
                <c:pt idx="726">
                  <c:v>837.4075040097224</c:v>
                </c:pt>
                <c:pt idx="727">
                  <c:v>837.4075040097224</c:v>
                </c:pt>
                <c:pt idx="728">
                  <c:v>837.4075040097224</c:v>
                </c:pt>
                <c:pt idx="729">
                  <c:v>837.4075040097224</c:v>
                </c:pt>
                <c:pt idx="730">
                  <c:v>837.4075040097224</c:v>
                </c:pt>
                <c:pt idx="731">
                  <c:v>837.4075040097224</c:v>
                </c:pt>
                <c:pt idx="732">
                  <c:v>837.4075040097224</c:v>
                </c:pt>
                <c:pt idx="733">
                  <c:v>837.4075040097224</c:v>
                </c:pt>
                <c:pt idx="734">
                  <c:v>837.4075040097224</c:v>
                </c:pt>
                <c:pt idx="735">
                  <c:v>837.4075040097224</c:v>
                </c:pt>
                <c:pt idx="736">
                  <c:v>837.4075040097224</c:v>
                </c:pt>
                <c:pt idx="737">
                  <c:v>837.4075040097224</c:v>
                </c:pt>
                <c:pt idx="738">
                  <c:v>837.4075040097224</c:v>
                </c:pt>
                <c:pt idx="739">
                  <c:v>837.4075040097224</c:v>
                </c:pt>
                <c:pt idx="740">
                  <c:v>837.4075040097224</c:v>
                </c:pt>
                <c:pt idx="741">
                  <c:v>837.4075040097224</c:v>
                </c:pt>
                <c:pt idx="742">
                  <c:v>837.4075040097224</c:v>
                </c:pt>
                <c:pt idx="743">
                  <c:v>837.4075040097224</c:v>
                </c:pt>
                <c:pt idx="744">
                  <c:v>837.4075040097224</c:v>
                </c:pt>
                <c:pt idx="745">
                  <c:v>837.4075040097224</c:v>
                </c:pt>
                <c:pt idx="746">
                  <c:v>837.4075040097224</c:v>
                </c:pt>
                <c:pt idx="747">
                  <c:v>837.4075040097224</c:v>
                </c:pt>
                <c:pt idx="748">
                  <c:v>837.4075040097224</c:v>
                </c:pt>
                <c:pt idx="749">
                  <c:v>837.4075040097224</c:v>
                </c:pt>
                <c:pt idx="750">
                  <c:v>837.4075040097224</c:v>
                </c:pt>
                <c:pt idx="751">
                  <c:v>837.4075040097224</c:v>
                </c:pt>
                <c:pt idx="752">
                  <c:v>837.4075040097224</c:v>
                </c:pt>
                <c:pt idx="753">
                  <c:v>837.4075040097224</c:v>
                </c:pt>
                <c:pt idx="754">
                  <c:v>837.4075040097224</c:v>
                </c:pt>
                <c:pt idx="755">
                  <c:v>837.4075040097224</c:v>
                </c:pt>
                <c:pt idx="756">
                  <c:v>837.4075040097224</c:v>
                </c:pt>
                <c:pt idx="757">
                  <c:v>837.4075040097224</c:v>
                </c:pt>
                <c:pt idx="758">
                  <c:v>837.4075040097224</c:v>
                </c:pt>
                <c:pt idx="759">
                  <c:v>837.4075040097224</c:v>
                </c:pt>
                <c:pt idx="760">
                  <c:v>837.4075040097224</c:v>
                </c:pt>
                <c:pt idx="761">
                  <c:v>837.4075040097224</c:v>
                </c:pt>
                <c:pt idx="762">
                  <c:v>837.4075040097224</c:v>
                </c:pt>
                <c:pt idx="763">
                  <c:v>837.4075040097224</c:v>
                </c:pt>
                <c:pt idx="764">
                  <c:v>837.4075040097224</c:v>
                </c:pt>
                <c:pt idx="765">
                  <c:v>837.4075040097224</c:v>
                </c:pt>
                <c:pt idx="766">
                  <c:v>837.4075040097224</c:v>
                </c:pt>
                <c:pt idx="767">
                  <c:v>837.4075040097224</c:v>
                </c:pt>
                <c:pt idx="768">
                  <c:v>837.4075040097224</c:v>
                </c:pt>
                <c:pt idx="769">
                  <c:v>837.4075040097224</c:v>
                </c:pt>
                <c:pt idx="770">
                  <c:v>837.4075040097224</c:v>
                </c:pt>
                <c:pt idx="771">
                  <c:v>837.4075040097224</c:v>
                </c:pt>
                <c:pt idx="772">
                  <c:v>837.4075040097224</c:v>
                </c:pt>
                <c:pt idx="773">
                  <c:v>837.4075040097224</c:v>
                </c:pt>
                <c:pt idx="774">
                  <c:v>837.4075040097224</c:v>
                </c:pt>
                <c:pt idx="775">
                  <c:v>837.4075040097224</c:v>
                </c:pt>
                <c:pt idx="776">
                  <c:v>837.4075040097224</c:v>
                </c:pt>
                <c:pt idx="777">
                  <c:v>837.4075040097224</c:v>
                </c:pt>
                <c:pt idx="778">
                  <c:v>837.4075040097224</c:v>
                </c:pt>
                <c:pt idx="779">
                  <c:v>837.4075040097224</c:v>
                </c:pt>
                <c:pt idx="780">
                  <c:v>837.4075040097224</c:v>
                </c:pt>
                <c:pt idx="781">
                  <c:v>837.4075040097224</c:v>
                </c:pt>
                <c:pt idx="782">
                  <c:v>837.4075040097224</c:v>
                </c:pt>
                <c:pt idx="783">
                  <c:v>837.4075040097224</c:v>
                </c:pt>
                <c:pt idx="784">
                  <c:v>837.4075040097224</c:v>
                </c:pt>
                <c:pt idx="785">
                  <c:v>837.4075040097224</c:v>
                </c:pt>
                <c:pt idx="786">
                  <c:v>837.4075040097224</c:v>
                </c:pt>
                <c:pt idx="787">
                  <c:v>837.4075040097224</c:v>
                </c:pt>
                <c:pt idx="788">
                  <c:v>837.4075040097224</c:v>
                </c:pt>
                <c:pt idx="789">
                  <c:v>837.4075040097224</c:v>
                </c:pt>
                <c:pt idx="790">
                  <c:v>837.4075040097224</c:v>
                </c:pt>
                <c:pt idx="791">
                  <c:v>837.4075040097224</c:v>
                </c:pt>
                <c:pt idx="792">
                  <c:v>837.4075040097224</c:v>
                </c:pt>
                <c:pt idx="793">
                  <c:v>837.4075040097224</c:v>
                </c:pt>
                <c:pt idx="794">
                  <c:v>837.4075040097224</c:v>
                </c:pt>
                <c:pt idx="795">
                  <c:v>837.4075040097224</c:v>
                </c:pt>
                <c:pt idx="796">
                  <c:v>837.4075040097224</c:v>
                </c:pt>
                <c:pt idx="797">
                  <c:v>837.4075040097224</c:v>
                </c:pt>
                <c:pt idx="798">
                  <c:v>837.4075040097224</c:v>
                </c:pt>
                <c:pt idx="799">
                  <c:v>837.4075040097224</c:v>
                </c:pt>
                <c:pt idx="800">
                  <c:v>837.4075040097224</c:v>
                </c:pt>
                <c:pt idx="801">
                  <c:v>837.4075040097224</c:v>
                </c:pt>
                <c:pt idx="802">
                  <c:v>837.4075040097224</c:v>
                </c:pt>
                <c:pt idx="803">
                  <c:v>837.4075040097224</c:v>
                </c:pt>
                <c:pt idx="804">
                  <c:v>837.4075040097224</c:v>
                </c:pt>
                <c:pt idx="805">
                  <c:v>837.4075040097224</c:v>
                </c:pt>
                <c:pt idx="806">
                  <c:v>837.4075040097224</c:v>
                </c:pt>
                <c:pt idx="807">
                  <c:v>837.4075040097224</c:v>
                </c:pt>
                <c:pt idx="808">
                  <c:v>837.4075040097224</c:v>
                </c:pt>
                <c:pt idx="809">
                  <c:v>837.4075040097224</c:v>
                </c:pt>
                <c:pt idx="810">
                  <c:v>837.4075040097224</c:v>
                </c:pt>
                <c:pt idx="811">
                  <c:v>837.4075040097224</c:v>
                </c:pt>
                <c:pt idx="812">
                  <c:v>837.4075040097224</c:v>
                </c:pt>
                <c:pt idx="813">
                  <c:v>837.4075040097224</c:v>
                </c:pt>
                <c:pt idx="814">
                  <c:v>837.4075040097224</c:v>
                </c:pt>
                <c:pt idx="815">
                  <c:v>837.4075040097224</c:v>
                </c:pt>
                <c:pt idx="816">
                  <c:v>837.4075040097224</c:v>
                </c:pt>
                <c:pt idx="817">
                  <c:v>837.4075040097224</c:v>
                </c:pt>
                <c:pt idx="818">
                  <c:v>837.4075040097224</c:v>
                </c:pt>
                <c:pt idx="819">
                  <c:v>837.4075040097224</c:v>
                </c:pt>
                <c:pt idx="820">
                  <c:v>837.4075040097224</c:v>
                </c:pt>
                <c:pt idx="821">
                  <c:v>837.4075040097224</c:v>
                </c:pt>
                <c:pt idx="822">
                  <c:v>837.4075040097224</c:v>
                </c:pt>
                <c:pt idx="823">
                  <c:v>837.4075040097224</c:v>
                </c:pt>
                <c:pt idx="824">
                  <c:v>837.4075040097224</c:v>
                </c:pt>
                <c:pt idx="825">
                  <c:v>837.4075040097224</c:v>
                </c:pt>
                <c:pt idx="826">
                  <c:v>837.4075040097224</c:v>
                </c:pt>
                <c:pt idx="827">
                  <c:v>837.4075040097224</c:v>
                </c:pt>
                <c:pt idx="828">
                  <c:v>837.4075040097224</c:v>
                </c:pt>
                <c:pt idx="829">
                  <c:v>837.4075040097224</c:v>
                </c:pt>
                <c:pt idx="830">
                  <c:v>837.4075040097224</c:v>
                </c:pt>
                <c:pt idx="831">
                  <c:v>837.4075040097224</c:v>
                </c:pt>
                <c:pt idx="832">
                  <c:v>837.4075040097224</c:v>
                </c:pt>
                <c:pt idx="833">
                  <c:v>837.4075040097224</c:v>
                </c:pt>
                <c:pt idx="834">
                  <c:v>837.4075040097224</c:v>
                </c:pt>
                <c:pt idx="835">
                  <c:v>837.4075040097224</c:v>
                </c:pt>
                <c:pt idx="836">
                  <c:v>837.4075040097224</c:v>
                </c:pt>
                <c:pt idx="837">
                  <c:v>837.4075040097224</c:v>
                </c:pt>
                <c:pt idx="838">
                  <c:v>837.4075040097224</c:v>
                </c:pt>
                <c:pt idx="839">
                  <c:v>837.4075040097224</c:v>
                </c:pt>
                <c:pt idx="840">
                  <c:v>837.4075040097224</c:v>
                </c:pt>
                <c:pt idx="841">
                  <c:v>837.4075040097224</c:v>
                </c:pt>
                <c:pt idx="842">
                  <c:v>837.4075040097224</c:v>
                </c:pt>
                <c:pt idx="843">
                  <c:v>837.4075040097224</c:v>
                </c:pt>
                <c:pt idx="844">
                  <c:v>837.4075040097224</c:v>
                </c:pt>
                <c:pt idx="845">
                  <c:v>837.4075040097224</c:v>
                </c:pt>
                <c:pt idx="846">
                  <c:v>837.4075040097224</c:v>
                </c:pt>
                <c:pt idx="847">
                  <c:v>837.4075040097224</c:v>
                </c:pt>
                <c:pt idx="848">
                  <c:v>837.4075040097224</c:v>
                </c:pt>
                <c:pt idx="849">
                  <c:v>837.4075040097224</c:v>
                </c:pt>
                <c:pt idx="850">
                  <c:v>837.4075040097224</c:v>
                </c:pt>
                <c:pt idx="851">
                  <c:v>837.4075040097224</c:v>
                </c:pt>
                <c:pt idx="852">
                  <c:v>837.4075040097224</c:v>
                </c:pt>
                <c:pt idx="853">
                  <c:v>837.4075040097224</c:v>
                </c:pt>
                <c:pt idx="854">
                  <c:v>837.4075040097224</c:v>
                </c:pt>
                <c:pt idx="855">
                  <c:v>837.4075040097224</c:v>
                </c:pt>
                <c:pt idx="856">
                  <c:v>837.4075040097224</c:v>
                </c:pt>
                <c:pt idx="857">
                  <c:v>837.4075040097224</c:v>
                </c:pt>
                <c:pt idx="858">
                  <c:v>837.4075040097224</c:v>
                </c:pt>
                <c:pt idx="859">
                  <c:v>837.4075040097224</c:v>
                </c:pt>
                <c:pt idx="860">
                  <c:v>837.4075040097224</c:v>
                </c:pt>
                <c:pt idx="861">
                  <c:v>837.4075040097224</c:v>
                </c:pt>
                <c:pt idx="862">
                  <c:v>837.4075040097224</c:v>
                </c:pt>
                <c:pt idx="863">
                  <c:v>837.4075040097224</c:v>
                </c:pt>
                <c:pt idx="864">
                  <c:v>837.4075040097224</c:v>
                </c:pt>
                <c:pt idx="865">
                  <c:v>837.4075040097224</c:v>
                </c:pt>
                <c:pt idx="866">
                  <c:v>837.4075040097224</c:v>
                </c:pt>
                <c:pt idx="867">
                  <c:v>837.4075040097224</c:v>
                </c:pt>
                <c:pt idx="868">
                  <c:v>837.4075040097224</c:v>
                </c:pt>
                <c:pt idx="869">
                  <c:v>837.4075040097224</c:v>
                </c:pt>
                <c:pt idx="870">
                  <c:v>837.4075040097224</c:v>
                </c:pt>
                <c:pt idx="871">
                  <c:v>837.4075040097224</c:v>
                </c:pt>
                <c:pt idx="872">
                  <c:v>837.4075040097224</c:v>
                </c:pt>
                <c:pt idx="873">
                  <c:v>837.4075040097224</c:v>
                </c:pt>
                <c:pt idx="874">
                  <c:v>837.4075040097224</c:v>
                </c:pt>
                <c:pt idx="875">
                  <c:v>837.4075040097224</c:v>
                </c:pt>
                <c:pt idx="876">
                  <c:v>837.4075040097224</c:v>
                </c:pt>
                <c:pt idx="877">
                  <c:v>837.4075040097224</c:v>
                </c:pt>
                <c:pt idx="878">
                  <c:v>837.4075040097224</c:v>
                </c:pt>
                <c:pt idx="879">
                  <c:v>837.4075040097224</c:v>
                </c:pt>
                <c:pt idx="880">
                  <c:v>837.4075040097224</c:v>
                </c:pt>
                <c:pt idx="881">
                  <c:v>837.4075040097224</c:v>
                </c:pt>
                <c:pt idx="882">
                  <c:v>837.4075040097224</c:v>
                </c:pt>
                <c:pt idx="883">
                  <c:v>837.4075040097224</c:v>
                </c:pt>
                <c:pt idx="884">
                  <c:v>837.4075040097224</c:v>
                </c:pt>
                <c:pt idx="885">
                  <c:v>837.4075040097224</c:v>
                </c:pt>
                <c:pt idx="886">
                  <c:v>837.4075040097224</c:v>
                </c:pt>
                <c:pt idx="887">
                  <c:v>837.4075040097224</c:v>
                </c:pt>
                <c:pt idx="888">
                  <c:v>837.4075040097224</c:v>
                </c:pt>
                <c:pt idx="889">
                  <c:v>837.4075040097224</c:v>
                </c:pt>
                <c:pt idx="890">
                  <c:v>837.4075040097224</c:v>
                </c:pt>
                <c:pt idx="891">
                  <c:v>837.4075040097224</c:v>
                </c:pt>
                <c:pt idx="892">
                  <c:v>837.4075040097224</c:v>
                </c:pt>
                <c:pt idx="893">
                  <c:v>837.4075040097224</c:v>
                </c:pt>
                <c:pt idx="894">
                  <c:v>837.4075040097224</c:v>
                </c:pt>
                <c:pt idx="895">
                  <c:v>837.4075040097224</c:v>
                </c:pt>
                <c:pt idx="896">
                  <c:v>837.4075040097224</c:v>
                </c:pt>
                <c:pt idx="897">
                  <c:v>837.4075040097224</c:v>
                </c:pt>
                <c:pt idx="898">
                  <c:v>837.4075040097224</c:v>
                </c:pt>
                <c:pt idx="899">
                  <c:v>837.4075040097224</c:v>
                </c:pt>
                <c:pt idx="900">
                  <c:v>837.4075040097224</c:v>
                </c:pt>
                <c:pt idx="901">
                  <c:v>837.4075040097224</c:v>
                </c:pt>
                <c:pt idx="902">
                  <c:v>837.4075040097224</c:v>
                </c:pt>
                <c:pt idx="903">
                  <c:v>837.4075040097224</c:v>
                </c:pt>
                <c:pt idx="904">
                  <c:v>837.4075040097224</c:v>
                </c:pt>
                <c:pt idx="905">
                  <c:v>837.4075040097224</c:v>
                </c:pt>
                <c:pt idx="906">
                  <c:v>837.4075040097224</c:v>
                </c:pt>
                <c:pt idx="907">
                  <c:v>837.4075040097224</c:v>
                </c:pt>
                <c:pt idx="908">
                  <c:v>837.4075040097224</c:v>
                </c:pt>
                <c:pt idx="909">
                  <c:v>837.4075040097224</c:v>
                </c:pt>
                <c:pt idx="910">
                  <c:v>837.4075040097224</c:v>
                </c:pt>
                <c:pt idx="911">
                  <c:v>837.4075040097224</c:v>
                </c:pt>
                <c:pt idx="912">
                  <c:v>837.4075040097224</c:v>
                </c:pt>
                <c:pt idx="913">
                  <c:v>837.4075040097224</c:v>
                </c:pt>
                <c:pt idx="914">
                  <c:v>837.4075040097224</c:v>
                </c:pt>
                <c:pt idx="915">
                  <c:v>837.4075040097224</c:v>
                </c:pt>
                <c:pt idx="916">
                  <c:v>837.4075040097224</c:v>
                </c:pt>
                <c:pt idx="917">
                  <c:v>837.4075040097224</c:v>
                </c:pt>
                <c:pt idx="918">
                  <c:v>837.4075040097224</c:v>
                </c:pt>
                <c:pt idx="919">
                  <c:v>837.4075040097224</c:v>
                </c:pt>
                <c:pt idx="920">
                  <c:v>837.4075040097224</c:v>
                </c:pt>
                <c:pt idx="921">
                  <c:v>837.4075040097224</c:v>
                </c:pt>
                <c:pt idx="922">
                  <c:v>837.4075040097224</c:v>
                </c:pt>
                <c:pt idx="923">
                  <c:v>837.4075040097224</c:v>
                </c:pt>
                <c:pt idx="924">
                  <c:v>837.4075040097224</c:v>
                </c:pt>
                <c:pt idx="925">
                  <c:v>837.4075040097224</c:v>
                </c:pt>
                <c:pt idx="926">
                  <c:v>837.4075040097224</c:v>
                </c:pt>
                <c:pt idx="927">
                  <c:v>837.4075040097224</c:v>
                </c:pt>
                <c:pt idx="928">
                  <c:v>837.4075040097224</c:v>
                </c:pt>
                <c:pt idx="929">
                  <c:v>837.4075040097224</c:v>
                </c:pt>
                <c:pt idx="930">
                  <c:v>837.4075040097224</c:v>
                </c:pt>
                <c:pt idx="931">
                  <c:v>837.4075040097224</c:v>
                </c:pt>
                <c:pt idx="932">
                  <c:v>837.4075040097224</c:v>
                </c:pt>
                <c:pt idx="933">
                  <c:v>837.4075040097224</c:v>
                </c:pt>
                <c:pt idx="934">
                  <c:v>837.4075040097224</c:v>
                </c:pt>
                <c:pt idx="935">
                  <c:v>837.4075040097224</c:v>
                </c:pt>
                <c:pt idx="936">
                  <c:v>837.4075040097224</c:v>
                </c:pt>
                <c:pt idx="937">
                  <c:v>837.4075040097224</c:v>
                </c:pt>
                <c:pt idx="938">
                  <c:v>837.4075040097224</c:v>
                </c:pt>
                <c:pt idx="939">
                  <c:v>837.4075040097224</c:v>
                </c:pt>
                <c:pt idx="940">
                  <c:v>837.4075040097224</c:v>
                </c:pt>
                <c:pt idx="941">
                  <c:v>837.4075040097224</c:v>
                </c:pt>
                <c:pt idx="942">
                  <c:v>837.4075040097224</c:v>
                </c:pt>
                <c:pt idx="943">
                  <c:v>837.4075040097224</c:v>
                </c:pt>
                <c:pt idx="944">
                  <c:v>837.4075040097224</c:v>
                </c:pt>
                <c:pt idx="945">
                  <c:v>837.4075040097224</c:v>
                </c:pt>
                <c:pt idx="946">
                  <c:v>837.4075040097224</c:v>
                </c:pt>
                <c:pt idx="947">
                  <c:v>837.4075040097224</c:v>
                </c:pt>
                <c:pt idx="948">
                  <c:v>837.4075040097224</c:v>
                </c:pt>
                <c:pt idx="949">
                  <c:v>837.4075040097224</c:v>
                </c:pt>
                <c:pt idx="950">
                  <c:v>837.4075040097224</c:v>
                </c:pt>
                <c:pt idx="951">
                  <c:v>837.4075040097224</c:v>
                </c:pt>
                <c:pt idx="952">
                  <c:v>837.4075040097224</c:v>
                </c:pt>
                <c:pt idx="953">
                  <c:v>837.4075040097224</c:v>
                </c:pt>
                <c:pt idx="954">
                  <c:v>837.4075040097224</c:v>
                </c:pt>
                <c:pt idx="955">
                  <c:v>837.4075040097224</c:v>
                </c:pt>
                <c:pt idx="956">
                  <c:v>837.4075040097224</c:v>
                </c:pt>
                <c:pt idx="957">
                  <c:v>837.4075040097224</c:v>
                </c:pt>
                <c:pt idx="958">
                  <c:v>837.4075040097224</c:v>
                </c:pt>
                <c:pt idx="959">
                  <c:v>837.4075040097224</c:v>
                </c:pt>
                <c:pt idx="960">
                  <c:v>837.4075040097224</c:v>
                </c:pt>
                <c:pt idx="961">
                  <c:v>837.4075040097224</c:v>
                </c:pt>
                <c:pt idx="962">
                  <c:v>837.4075040097224</c:v>
                </c:pt>
                <c:pt idx="963">
                  <c:v>837.4075040097224</c:v>
                </c:pt>
                <c:pt idx="964">
                  <c:v>837.4075040097224</c:v>
                </c:pt>
                <c:pt idx="965">
                  <c:v>837.4075040097224</c:v>
                </c:pt>
                <c:pt idx="966">
                  <c:v>837.4075040097224</c:v>
                </c:pt>
                <c:pt idx="967">
                  <c:v>837.4075040097224</c:v>
                </c:pt>
                <c:pt idx="968">
                  <c:v>837.4075040097224</c:v>
                </c:pt>
                <c:pt idx="969">
                  <c:v>837.4075040097224</c:v>
                </c:pt>
                <c:pt idx="970">
                  <c:v>837.4075040097224</c:v>
                </c:pt>
                <c:pt idx="971">
                  <c:v>837.4075040097224</c:v>
                </c:pt>
                <c:pt idx="972">
                  <c:v>837.4075040097224</c:v>
                </c:pt>
                <c:pt idx="973">
                  <c:v>837.4075040097224</c:v>
                </c:pt>
                <c:pt idx="974">
                  <c:v>837.4075040097224</c:v>
                </c:pt>
                <c:pt idx="975">
                  <c:v>837.4075040097224</c:v>
                </c:pt>
                <c:pt idx="976">
                  <c:v>837.4075040097224</c:v>
                </c:pt>
                <c:pt idx="977">
                  <c:v>837.4075040097224</c:v>
                </c:pt>
                <c:pt idx="978">
                  <c:v>837.4075040097224</c:v>
                </c:pt>
                <c:pt idx="979">
                  <c:v>837.4075040097224</c:v>
                </c:pt>
                <c:pt idx="980">
                  <c:v>837.4075040097224</c:v>
                </c:pt>
                <c:pt idx="981">
                  <c:v>837.4075040097224</c:v>
                </c:pt>
                <c:pt idx="982">
                  <c:v>837.4075040097224</c:v>
                </c:pt>
                <c:pt idx="983">
                  <c:v>837.4075040097224</c:v>
                </c:pt>
                <c:pt idx="984">
                  <c:v>837.4075040097224</c:v>
                </c:pt>
                <c:pt idx="985">
                  <c:v>837.4075040097224</c:v>
                </c:pt>
                <c:pt idx="986">
                  <c:v>837.4075040097224</c:v>
                </c:pt>
                <c:pt idx="987">
                  <c:v>837.4075040097224</c:v>
                </c:pt>
                <c:pt idx="988">
                  <c:v>837.4075040097224</c:v>
                </c:pt>
                <c:pt idx="989">
                  <c:v>837.4075040097224</c:v>
                </c:pt>
                <c:pt idx="990">
                  <c:v>837.4075040097224</c:v>
                </c:pt>
                <c:pt idx="991">
                  <c:v>837.4075040097224</c:v>
                </c:pt>
                <c:pt idx="992">
                  <c:v>837.4075040097224</c:v>
                </c:pt>
                <c:pt idx="993">
                  <c:v>837.4075040097224</c:v>
                </c:pt>
                <c:pt idx="994">
                  <c:v>837.4075040097224</c:v>
                </c:pt>
                <c:pt idx="995">
                  <c:v>837.4075040097224</c:v>
                </c:pt>
                <c:pt idx="996">
                  <c:v>837.4075040097224</c:v>
                </c:pt>
                <c:pt idx="997">
                  <c:v>837.4075040097224</c:v>
                </c:pt>
                <c:pt idx="998">
                  <c:v>837.4075040097224</c:v>
                </c:pt>
                <c:pt idx="999">
                  <c:v>837.4075040097224</c:v>
                </c:pt>
                <c:pt idx="1000">
                  <c:v>837.4075040097224</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37.100000000000222</c:v>
                </c:pt>
                <c:pt idx="506">
                  <c:v>37.100100000000225</c:v>
                </c:pt>
                <c:pt idx="507">
                  <c:v>37.100200000000228</c:v>
                </c:pt>
                <c:pt idx="508">
                  <c:v>37.100300000000232</c:v>
                </c:pt>
                <c:pt idx="509">
                  <c:v>37.100400000000235</c:v>
                </c:pt>
                <c:pt idx="510">
                  <c:v>37.100500000000238</c:v>
                </c:pt>
                <c:pt idx="511">
                  <c:v>37.100600000000242</c:v>
                </c:pt>
                <c:pt idx="512">
                  <c:v>37.100700000000245</c:v>
                </c:pt>
                <c:pt idx="513">
                  <c:v>37.100800000000248</c:v>
                </c:pt>
                <c:pt idx="514">
                  <c:v>37.100900000000252</c:v>
                </c:pt>
                <c:pt idx="515">
                  <c:v>37.101000000000255</c:v>
                </c:pt>
                <c:pt idx="516">
                  <c:v>37.101100000000258</c:v>
                </c:pt>
                <c:pt idx="517">
                  <c:v>37.101200000000262</c:v>
                </c:pt>
                <c:pt idx="518">
                  <c:v>37.101300000000265</c:v>
                </c:pt>
                <c:pt idx="519">
                  <c:v>37.101400000000268</c:v>
                </c:pt>
                <c:pt idx="520">
                  <c:v>37.101500000000271</c:v>
                </c:pt>
                <c:pt idx="521">
                  <c:v>37.101600000000275</c:v>
                </c:pt>
                <c:pt idx="522">
                  <c:v>37.101700000000278</c:v>
                </c:pt>
                <c:pt idx="523">
                  <c:v>37.101800000000281</c:v>
                </c:pt>
                <c:pt idx="524">
                  <c:v>37.101900000000285</c:v>
                </c:pt>
                <c:pt idx="525">
                  <c:v>37.102000000000288</c:v>
                </c:pt>
                <c:pt idx="526">
                  <c:v>37.102100000000291</c:v>
                </c:pt>
                <c:pt idx="527">
                  <c:v>37.102200000000295</c:v>
                </c:pt>
                <c:pt idx="528">
                  <c:v>37.102300000000298</c:v>
                </c:pt>
                <c:pt idx="529">
                  <c:v>37.102400000000301</c:v>
                </c:pt>
                <c:pt idx="530">
                  <c:v>37.102500000000305</c:v>
                </c:pt>
                <c:pt idx="531">
                  <c:v>37.102600000000308</c:v>
                </c:pt>
                <c:pt idx="532">
                  <c:v>37.102700000000311</c:v>
                </c:pt>
                <c:pt idx="533">
                  <c:v>37.102800000000315</c:v>
                </c:pt>
                <c:pt idx="534">
                  <c:v>37.102900000000318</c:v>
                </c:pt>
                <c:pt idx="535">
                  <c:v>37.103000000000321</c:v>
                </c:pt>
                <c:pt idx="536">
                  <c:v>37.103100000000325</c:v>
                </c:pt>
                <c:pt idx="537">
                  <c:v>37.103200000000328</c:v>
                </c:pt>
                <c:pt idx="538">
                  <c:v>37.103300000000331</c:v>
                </c:pt>
                <c:pt idx="539">
                  <c:v>37.103400000000335</c:v>
                </c:pt>
                <c:pt idx="540">
                  <c:v>37.103500000000338</c:v>
                </c:pt>
                <c:pt idx="541">
                  <c:v>37.103600000000341</c:v>
                </c:pt>
                <c:pt idx="542">
                  <c:v>37.103700000000345</c:v>
                </c:pt>
                <c:pt idx="543">
                  <c:v>37.103800000000348</c:v>
                </c:pt>
                <c:pt idx="544">
                  <c:v>37.103900000000351</c:v>
                </c:pt>
                <c:pt idx="545">
                  <c:v>37.104000000000354</c:v>
                </c:pt>
                <c:pt idx="546">
                  <c:v>37.104100000000358</c:v>
                </c:pt>
                <c:pt idx="547">
                  <c:v>37.104200000000361</c:v>
                </c:pt>
                <c:pt idx="548">
                  <c:v>37.104300000000364</c:v>
                </c:pt>
                <c:pt idx="549">
                  <c:v>37.104400000000368</c:v>
                </c:pt>
                <c:pt idx="550">
                  <c:v>37.104500000000371</c:v>
                </c:pt>
                <c:pt idx="551">
                  <c:v>37.104600000000374</c:v>
                </c:pt>
                <c:pt idx="552">
                  <c:v>37.104700000000378</c:v>
                </c:pt>
                <c:pt idx="553">
                  <c:v>37.104800000000381</c:v>
                </c:pt>
                <c:pt idx="554">
                  <c:v>37.104900000000384</c:v>
                </c:pt>
                <c:pt idx="555">
                  <c:v>37.105000000000388</c:v>
                </c:pt>
                <c:pt idx="556">
                  <c:v>37.105100000000391</c:v>
                </c:pt>
                <c:pt idx="557">
                  <c:v>37.105200000000394</c:v>
                </c:pt>
                <c:pt idx="558">
                  <c:v>37.105300000000398</c:v>
                </c:pt>
                <c:pt idx="559">
                  <c:v>37.105400000000401</c:v>
                </c:pt>
                <c:pt idx="560">
                  <c:v>37.105500000000404</c:v>
                </c:pt>
                <c:pt idx="561">
                  <c:v>37.105600000000408</c:v>
                </c:pt>
                <c:pt idx="562">
                  <c:v>37.105700000000411</c:v>
                </c:pt>
                <c:pt idx="563">
                  <c:v>37.105800000000414</c:v>
                </c:pt>
                <c:pt idx="564">
                  <c:v>37.105900000000418</c:v>
                </c:pt>
                <c:pt idx="565">
                  <c:v>37.106000000000421</c:v>
                </c:pt>
                <c:pt idx="566">
                  <c:v>37.106100000000424</c:v>
                </c:pt>
                <c:pt idx="567">
                  <c:v>37.106200000000428</c:v>
                </c:pt>
                <c:pt idx="568">
                  <c:v>37.106300000000431</c:v>
                </c:pt>
                <c:pt idx="569">
                  <c:v>37.106400000000434</c:v>
                </c:pt>
                <c:pt idx="570">
                  <c:v>37.106500000000437</c:v>
                </c:pt>
                <c:pt idx="571">
                  <c:v>37.106600000000441</c:v>
                </c:pt>
                <c:pt idx="572">
                  <c:v>37.106700000000444</c:v>
                </c:pt>
                <c:pt idx="573">
                  <c:v>37.106800000000447</c:v>
                </c:pt>
                <c:pt idx="574">
                  <c:v>37.106900000000451</c:v>
                </c:pt>
                <c:pt idx="575">
                  <c:v>37.107000000000454</c:v>
                </c:pt>
                <c:pt idx="576">
                  <c:v>37.107100000000457</c:v>
                </c:pt>
                <c:pt idx="577">
                  <c:v>37.107200000000461</c:v>
                </c:pt>
                <c:pt idx="578">
                  <c:v>37.107300000000464</c:v>
                </c:pt>
                <c:pt idx="579">
                  <c:v>37.107400000000467</c:v>
                </c:pt>
                <c:pt idx="580">
                  <c:v>37.107500000000471</c:v>
                </c:pt>
                <c:pt idx="581">
                  <c:v>37.107600000000474</c:v>
                </c:pt>
                <c:pt idx="582">
                  <c:v>37.107700000000477</c:v>
                </c:pt>
                <c:pt idx="583">
                  <c:v>37.107800000000481</c:v>
                </c:pt>
                <c:pt idx="584">
                  <c:v>37.107900000000484</c:v>
                </c:pt>
                <c:pt idx="585">
                  <c:v>37.108000000000487</c:v>
                </c:pt>
                <c:pt idx="586">
                  <c:v>37.108100000000491</c:v>
                </c:pt>
                <c:pt idx="587">
                  <c:v>37.108200000000494</c:v>
                </c:pt>
                <c:pt idx="588">
                  <c:v>37.108300000000497</c:v>
                </c:pt>
                <c:pt idx="589">
                  <c:v>37.108400000000501</c:v>
                </c:pt>
                <c:pt idx="590">
                  <c:v>37.108500000000504</c:v>
                </c:pt>
                <c:pt idx="591">
                  <c:v>37.108600000000507</c:v>
                </c:pt>
                <c:pt idx="592">
                  <c:v>37.10870000000051</c:v>
                </c:pt>
                <c:pt idx="593">
                  <c:v>37.108800000000514</c:v>
                </c:pt>
                <c:pt idx="594">
                  <c:v>37.108900000000517</c:v>
                </c:pt>
                <c:pt idx="595">
                  <c:v>37.10900000000052</c:v>
                </c:pt>
                <c:pt idx="596">
                  <c:v>37.109100000000524</c:v>
                </c:pt>
                <c:pt idx="597">
                  <c:v>37.109200000000527</c:v>
                </c:pt>
                <c:pt idx="598">
                  <c:v>37.10930000000053</c:v>
                </c:pt>
                <c:pt idx="599">
                  <c:v>37.109400000000534</c:v>
                </c:pt>
                <c:pt idx="600">
                  <c:v>37.109500000000537</c:v>
                </c:pt>
                <c:pt idx="601">
                  <c:v>37.10960000000054</c:v>
                </c:pt>
                <c:pt idx="602">
                  <c:v>37.109700000000544</c:v>
                </c:pt>
                <c:pt idx="603">
                  <c:v>37.109800000000547</c:v>
                </c:pt>
                <c:pt idx="604">
                  <c:v>37.10990000000055</c:v>
                </c:pt>
                <c:pt idx="605">
                  <c:v>37.110000000000554</c:v>
                </c:pt>
                <c:pt idx="606">
                  <c:v>37.110100000000557</c:v>
                </c:pt>
                <c:pt idx="607">
                  <c:v>37.11020000000056</c:v>
                </c:pt>
                <c:pt idx="608">
                  <c:v>37.110300000000564</c:v>
                </c:pt>
                <c:pt idx="609">
                  <c:v>37.110400000000567</c:v>
                </c:pt>
                <c:pt idx="610">
                  <c:v>37.11050000000057</c:v>
                </c:pt>
                <c:pt idx="611">
                  <c:v>37.110600000000574</c:v>
                </c:pt>
                <c:pt idx="612">
                  <c:v>37.110700000000577</c:v>
                </c:pt>
                <c:pt idx="613">
                  <c:v>37.11080000000058</c:v>
                </c:pt>
                <c:pt idx="614">
                  <c:v>37.110900000000584</c:v>
                </c:pt>
                <c:pt idx="615">
                  <c:v>37.111000000000587</c:v>
                </c:pt>
                <c:pt idx="616">
                  <c:v>37.11110000000059</c:v>
                </c:pt>
                <c:pt idx="617">
                  <c:v>37.111200000000593</c:v>
                </c:pt>
                <c:pt idx="618">
                  <c:v>37.111300000000597</c:v>
                </c:pt>
                <c:pt idx="619">
                  <c:v>37.1114000000006</c:v>
                </c:pt>
                <c:pt idx="620">
                  <c:v>37.111500000000603</c:v>
                </c:pt>
                <c:pt idx="621">
                  <c:v>37.111600000000607</c:v>
                </c:pt>
                <c:pt idx="622">
                  <c:v>37.11170000000061</c:v>
                </c:pt>
                <c:pt idx="623">
                  <c:v>37.111800000000613</c:v>
                </c:pt>
                <c:pt idx="624">
                  <c:v>37.111900000000617</c:v>
                </c:pt>
                <c:pt idx="625">
                  <c:v>37.11200000000062</c:v>
                </c:pt>
                <c:pt idx="626">
                  <c:v>37.112100000000623</c:v>
                </c:pt>
                <c:pt idx="627">
                  <c:v>37.112200000000627</c:v>
                </c:pt>
                <c:pt idx="628">
                  <c:v>37.11230000000063</c:v>
                </c:pt>
                <c:pt idx="629">
                  <c:v>37.112400000000633</c:v>
                </c:pt>
                <c:pt idx="630">
                  <c:v>37.112500000000637</c:v>
                </c:pt>
                <c:pt idx="631">
                  <c:v>37.11260000000064</c:v>
                </c:pt>
                <c:pt idx="632">
                  <c:v>37.112700000000643</c:v>
                </c:pt>
                <c:pt idx="633">
                  <c:v>37.112800000000647</c:v>
                </c:pt>
                <c:pt idx="634">
                  <c:v>37.11290000000065</c:v>
                </c:pt>
                <c:pt idx="635">
                  <c:v>37.113000000000653</c:v>
                </c:pt>
                <c:pt idx="636">
                  <c:v>37.113100000000657</c:v>
                </c:pt>
                <c:pt idx="637">
                  <c:v>37.11320000000066</c:v>
                </c:pt>
                <c:pt idx="638">
                  <c:v>37.113300000000663</c:v>
                </c:pt>
                <c:pt idx="639">
                  <c:v>37.113400000000667</c:v>
                </c:pt>
                <c:pt idx="640">
                  <c:v>37.11350000000067</c:v>
                </c:pt>
                <c:pt idx="641">
                  <c:v>37.113600000000673</c:v>
                </c:pt>
                <c:pt idx="642">
                  <c:v>37.113700000000676</c:v>
                </c:pt>
                <c:pt idx="643">
                  <c:v>37.11380000000068</c:v>
                </c:pt>
                <c:pt idx="644">
                  <c:v>37.113900000000683</c:v>
                </c:pt>
                <c:pt idx="645">
                  <c:v>37.114000000000686</c:v>
                </c:pt>
                <c:pt idx="646">
                  <c:v>37.11410000000069</c:v>
                </c:pt>
                <c:pt idx="647">
                  <c:v>37.114200000000693</c:v>
                </c:pt>
                <c:pt idx="648">
                  <c:v>37.114300000000696</c:v>
                </c:pt>
                <c:pt idx="649">
                  <c:v>37.1144000000007</c:v>
                </c:pt>
                <c:pt idx="650">
                  <c:v>37.114500000000703</c:v>
                </c:pt>
                <c:pt idx="651">
                  <c:v>37.114600000000706</c:v>
                </c:pt>
                <c:pt idx="652">
                  <c:v>37.11470000000071</c:v>
                </c:pt>
                <c:pt idx="653">
                  <c:v>37.114800000000713</c:v>
                </c:pt>
                <c:pt idx="654">
                  <c:v>37.114900000000716</c:v>
                </c:pt>
                <c:pt idx="655">
                  <c:v>37.11500000000072</c:v>
                </c:pt>
                <c:pt idx="656">
                  <c:v>37.115100000000723</c:v>
                </c:pt>
                <c:pt idx="657">
                  <c:v>37.115200000000726</c:v>
                </c:pt>
                <c:pt idx="658">
                  <c:v>37.11530000000073</c:v>
                </c:pt>
                <c:pt idx="659">
                  <c:v>37.115400000000733</c:v>
                </c:pt>
                <c:pt idx="660">
                  <c:v>37.115500000000736</c:v>
                </c:pt>
                <c:pt idx="661">
                  <c:v>37.11560000000074</c:v>
                </c:pt>
                <c:pt idx="662">
                  <c:v>37.115700000000743</c:v>
                </c:pt>
                <c:pt idx="663">
                  <c:v>37.115800000000746</c:v>
                </c:pt>
                <c:pt idx="664">
                  <c:v>37.11590000000075</c:v>
                </c:pt>
                <c:pt idx="665">
                  <c:v>37.116000000000753</c:v>
                </c:pt>
                <c:pt idx="666">
                  <c:v>37.116100000000756</c:v>
                </c:pt>
                <c:pt idx="667">
                  <c:v>37.116200000000759</c:v>
                </c:pt>
                <c:pt idx="668">
                  <c:v>37.116300000000763</c:v>
                </c:pt>
                <c:pt idx="669">
                  <c:v>37.116400000000766</c:v>
                </c:pt>
                <c:pt idx="670">
                  <c:v>37.116500000000769</c:v>
                </c:pt>
                <c:pt idx="671">
                  <c:v>37.116600000000773</c:v>
                </c:pt>
                <c:pt idx="672">
                  <c:v>37.116700000000776</c:v>
                </c:pt>
                <c:pt idx="673">
                  <c:v>37.116800000000779</c:v>
                </c:pt>
                <c:pt idx="674">
                  <c:v>37.116900000000783</c:v>
                </c:pt>
                <c:pt idx="675">
                  <c:v>37.117000000000786</c:v>
                </c:pt>
                <c:pt idx="676">
                  <c:v>37.117100000000789</c:v>
                </c:pt>
                <c:pt idx="677">
                  <c:v>37.117200000000793</c:v>
                </c:pt>
                <c:pt idx="678">
                  <c:v>37.117300000000796</c:v>
                </c:pt>
                <c:pt idx="679">
                  <c:v>37.117400000000799</c:v>
                </c:pt>
                <c:pt idx="680">
                  <c:v>37.117500000000803</c:v>
                </c:pt>
                <c:pt idx="681">
                  <c:v>37.117600000000806</c:v>
                </c:pt>
                <c:pt idx="682">
                  <c:v>37.117700000000809</c:v>
                </c:pt>
                <c:pt idx="683">
                  <c:v>37.117800000000813</c:v>
                </c:pt>
                <c:pt idx="684">
                  <c:v>37.117900000000816</c:v>
                </c:pt>
                <c:pt idx="685">
                  <c:v>37.118000000000819</c:v>
                </c:pt>
                <c:pt idx="686">
                  <c:v>37.118100000000823</c:v>
                </c:pt>
                <c:pt idx="687">
                  <c:v>37.118200000000826</c:v>
                </c:pt>
                <c:pt idx="688">
                  <c:v>37.118300000000829</c:v>
                </c:pt>
                <c:pt idx="689">
                  <c:v>37.118400000000833</c:v>
                </c:pt>
                <c:pt idx="690">
                  <c:v>37.118500000000836</c:v>
                </c:pt>
                <c:pt idx="691">
                  <c:v>37.118600000000839</c:v>
                </c:pt>
                <c:pt idx="692">
                  <c:v>37.118700000000842</c:v>
                </c:pt>
                <c:pt idx="693">
                  <c:v>37.118800000000846</c:v>
                </c:pt>
                <c:pt idx="694">
                  <c:v>37.118900000000849</c:v>
                </c:pt>
                <c:pt idx="695">
                  <c:v>37.119000000000852</c:v>
                </c:pt>
                <c:pt idx="696">
                  <c:v>37.119100000000856</c:v>
                </c:pt>
                <c:pt idx="697">
                  <c:v>37.119200000000859</c:v>
                </c:pt>
                <c:pt idx="698">
                  <c:v>37.119300000000862</c:v>
                </c:pt>
                <c:pt idx="699">
                  <c:v>37.119400000000866</c:v>
                </c:pt>
                <c:pt idx="700">
                  <c:v>37.119500000000869</c:v>
                </c:pt>
                <c:pt idx="701">
                  <c:v>37.119600000000872</c:v>
                </c:pt>
                <c:pt idx="702">
                  <c:v>37.119700000000876</c:v>
                </c:pt>
                <c:pt idx="703">
                  <c:v>37.119800000000879</c:v>
                </c:pt>
                <c:pt idx="704">
                  <c:v>37.119900000000882</c:v>
                </c:pt>
                <c:pt idx="705">
                  <c:v>37.120000000000886</c:v>
                </c:pt>
                <c:pt idx="706">
                  <c:v>37.120100000000889</c:v>
                </c:pt>
                <c:pt idx="707">
                  <c:v>37.120200000000892</c:v>
                </c:pt>
                <c:pt idx="708">
                  <c:v>37.120300000000896</c:v>
                </c:pt>
                <c:pt idx="709">
                  <c:v>37.120400000000899</c:v>
                </c:pt>
                <c:pt idx="710">
                  <c:v>37.120500000000902</c:v>
                </c:pt>
                <c:pt idx="711">
                  <c:v>37.120600000000906</c:v>
                </c:pt>
                <c:pt idx="712">
                  <c:v>37.120700000000909</c:v>
                </c:pt>
                <c:pt idx="713">
                  <c:v>37.120800000000912</c:v>
                </c:pt>
                <c:pt idx="714">
                  <c:v>37.120900000000915</c:v>
                </c:pt>
                <c:pt idx="715">
                  <c:v>37.121000000000919</c:v>
                </c:pt>
                <c:pt idx="716">
                  <c:v>37.121100000000922</c:v>
                </c:pt>
                <c:pt idx="717">
                  <c:v>37.121200000000925</c:v>
                </c:pt>
                <c:pt idx="718">
                  <c:v>37.121300000000929</c:v>
                </c:pt>
                <c:pt idx="719">
                  <c:v>37.121400000000932</c:v>
                </c:pt>
                <c:pt idx="720">
                  <c:v>37.121500000000935</c:v>
                </c:pt>
                <c:pt idx="721">
                  <c:v>37.121600000000939</c:v>
                </c:pt>
                <c:pt idx="722">
                  <c:v>37.121700000000942</c:v>
                </c:pt>
                <c:pt idx="723">
                  <c:v>37.121800000000945</c:v>
                </c:pt>
                <c:pt idx="724">
                  <c:v>37.121900000000949</c:v>
                </c:pt>
                <c:pt idx="725">
                  <c:v>37.122000000000952</c:v>
                </c:pt>
                <c:pt idx="726">
                  <c:v>37.122100000000955</c:v>
                </c:pt>
                <c:pt idx="727">
                  <c:v>37.122200000000959</c:v>
                </c:pt>
                <c:pt idx="728">
                  <c:v>37.122300000000962</c:v>
                </c:pt>
                <c:pt idx="729">
                  <c:v>37.122400000000965</c:v>
                </c:pt>
                <c:pt idx="730">
                  <c:v>37.122500000000969</c:v>
                </c:pt>
                <c:pt idx="731">
                  <c:v>37.122600000000972</c:v>
                </c:pt>
                <c:pt idx="732">
                  <c:v>37.122700000000975</c:v>
                </c:pt>
                <c:pt idx="733">
                  <c:v>37.122800000000979</c:v>
                </c:pt>
                <c:pt idx="734">
                  <c:v>37.122900000000982</c:v>
                </c:pt>
                <c:pt idx="735">
                  <c:v>37.123000000000985</c:v>
                </c:pt>
                <c:pt idx="736">
                  <c:v>37.123100000000989</c:v>
                </c:pt>
                <c:pt idx="737">
                  <c:v>37.123200000000992</c:v>
                </c:pt>
                <c:pt idx="738">
                  <c:v>37.123300000000995</c:v>
                </c:pt>
                <c:pt idx="739">
                  <c:v>37.123400000000998</c:v>
                </c:pt>
                <c:pt idx="740">
                  <c:v>37.123500000001002</c:v>
                </c:pt>
                <c:pt idx="741">
                  <c:v>37.123600000001005</c:v>
                </c:pt>
                <c:pt idx="742">
                  <c:v>37.123700000001008</c:v>
                </c:pt>
                <c:pt idx="743">
                  <c:v>37.123800000001012</c:v>
                </c:pt>
                <c:pt idx="744">
                  <c:v>37.123900000001015</c:v>
                </c:pt>
                <c:pt idx="745">
                  <c:v>37.124000000001018</c:v>
                </c:pt>
                <c:pt idx="746">
                  <c:v>37.124100000001022</c:v>
                </c:pt>
                <c:pt idx="747">
                  <c:v>37.124200000001025</c:v>
                </c:pt>
                <c:pt idx="748">
                  <c:v>37.124300000001028</c:v>
                </c:pt>
                <c:pt idx="749">
                  <c:v>37.124400000001032</c:v>
                </c:pt>
                <c:pt idx="750">
                  <c:v>37.124500000001035</c:v>
                </c:pt>
                <c:pt idx="751">
                  <c:v>37.124600000001038</c:v>
                </c:pt>
                <c:pt idx="752">
                  <c:v>37.124700000001042</c:v>
                </c:pt>
                <c:pt idx="753">
                  <c:v>37.124800000001045</c:v>
                </c:pt>
                <c:pt idx="754">
                  <c:v>37.124900000001048</c:v>
                </c:pt>
                <c:pt idx="755">
                  <c:v>37.125000000001052</c:v>
                </c:pt>
                <c:pt idx="756">
                  <c:v>37.125100000001055</c:v>
                </c:pt>
                <c:pt idx="757">
                  <c:v>37.125200000001058</c:v>
                </c:pt>
                <c:pt idx="758">
                  <c:v>37.125300000001062</c:v>
                </c:pt>
                <c:pt idx="759">
                  <c:v>37.125400000001065</c:v>
                </c:pt>
                <c:pt idx="760">
                  <c:v>37.125500000001068</c:v>
                </c:pt>
                <c:pt idx="761">
                  <c:v>37.125600000001072</c:v>
                </c:pt>
                <c:pt idx="762">
                  <c:v>37.125700000001075</c:v>
                </c:pt>
                <c:pt idx="763">
                  <c:v>37.125800000001078</c:v>
                </c:pt>
                <c:pt idx="764">
                  <c:v>37.125900000001081</c:v>
                </c:pt>
                <c:pt idx="765">
                  <c:v>37.126000000001085</c:v>
                </c:pt>
                <c:pt idx="766">
                  <c:v>37.126100000001088</c:v>
                </c:pt>
                <c:pt idx="767">
                  <c:v>37.126200000001091</c:v>
                </c:pt>
                <c:pt idx="768">
                  <c:v>37.126300000001095</c:v>
                </c:pt>
                <c:pt idx="769">
                  <c:v>37.126400000001098</c:v>
                </c:pt>
                <c:pt idx="770">
                  <c:v>37.126500000001101</c:v>
                </c:pt>
                <c:pt idx="771">
                  <c:v>37.126600000001105</c:v>
                </c:pt>
                <c:pt idx="772">
                  <c:v>37.126700000001108</c:v>
                </c:pt>
                <c:pt idx="773">
                  <c:v>37.126800000001111</c:v>
                </c:pt>
                <c:pt idx="774">
                  <c:v>37.126900000001115</c:v>
                </c:pt>
                <c:pt idx="775">
                  <c:v>37.127000000001118</c:v>
                </c:pt>
                <c:pt idx="776">
                  <c:v>37.127100000001121</c:v>
                </c:pt>
                <c:pt idx="777">
                  <c:v>37.127200000001125</c:v>
                </c:pt>
                <c:pt idx="778">
                  <c:v>37.127300000001128</c:v>
                </c:pt>
                <c:pt idx="779">
                  <c:v>37.127400000001131</c:v>
                </c:pt>
                <c:pt idx="780">
                  <c:v>37.127500000001135</c:v>
                </c:pt>
                <c:pt idx="781">
                  <c:v>37.127600000001138</c:v>
                </c:pt>
                <c:pt idx="782">
                  <c:v>37.127700000001141</c:v>
                </c:pt>
                <c:pt idx="783">
                  <c:v>37.127800000001145</c:v>
                </c:pt>
                <c:pt idx="784">
                  <c:v>37.127900000001148</c:v>
                </c:pt>
                <c:pt idx="785">
                  <c:v>37.128000000001151</c:v>
                </c:pt>
                <c:pt idx="786">
                  <c:v>37.128100000001155</c:v>
                </c:pt>
                <c:pt idx="787">
                  <c:v>37.128200000001158</c:v>
                </c:pt>
                <c:pt idx="788">
                  <c:v>37.128300000001161</c:v>
                </c:pt>
                <c:pt idx="789">
                  <c:v>37.128400000001164</c:v>
                </c:pt>
                <c:pt idx="790">
                  <c:v>37.128500000001168</c:v>
                </c:pt>
                <c:pt idx="791">
                  <c:v>37.128600000001171</c:v>
                </c:pt>
                <c:pt idx="792">
                  <c:v>37.128700000001174</c:v>
                </c:pt>
                <c:pt idx="793">
                  <c:v>37.128800000001178</c:v>
                </c:pt>
                <c:pt idx="794">
                  <c:v>37.128900000001181</c:v>
                </c:pt>
                <c:pt idx="795">
                  <c:v>37.129000000001184</c:v>
                </c:pt>
                <c:pt idx="796">
                  <c:v>37.129100000001188</c:v>
                </c:pt>
                <c:pt idx="797">
                  <c:v>37.129200000001191</c:v>
                </c:pt>
                <c:pt idx="798">
                  <c:v>37.129300000001194</c:v>
                </c:pt>
                <c:pt idx="799">
                  <c:v>37.129400000001198</c:v>
                </c:pt>
                <c:pt idx="800">
                  <c:v>37.129500000001201</c:v>
                </c:pt>
                <c:pt idx="801">
                  <c:v>37.129600000001204</c:v>
                </c:pt>
                <c:pt idx="802">
                  <c:v>37.129700000001208</c:v>
                </c:pt>
                <c:pt idx="803">
                  <c:v>37.129800000001211</c:v>
                </c:pt>
                <c:pt idx="804">
                  <c:v>37.129900000001214</c:v>
                </c:pt>
                <c:pt idx="805">
                  <c:v>37.130000000001218</c:v>
                </c:pt>
                <c:pt idx="806">
                  <c:v>37.130100000001221</c:v>
                </c:pt>
                <c:pt idx="807">
                  <c:v>37.130200000001224</c:v>
                </c:pt>
                <c:pt idx="808">
                  <c:v>37.130300000001228</c:v>
                </c:pt>
                <c:pt idx="809">
                  <c:v>37.130400000001231</c:v>
                </c:pt>
                <c:pt idx="810">
                  <c:v>37.130500000001234</c:v>
                </c:pt>
                <c:pt idx="811">
                  <c:v>37.130600000001238</c:v>
                </c:pt>
                <c:pt idx="812">
                  <c:v>37.130700000001241</c:v>
                </c:pt>
                <c:pt idx="813">
                  <c:v>37.130800000001244</c:v>
                </c:pt>
                <c:pt idx="814">
                  <c:v>37.130900000001247</c:v>
                </c:pt>
                <c:pt idx="815">
                  <c:v>37.131000000001251</c:v>
                </c:pt>
                <c:pt idx="816">
                  <c:v>37.131100000001254</c:v>
                </c:pt>
                <c:pt idx="817">
                  <c:v>37.131200000001257</c:v>
                </c:pt>
                <c:pt idx="818">
                  <c:v>37.131300000001261</c:v>
                </c:pt>
                <c:pt idx="819">
                  <c:v>37.131400000001264</c:v>
                </c:pt>
                <c:pt idx="820">
                  <c:v>37.131500000001267</c:v>
                </c:pt>
                <c:pt idx="821">
                  <c:v>37.131600000001271</c:v>
                </c:pt>
                <c:pt idx="822">
                  <c:v>37.131700000001274</c:v>
                </c:pt>
                <c:pt idx="823">
                  <c:v>37.131800000001277</c:v>
                </c:pt>
                <c:pt idx="824">
                  <c:v>37.131900000001281</c:v>
                </c:pt>
                <c:pt idx="825">
                  <c:v>37.132000000001284</c:v>
                </c:pt>
                <c:pt idx="826">
                  <c:v>37.132100000001287</c:v>
                </c:pt>
                <c:pt idx="827">
                  <c:v>37.132200000001291</c:v>
                </c:pt>
                <c:pt idx="828">
                  <c:v>37.132300000001294</c:v>
                </c:pt>
                <c:pt idx="829">
                  <c:v>37.132400000001297</c:v>
                </c:pt>
                <c:pt idx="830">
                  <c:v>37.132500000001301</c:v>
                </c:pt>
                <c:pt idx="831">
                  <c:v>37.132600000001304</c:v>
                </c:pt>
                <c:pt idx="832">
                  <c:v>37.132700000001307</c:v>
                </c:pt>
                <c:pt idx="833">
                  <c:v>37.132800000001311</c:v>
                </c:pt>
                <c:pt idx="834">
                  <c:v>37.132900000001314</c:v>
                </c:pt>
                <c:pt idx="835">
                  <c:v>37.133000000001317</c:v>
                </c:pt>
                <c:pt idx="836">
                  <c:v>37.13310000000132</c:v>
                </c:pt>
                <c:pt idx="837">
                  <c:v>37.133200000001324</c:v>
                </c:pt>
                <c:pt idx="838">
                  <c:v>37.133300000001327</c:v>
                </c:pt>
                <c:pt idx="839">
                  <c:v>37.13340000000133</c:v>
                </c:pt>
                <c:pt idx="840">
                  <c:v>37.133500000001334</c:v>
                </c:pt>
                <c:pt idx="841">
                  <c:v>37.133600000001337</c:v>
                </c:pt>
                <c:pt idx="842">
                  <c:v>37.13370000000134</c:v>
                </c:pt>
                <c:pt idx="843">
                  <c:v>37.133800000001344</c:v>
                </c:pt>
                <c:pt idx="844">
                  <c:v>37.133900000001347</c:v>
                </c:pt>
                <c:pt idx="845">
                  <c:v>37.13400000000135</c:v>
                </c:pt>
                <c:pt idx="846">
                  <c:v>37.134100000001354</c:v>
                </c:pt>
                <c:pt idx="847">
                  <c:v>37.134200000001357</c:v>
                </c:pt>
                <c:pt idx="848">
                  <c:v>37.13430000000136</c:v>
                </c:pt>
                <c:pt idx="849">
                  <c:v>37.134400000001364</c:v>
                </c:pt>
                <c:pt idx="850">
                  <c:v>37.134500000001367</c:v>
                </c:pt>
                <c:pt idx="851">
                  <c:v>37.13460000000137</c:v>
                </c:pt>
                <c:pt idx="852">
                  <c:v>37.134700000001374</c:v>
                </c:pt>
                <c:pt idx="853">
                  <c:v>37.134800000001377</c:v>
                </c:pt>
                <c:pt idx="854">
                  <c:v>37.13490000000138</c:v>
                </c:pt>
                <c:pt idx="855">
                  <c:v>37.135000000001384</c:v>
                </c:pt>
                <c:pt idx="856">
                  <c:v>37.135100000001387</c:v>
                </c:pt>
                <c:pt idx="857">
                  <c:v>37.13520000000139</c:v>
                </c:pt>
                <c:pt idx="858">
                  <c:v>37.135300000001394</c:v>
                </c:pt>
                <c:pt idx="859">
                  <c:v>37.135400000001397</c:v>
                </c:pt>
                <c:pt idx="860">
                  <c:v>37.1355000000014</c:v>
                </c:pt>
                <c:pt idx="861">
                  <c:v>37.135600000001403</c:v>
                </c:pt>
                <c:pt idx="862">
                  <c:v>37.135700000001407</c:v>
                </c:pt>
                <c:pt idx="863">
                  <c:v>37.13580000000141</c:v>
                </c:pt>
                <c:pt idx="864">
                  <c:v>37.135900000001413</c:v>
                </c:pt>
                <c:pt idx="865">
                  <c:v>37.136000000001417</c:v>
                </c:pt>
                <c:pt idx="866">
                  <c:v>37.13610000000142</c:v>
                </c:pt>
                <c:pt idx="867">
                  <c:v>37.136200000001423</c:v>
                </c:pt>
                <c:pt idx="868">
                  <c:v>37.136300000001427</c:v>
                </c:pt>
                <c:pt idx="869">
                  <c:v>37.13640000000143</c:v>
                </c:pt>
                <c:pt idx="870">
                  <c:v>37.136500000001433</c:v>
                </c:pt>
                <c:pt idx="871">
                  <c:v>37.136600000001437</c:v>
                </c:pt>
                <c:pt idx="872">
                  <c:v>37.13670000000144</c:v>
                </c:pt>
                <c:pt idx="873">
                  <c:v>37.136800000001443</c:v>
                </c:pt>
                <c:pt idx="874">
                  <c:v>37.136900000001447</c:v>
                </c:pt>
                <c:pt idx="875">
                  <c:v>37.13700000000145</c:v>
                </c:pt>
                <c:pt idx="876">
                  <c:v>37.137100000001453</c:v>
                </c:pt>
                <c:pt idx="877">
                  <c:v>37.137200000001457</c:v>
                </c:pt>
                <c:pt idx="878">
                  <c:v>37.13730000000146</c:v>
                </c:pt>
                <c:pt idx="879">
                  <c:v>37.137400000001463</c:v>
                </c:pt>
                <c:pt idx="880">
                  <c:v>37.137500000001467</c:v>
                </c:pt>
                <c:pt idx="881">
                  <c:v>37.13760000000147</c:v>
                </c:pt>
                <c:pt idx="882">
                  <c:v>37.137700000001473</c:v>
                </c:pt>
                <c:pt idx="883">
                  <c:v>37.137800000001477</c:v>
                </c:pt>
                <c:pt idx="884">
                  <c:v>37.13790000000148</c:v>
                </c:pt>
                <c:pt idx="885">
                  <c:v>37.138000000001483</c:v>
                </c:pt>
                <c:pt idx="886">
                  <c:v>37.138100000001486</c:v>
                </c:pt>
                <c:pt idx="887">
                  <c:v>37.13820000000149</c:v>
                </c:pt>
                <c:pt idx="888">
                  <c:v>37.138300000001493</c:v>
                </c:pt>
                <c:pt idx="889">
                  <c:v>37.138400000001496</c:v>
                </c:pt>
                <c:pt idx="890">
                  <c:v>37.1385000000015</c:v>
                </c:pt>
                <c:pt idx="891">
                  <c:v>37.138600000001503</c:v>
                </c:pt>
                <c:pt idx="892">
                  <c:v>37.138700000001506</c:v>
                </c:pt>
                <c:pt idx="893">
                  <c:v>37.13880000000151</c:v>
                </c:pt>
                <c:pt idx="894">
                  <c:v>37.138900000001513</c:v>
                </c:pt>
                <c:pt idx="895">
                  <c:v>37.139000000001516</c:v>
                </c:pt>
                <c:pt idx="896">
                  <c:v>37.13910000000152</c:v>
                </c:pt>
                <c:pt idx="897">
                  <c:v>37.139200000001523</c:v>
                </c:pt>
                <c:pt idx="898">
                  <c:v>37.139300000001526</c:v>
                </c:pt>
                <c:pt idx="899">
                  <c:v>37.13940000000153</c:v>
                </c:pt>
                <c:pt idx="900">
                  <c:v>37.139500000001533</c:v>
                </c:pt>
                <c:pt idx="901">
                  <c:v>37.139600000001536</c:v>
                </c:pt>
                <c:pt idx="902">
                  <c:v>37.13970000000154</c:v>
                </c:pt>
                <c:pt idx="903">
                  <c:v>37.139800000001543</c:v>
                </c:pt>
                <c:pt idx="904">
                  <c:v>37.139900000001546</c:v>
                </c:pt>
                <c:pt idx="905">
                  <c:v>37.14000000000155</c:v>
                </c:pt>
                <c:pt idx="906">
                  <c:v>37.140100000001553</c:v>
                </c:pt>
                <c:pt idx="907">
                  <c:v>37.140200000001556</c:v>
                </c:pt>
                <c:pt idx="908">
                  <c:v>37.14030000000156</c:v>
                </c:pt>
                <c:pt idx="909">
                  <c:v>37.140400000001563</c:v>
                </c:pt>
                <c:pt idx="910">
                  <c:v>37.140500000001566</c:v>
                </c:pt>
                <c:pt idx="911">
                  <c:v>37.140600000001569</c:v>
                </c:pt>
                <c:pt idx="912">
                  <c:v>37.140700000001573</c:v>
                </c:pt>
                <c:pt idx="913">
                  <c:v>37.140800000001576</c:v>
                </c:pt>
                <c:pt idx="914">
                  <c:v>37.140900000001579</c:v>
                </c:pt>
                <c:pt idx="915">
                  <c:v>37.141000000001583</c:v>
                </c:pt>
                <c:pt idx="916">
                  <c:v>37.141100000001586</c:v>
                </c:pt>
                <c:pt idx="917">
                  <c:v>37.141200000001589</c:v>
                </c:pt>
                <c:pt idx="918">
                  <c:v>37.141300000001593</c:v>
                </c:pt>
                <c:pt idx="919">
                  <c:v>37.141400000001596</c:v>
                </c:pt>
                <c:pt idx="920">
                  <c:v>37.141500000001599</c:v>
                </c:pt>
                <c:pt idx="921">
                  <c:v>37.141600000001603</c:v>
                </c:pt>
                <c:pt idx="922">
                  <c:v>37.141700000001606</c:v>
                </c:pt>
                <c:pt idx="923">
                  <c:v>37.141800000001609</c:v>
                </c:pt>
                <c:pt idx="924">
                  <c:v>37.141900000001613</c:v>
                </c:pt>
                <c:pt idx="925">
                  <c:v>37.142000000001616</c:v>
                </c:pt>
                <c:pt idx="926">
                  <c:v>37.142100000001619</c:v>
                </c:pt>
                <c:pt idx="927">
                  <c:v>37.142200000001623</c:v>
                </c:pt>
                <c:pt idx="928">
                  <c:v>37.142300000001626</c:v>
                </c:pt>
                <c:pt idx="929">
                  <c:v>37.142400000001629</c:v>
                </c:pt>
                <c:pt idx="930">
                  <c:v>37.142500000001633</c:v>
                </c:pt>
                <c:pt idx="931">
                  <c:v>37.142600000001636</c:v>
                </c:pt>
                <c:pt idx="932">
                  <c:v>37.142700000001639</c:v>
                </c:pt>
                <c:pt idx="933">
                  <c:v>37.142800000001643</c:v>
                </c:pt>
                <c:pt idx="934">
                  <c:v>37.142900000001646</c:v>
                </c:pt>
                <c:pt idx="935">
                  <c:v>37.143000000001649</c:v>
                </c:pt>
                <c:pt idx="936">
                  <c:v>37.143100000001652</c:v>
                </c:pt>
                <c:pt idx="937">
                  <c:v>37.143200000001656</c:v>
                </c:pt>
                <c:pt idx="938">
                  <c:v>37.143300000001659</c:v>
                </c:pt>
                <c:pt idx="939">
                  <c:v>37.143400000001662</c:v>
                </c:pt>
                <c:pt idx="940">
                  <c:v>37.143500000001666</c:v>
                </c:pt>
                <c:pt idx="941">
                  <c:v>37.143600000001669</c:v>
                </c:pt>
                <c:pt idx="942">
                  <c:v>37.143700000001672</c:v>
                </c:pt>
                <c:pt idx="943">
                  <c:v>37.143800000001676</c:v>
                </c:pt>
                <c:pt idx="944">
                  <c:v>37.143900000001679</c:v>
                </c:pt>
                <c:pt idx="945">
                  <c:v>37.144000000001682</c:v>
                </c:pt>
                <c:pt idx="946">
                  <c:v>37.144100000001686</c:v>
                </c:pt>
                <c:pt idx="947">
                  <c:v>37.144200000001689</c:v>
                </c:pt>
                <c:pt idx="948">
                  <c:v>37.144300000001692</c:v>
                </c:pt>
                <c:pt idx="949">
                  <c:v>37.144400000001696</c:v>
                </c:pt>
                <c:pt idx="950">
                  <c:v>37.144500000001699</c:v>
                </c:pt>
                <c:pt idx="951">
                  <c:v>37.144600000001702</c:v>
                </c:pt>
                <c:pt idx="952">
                  <c:v>37.144700000001706</c:v>
                </c:pt>
                <c:pt idx="953">
                  <c:v>37.144800000001709</c:v>
                </c:pt>
                <c:pt idx="954">
                  <c:v>37.144900000001712</c:v>
                </c:pt>
                <c:pt idx="955">
                  <c:v>37.145000000001716</c:v>
                </c:pt>
                <c:pt idx="956">
                  <c:v>37.145100000001719</c:v>
                </c:pt>
                <c:pt idx="957">
                  <c:v>37.145200000001722</c:v>
                </c:pt>
                <c:pt idx="958">
                  <c:v>37.145300000001725</c:v>
                </c:pt>
                <c:pt idx="959">
                  <c:v>37.145400000001729</c:v>
                </c:pt>
                <c:pt idx="960">
                  <c:v>37.145500000001732</c:v>
                </c:pt>
                <c:pt idx="961">
                  <c:v>37.145600000001735</c:v>
                </c:pt>
                <c:pt idx="962">
                  <c:v>37.145700000001739</c:v>
                </c:pt>
                <c:pt idx="963">
                  <c:v>37.145800000001742</c:v>
                </c:pt>
                <c:pt idx="964">
                  <c:v>37.145900000001745</c:v>
                </c:pt>
                <c:pt idx="965">
                  <c:v>37.146000000001749</c:v>
                </c:pt>
                <c:pt idx="966">
                  <c:v>37.146100000001752</c:v>
                </c:pt>
                <c:pt idx="967">
                  <c:v>37.146200000001755</c:v>
                </c:pt>
                <c:pt idx="968">
                  <c:v>37.146300000001759</c:v>
                </c:pt>
                <c:pt idx="969">
                  <c:v>37.146400000001762</c:v>
                </c:pt>
                <c:pt idx="970">
                  <c:v>37.146500000001765</c:v>
                </c:pt>
                <c:pt idx="971">
                  <c:v>37.146600000001769</c:v>
                </c:pt>
                <c:pt idx="972">
                  <c:v>37.146700000001772</c:v>
                </c:pt>
                <c:pt idx="973">
                  <c:v>37.146800000001775</c:v>
                </c:pt>
                <c:pt idx="974">
                  <c:v>37.146900000001779</c:v>
                </c:pt>
                <c:pt idx="975">
                  <c:v>37.147000000001782</c:v>
                </c:pt>
                <c:pt idx="976">
                  <c:v>37.147100000001785</c:v>
                </c:pt>
                <c:pt idx="977">
                  <c:v>37.147200000001789</c:v>
                </c:pt>
                <c:pt idx="978">
                  <c:v>37.147300000001792</c:v>
                </c:pt>
                <c:pt idx="979">
                  <c:v>37.147400000001795</c:v>
                </c:pt>
                <c:pt idx="980">
                  <c:v>37.147500000001799</c:v>
                </c:pt>
                <c:pt idx="981">
                  <c:v>37.147600000001802</c:v>
                </c:pt>
                <c:pt idx="982">
                  <c:v>37.147700000001805</c:v>
                </c:pt>
                <c:pt idx="983">
                  <c:v>37.147800000001808</c:v>
                </c:pt>
                <c:pt idx="984">
                  <c:v>37.147900000001812</c:v>
                </c:pt>
                <c:pt idx="985">
                  <c:v>37.148000000001815</c:v>
                </c:pt>
                <c:pt idx="986">
                  <c:v>37.148100000001818</c:v>
                </c:pt>
                <c:pt idx="987">
                  <c:v>37.148200000001822</c:v>
                </c:pt>
                <c:pt idx="988">
                  <c:v>37.148300000001825</c:v>
                </c:pt>
                <c:pt idx="989">
                  <c:v>37.148400000001828</c:v>
                </c:pt>
                <c:pt idx="990">
                  <c:v>37.148500000001832</c:v>
                </c:pt>
                <c:pt idx="991">
                  <c:v>37.148600000001835</c:v>
                </c:pt>
                <c:pt idx="992">
                  <c:v>37.148700000001838</c:v>
                </c:pt>
                <c:pt idx="993">
                  <c:v>37.148800000001842</c:v>
                </c:pt>
                <c:pt idx="994">
                  <c:v>37.148900000001845</c:v>
                </c:pt>
                <c:pt idx="995">
                  <c:v>37.149000000001848</c:v>
                </c:pt>
                <c:pt idx="996">
                  <c:v>37.149100000001852</c:v>
                </c:pt>
                <c:pt idx="997">
                  <c:v>37.149200000001855</c:v>
                </c:pt>
                <c:pt idx="998">
                  <c:v>37.149300000001858</c:v>
                </c:pt>
                <c:pt idx="999">
                  <c:v>37.149400000001862</c:v>
                </c:pt>
                <c:pt idx="1000">
                  <c:v>37.149500000001865</c:v>
                </c:pt>
              </c:numCache>
            </c:numRef>
          </c:xVal>
          <c:yVal>
            <c:numRef>
              <c:f>Calculs!$K$4:$K$1004</c:f>
              <c:numCache>
                <c:formatCode>0.00</c:formatCode>
                <c:ptCount val="1001"/>
                <c:pt idx="0">
                  <c:v>564.96320263534824</c:v>
                </c:pt>
                <c:pt idx="1">
                  <c:v>566.44485356938083</c:v>
                </c:pt>
                <c:pt idx="2">
                  <c:v>567.92776204625386</c:v>
                </c:pt>
                <c:pt idx="3">
                  <c:v>569.41477930250562</c:v>
                </c:pt>
                <c:pt idx="4">
                  <c:v>570.90641985597244</c:v>
                </c:pt>
                <c:pt idx="5">
                  <c:v>572.40218501307936</c:v>
                </c:pt>
                <c:pt idx="6">
                  <c:v>573.90188485509429</c:v>
                </c:pt>
                <c:pt idx="7">
                  <c:v>575.40548378443452</c:v>
                </c:pt>
                <c:pt idx="8">
                  <c:v>576.91294623729914</c:v>
                </c:pt>
                <c:pt idx="9">
                  <c:v>578.42423668443246</c:v>
                </c:pt>
                <c:pt idx="10">
                  <c:v>579.93931963187936</c:v>
                </c:pt>
                <c:pt idx="11">
                  <c:v>581.45815962173185</c:v>
                </c:pt>
                <c:pt idx="12">
                  <c:v>582.9807212328675</c:v>
                </c:pt>
                <c:pt idx="13">
                  <c:v>584.50696908167936</c:v>
                </c:pt>
                <c:pt idx="14">
                  <c:v>586.03686782279703</c:v>
                </c:pt>
                <c:pt idx="15">
                  <c:v>587.57038214979968</c:v>
                </c:pt>
                <c:pt idx="16">
                  <c:v>589.10747679592066</c:v>
                </c:pt>
                <c:pt idx="17">
                  <c:v>590.64811653474317</c:v>
                </c:pt>
                <c:pt idx="18">
                  <c:v>592.19226618088771</c:v>
                </c:pt>
                <c:pt idx="19">
                  <c:v>593.7398905906914</c:v>
                </c:pt>
                <c:pt idx="20">
                  <c:v>595.29095466287822</c:v>
                </c:pt>
                <c:pt idx="21">
                  <c:v>596.84542333922104</c:v>
                </c:pt>
                <c:pt idx="22">
                  <c:v>598.40326160519567</c:v>
                </c:pt>
                <c:pt idx="23">
                  <c:v>599.96443449062554</c:v>
                </c:pt>
                <c:pt idx="24">
                  <c:v>601.52890707031861</c:v>
                </c:pt>
                <c:pt idx="25">
                  <c:v>603.09664446469583</c:v>
                </c:pt>
                <c:pt idx="26">
                  <c:v>604.66761184041081</c:v>
                </c:pt>
                <c:pt idx="27">
                  <c:v>606.2417744109614</c:v>
                </c:pt>
                <c:pt idx="28">
                  <c:v>607.81909743729273</c:v>
                </c:pt>
                <c:pt idx="29">
                  <c:v>609.39954622839196</c:v>
                </c:pt>
                <c:pt idx="30">
                  <c:v>610.98308614187454</c:v>
                </c:pt>
                <c:pt idx="31">
                  <c:v>612.5696825845622</c:v>
                </c:pt>
                <c:pt idx="32">
                  <c:v>614.15930101305264</c:v>
                </c:pt>
                <c:pt idx="33">
                  <c:v>615.75190693428067</c:v>
                </c:pt>
                <c:pt idx="34">
                  <c:v>617.34746590607142</c:v>
                </c:pt>
                <c:pt idx="35">
                  <c:v>618.94594353768514</c:v>
                </c:pt>
                <c:pt idx="36">
                  <c:v>620.54730549035321</c:v>
                </c:pt>
                <c:pt idx="37">
                  <c:v>622.15151747780692</c:v>
                </c:pt>
                <c:pt idx="38">
                  <c:v>623.75854526679723</c:v>
                </c:pt>
                <c:pt idx="39">
                  <c:v>625.36835467760648</c:v>
                </c:pt>
                <c:pt idx="40">
                  <c:v>626.98091158455225</c:v>
                </c:pt>
                <c:pt idx="41">
                  <c:v>628.59618191648269</c:v>
                </c:pt>
                <c:pt idx="42">
                  <c:v>630.21413165726392</c:v>
                </c:pt>
                <c:pt idx="43">
                  <c:v>631.8347268462594</c:v>
                </c:pt>
                <c:pt idx="44">
                  <c:v>633.45793357880109</c:v>
                </c:pt>
                <c:pt idx="45">
                  <c:v>635.08371800665259</c:v>
                </c:pt>
                <c:pt idx="46">
                  <c:v>636.71204633846423</c:v>
                </c:pt>
                <c:pt idx="47">
                  <c:v>638.34288484022034</c:v>
                </c:pt>
                <c:pt idx="48">
                  <c:v>639.97619983567836</c:v>
                </c:pt>
                <c:pt idx="49">
                  <c:v>641.61195770680035</c:v>
                </c:pt>
                <c:pt idx="50">
                  <c:v>643.25012489417622</c:v>
                </c:pt>
                <c:pt idx="51">
                  <c:v>644.89066789743924</c:v>
                </c:pt>
                <c:pt idx="52">
                  <c:v>646.53355327567385</c:v>
                </c:pt>
                <c:pt idx="53">
                  <c:v>648.1787476478155</c:v>
                </c:pt>
                <c:pt idx="54">
                  <c:v>649.82621769304296</c:v>
                </c:pt>
                <c:pt idx="55">
                  <c:v>651.47593015116274</c:v>
                </c:pt>
                <c:pt idx="56">
                  <c:v>653.12785182298569</c:v>
                </c:pt>
                <c:pt idx="57">
                  <c:v>654.78194957069616</c:v>
                </c:pt>
                <c:pt idx="58">
                  <c:v>656.43819031821363</c:v>
                </c:pt>
                <c:pt idx="59">
                  <c:v>658.09654105154641</c:v>
                </c:pt>
                <c:pt idx="60">
                  <c:v>659.75696881913825</c:v>
                </c:pt>
                <c:pt idx="61">
                  <c:v>661.41944073220702</c:v>
                </c:pt>
                <c:pt idx="62">
                  <c:v>663.08392396507611</c:v>
                </c:pt>
                <c:pt idx="63">
                  <c:v>664.75037235452135</c:v>
                </c:pt>
                <c:pt idx="64">
                  <c:v>666.41871302404888</c:v>
                </c:pt>
                <c:pt idx="65">
                  <c:v>668.08885984197536</c:v>
                </c:pt>
                <c:pt idx="66">
                  <c:v>669.76072685515499</c:v>
                </c:pt>
                <c:pt idx="67">
                  <c:v>671.43421600672173</c:v>
                </c:pt>
                <c:pt idx="68">
                  <c:v>673.10920487799751</c:v>
                </c:pt>
                <c:pt idx="69">
                  <c:v>674.78553718126682</c:v>
                </c:pt>
                <c:pt idx="70">
                  <c:v>676.46301327435049</c:v>
                </c:pt>
                <c:pt idx="71">
                  <c:v>678.14141211103572</c:v>
                </c:pt>
                <c:pt idx="72">
                  <c:v>679.82051314866726</c:v>
                </c:pt>
                <c:pt idx="73">
                  <c:v>681.50009635574668</c:v>
                </c:pt>
                <c:pt idx="74">
                  <c:v>683.1799422192413</c:v>
                </c:pt>
                <c:pt idx="75">
                  <c:v>684.85983175160663</c:v>
                </c:pt>
                <c:pt idx="76">
                  <c:v>686.53954649752177</c:v>
                </c:pt>
                <c:pt idx="77">
                  <c:v>688.21886854034153</c:v>
                </c:pt>
                <c:pt idx="78">
                  <c:v>689.89758050826651</c:v>
                </c:pt>
                <c:pt idx="79">
                  <c:v>691.57546558023307</c:v>
                </c:pt>
                <c:pt idx="80">
                  <c:v>693.25230749152547</c:v>
                </c:pt>
                <c:pt idx="81">
                  <c:v>694.92791651942241</c:v>
                </c:pt>
                <c:pt idx="82">
                  <c:v>696.60215540004197</c:v>
                </c:pt>
                <c:pt idx="83">
                  <c:v>698.27491321157891</c:v>
                </c:pt>
                <c:pt idx="84">
                  <c:v>699.9460793238477</c:v>
                </c:pt>
                <c:pt idx="85">
                  <c:v>701.61554339872816</c:v>
                </c:pt>
                <c:pt idx="86">
                  <c:v>703.28319539054485</c:v>
                </c:pt>
                <c:pt idx="87">
                  <c:v>704.94892554638022</c:v>
                </c:pt>
                <c:pt idx="88">
                  <c:v>706.61262440632254</c:v>
                </c:pt>
                <c:pt idx="89">
                  <c:v>708.27419101017995</c:v>
                </c:pt>
                <c:pt idx="90">
                  <c:v>709.93354108131052</c:v>
                </c:pt>
                <c:pt idx="91">
                  <c:v>711.59059877419918</c:v>
                </c:pt>
                <c:pt idx="92">
                  <c:v>713.24528844460735</c:v>
                </c:pt>
                <c:pt idx="93">
                  <c:v>714.89753670080916</c:v>
                </c:pt>
                <c:pt idx="94">
                  <c:v>716.54727444900129</c:v>
                </c:pt>
                <c:pt idx="95">
                  <c:v>718.19443482959377</c:v>
                </c:pt>
                <c:pt idx="96">
                  <c:v>719.8389511592593</c:v>
                </c:pt>
                <c:pt idx="97">
                  <c:v>721.48076513653348</c:v>
                </c:pt>
                <c:pt idx="98">
                  <c:v>723.1198350239074</c:v>
                </c:pt>
                <c:pt idx="99">
                  <c:v>724.75612739449048</c:v>
                </c:pt>
                <c:pt idx="100">
                  <c:v>726.38960890222052</c:v>
                </c:pt>
                <c:pt idx="101">
                  <c:v>728.02024628140521</c:v>
                </c:pt>
                <c:pt idx="102">
                  <c:v>729.64800634626022</c:v>
                </c:pt>
                <c:pt idx="103">
                  <c:v>731.2728559904449</c:v>
                </c:pt>
                <c:pt idx="104">
                  <c:v>732.89476218659456</c:v>
                </c:pt>
                <c:pt idx="105">
                  <c:v>734.5136919858503</c:v>
                </c:pt>
                <c:pt idx="106">
                  <c:v>736.12961251738557</c:v>
                </c:pt>
                <c:pt idx="107">
                  <c:v>737.7424909879303</c:v>
                </c:pt>
                <c:pt idx="108">
                  <c:v>739.35229468129262</c:v>
                </c:pt>
                <c:pt idx="109">
                  <c:v>740.95900121146713</c:v>
                </c:pt>
                <c:pt idx="110">
                  <c:v>742.56260874610882</c:v>
                </c:pt>
                <c:pt idx="111">
                  <c:v>744.16312569434751</c:v>
                </c:pt>
                <c:pt idx="112">
                  <c:v>745.76056042460925</c:v>
                </c:pt>
                <c:pt idx="113">
                  <c:v>747.35492126487611</c:v>
                </c:pt>
                <c:pt idx="114">
                  <c:v>748.94621650294425</c:v>
                </c:pt>
                <c:pt idx="115">
                  <c:v>750.53445438667995</c:v>
                </c:pt>
                <c:pt idx="116">
                  <c:v>752.11964312427324</c:v>
                </c:pt>
                <c:pt idx="117">
                  <c:v>753.70179088448992</c:v>
                </c:pt>
                <c:pt idx="118">
                  <c:v>755.28090579692127</c:v>
                </c:pt>
                <c:pt idx="119">
                  <c:v>756.85699595223184</c:v>
                </c:pt>
                <c:pt idx="120">
                  <c:v>758.43006940240537</c:v>
                </c:pt>
                <c:pt idx="121">
                  <c:v>760.00013416098852</c:v>
                </c:pt>
                <c:pt idx="122">
                  <c:v>761.56719820333308</c:v>
                </c:pt>
                <c:pt idx="123">
                  <c:v>763.13126946683565</c:v>
                </c:pt>
                <c:pt idx="124">
                  <c:v>764.69235585117599</c:v>
                </c:pt>
                <c:pt idx="125">
                  <c:v>766.25046521855324</c:v>
                </c:pt>
                <c:pt idx="126">
                  <c:v>767.80560539392025</c:v>
                </c:pt>
                <c:pt idx="127">
                  <c:v>769.35778416521612</c:v>
                </c:pt>
                <c:pt idx="128">
                  <c:v>770.90700928359684</c:v>
                </c:pt>
                <c:pt idx="129">
                  <c:v>772.45328846366431</c:v>
                </c:pt>
                <c:pt idx="130">
                  <c:v>773.99662938369329</c:v>
                </c:pt>
                <c:pt idx="131">
                  <c:v>775.53703968585671</c:v>
                </c:pt>
                <c:pt idx="132">
                  <c:v>777.07452697644942</c:v>
                </c:pt>
                <c:pt idx="133">
                  <c:v>778.60909882610974</c:v>
                </c:pt>
                <c:pt idx="134">
                  <c:v>780.14076277003983</c:v>
                </c:pt>
                <c:pt idx="135">
                  <c:v>781.66952630822357</c:v>
                </c:pt>
                <c:pt idx="136">
                  <c:v>783.19539690564386</c:v>
                </c:pt>
                <c:pt idx="137">
                  <c:v>784.71838199249703</c:v>
                </c:pt>
                <c:pt idx="138">
                  <c:v>786.23848896440643</c:v>
                </c:pt>
                <c:pt idx="139">
                  <c:v>787.75572518263414</c:v>
                </c:pt>
                <c:pt idx="140">
                  <c:v>789.27009797429105</c:v>
                </c:pt>
                <c:pt idx="141">
                  <c:v>790.78161463254492</c:v>
                </c:pt>
                <c:pt idx="142">
                  <c:v>792.29028241682772</c:v>
                </c:pt>
                <c:pt idx="143">
                  <c:v>793.79610855304031</c:v>
                </c:pt>
                <c:pt idx="144">
                  <c:v>795.29910023375646</c:v>
                </c:pt>
                <c:pt idx="145">
                  <c:v>796.79926461842501</c:v>
                </c:pt>
                <c:pt idx="146">
                  <c:v>798.29660883356996</c:v>
                </c:pt>
                <c:pt idx="147">
                  <c:v>799.79113997298987</c:v>
                </c:pt>
                <c:pt idx="148">
                  <c:v>801.28286509795532</c:v>
                </c:pt>
                <c:pt idx="149">
                  <c:v>802.77179123740473</c:v>
                </c:pt>
                <c:pt idx="150">
                  <c:v>804.25792538813903</c:v>
                </c:pt>
                <c:pt idx="151">
                  <c:v>805.74127451501454</c:v>
                </c:pt>
                <c:pt idx="152">
                  <c:v>807.22184555113472</c:v>
                </c:pt>
                <c:pt idx="153">
                  <c:v>808.69964539804005</c:v>
                </c:pt>
                <c:pt idx="154">
                  <c:v>810.17468092589672</c:v>
                </c:pt>
                <c:pt idx="155">
                  <c:v>811.64695897368426</c:v>
                </c:pt>
                <c:pt idx="156">
                  <c:v>813.11648634938092</c:v>
                </c:pt>
                <c:pt idx="157">
                  <c:v>814.58326983014831</c:v>
                </c:pt>
                <c:pt idx="158">
                  <c:v>816.04731616251445</c:v>
                </c:pt>
                <c:pt idx="159">
                  <c:v>817.50863206255542</c:v>
                </c:pt>
                <c:pt idx="160">
                  <c:v>818.96722421607592</c:v>
                </c:pt>
                <c:pt idx="161">
                  <c:v>820.42309927878773</c:v>
                </c:pt>
                <c:pt idx="162">
                  <c:v>821.87626387648788</c:v>
                </c:pt>
                <c:pt idx="163">
                  <c:v>823.32672460523474</c:v>
                </c:pt>
                <c:pt idx="164">
                  <c:v>824.77448803152299</c:v>
                </c:pt>
                <c:pt idx="165">
                  <c:v>826.21956069245743</c:v>
                </c:pt>
                <c:pt idx="166">
                  <c:v>827.66194909592525</c:v>
                </c:pt>
                <c:pt idx="167">
                  <c:v>829.10165972076732</c:v>
                </c:pt>
                <c:pt idx="168">
                  <c:v>830.53869901694804</c:v>
                </c:pt>
                <c:pt idx="169">
                  <c:v>831.97307340572388</c:v>
                </c:pt>
                <c:pt idx="170">
                  <c:v>833.40478927981076</c:v>
                </c:pt>
                <c:pt idx="171">
                  <c:v>834.8338530035503</c:v>
                </c:pt>
                <c:pt idx="172">
                  <c:v>836.26027091307481</c:v>
                </c:pt>
                <c:pt idx="173">
                  <c:v>837.68404931647058</c:v>
                </c:pt>
                <c:pt idx="174">
                  <c:v>839.10519449394087</c:v>
                </c:pt>
                <c:pt idx="175">
                  <c:v>840.52371269796697</c:v>
                </c:pt>
                <c:pt idx="176">
                  <c:v>841.93961015346838</c:v>
                </c:pt>
                <c:pt idx="177">
                  <c:v>843.35289305796186</c:v>
                </c:pt>
                <c:pt idx="178">
                  <c:v>844.76356758171926</c:v>
                </c:pt>
                <c:pt idx="179">
                  <c:v>846.17163986792389</c:v>
                </c:pt>
                <c:pt idx="180">
                  <c:v>847.57711603282655</c:v>
                </c:pt>
                <c:pt idx="181">
                  <c:v>848.98000216589946</c:v>
                </c:pt>
                <c:pt idx="182">
                  <c:v>850.38030432998983</c:v>
                </c:pt>
                <c:pt idx="183">
                  <c:v>851.77802856147196</c:v>
                </c:pt>
                <c:pt idx="184">
                  <c:v>853.17318087039814</c:v>
                </c:pt>
                <c:pt idx="185">
                  <c:v>854.56576724064894</c:v>
                </c:pt>
                <c:pt idx="186">
                  <c:v>855.95579363008176</c:v>
                </c:pt>
                <c:pt idx="187">
                  <c:v>857.343265970679</c:v>
                </c:pt>
                <c:pt idx="188">
                  <c:v>858.72819016869471</c:v>
                </c:pt>
                <c:pt idx="189">
                  <c:v>860.1105721048001</c:v>
                </c:pt>
                <c:pt idx="190">
                  <c:v>861.49041763422849</c:v>
                </c:pt>
                <c:pt idx="191">
                  <c:v>862.86773258691881</c:v>
                </c:pt>
                <c:pt idx="192">
                  <c:v>864.24252276765833</c:v>
                </c:pt>
                <c:pt idx="193">
                  <c:v>865.61479395622405</c:v>
                </c:pt>
                <c:pt idx="194">
                  <c:v>866.9845519075235</c:v>
                </c:pt>
                <c:pt idx="195">
                  <c:v>868.35180235173414</c:v>
                </c:pt>
                <c:pt idx="196">
                  <c:v>869.71655099444217</c:v>
                </c:pt>
                <c:pt idx="197">
                  <c:v>871.07880351677989</c:v>
                </c:pt>
                <c:pt idx="198">
                  <c:v>872.43856557556251</c:v>
                </c:pt>
                <c:pt idx="199">
                  <c:v>873.79584280342385</c:v>
                </c:pt>
                <c:pt idx="200">
                  <c:v>875.15064080895093</c:v>
                </c:pt>
                <c:pt idx="201">
                  <c:v>888.56269617980377</c:v>
                </c:pt>
                <c:pt idx="202">
                  <c:v>901.73041509426332</c:v>
                </c:pt>
                <c:pt idx="203">
                  <c:v>914.65918000266618</c:v>
                </c:pt>
                <c:pt idx="204">
                  <c:v>927.35414975413096</c:v>
                </c:pt>
                <c:pt idx="205">
                  <c:v>939.8202715518687</c:v>
                </c:pt>
                <c:pt idx="206">
                  <c:v>952.06229210678259</c:v>
                </c:pt>
                <c:pt idx="207">
                  <c:v>964.08476805318162</c:v>
                </c:pt>
                <c:pt idx="208">
                  <c:v>975.89207568455629</c:v>
                </c:pt>
                <c:pt idx="209">
                  <c:v>987.48842006210305</c:v>
                </c:pt>
                <c:pt idx="210">
                  <c:v>998.8778435439616</c:v>
                </c:pt>
                <c:pt idx="211">
                  <c:v>1010.0642337788842</c:v>
                </c:pt>
                <c:pt idx="212">
                  <c:v>1021.0513312042398</c:v>
                </c:pt>
                <c:pt idx="213">
                  <c:v>1031.8427360848132</c:v>
                </c:pt>
                <c:pt idx="214">
                  <c:v>1042.4419151257555</c:v>
                </c:pt>
                <c:pt idx="215">
                  <c:v>1052.8522076902348</c:v>
                </c:pt>
                <c:pt idx="216">
                  <c:v>1063.0768316497999</c:v>
                </c:pt>
                <c:pt idx="217">
                  <c:v>1073.1188888931679</c:v>
                </c:pt>
                <c:pt idx="218">
                  <c:v>1082.9813705170611</c:v>
                </c:pt>
                <c:pt idx="219">
                  <c:v>1092.6671617208283</c:v>
                </c:pt>
                <c:pt idx="220">
                  <c:v>1102.1790464248566</c:v>
                </c:pt>
                <c:pt idx="221">
                  <c:v>1111.519711631219</c:v>
                </c:pt>
                <c:pt idx="222">
                  <c:v>1120.6917515435719</c:v>
                </c:pt>
                <c:pt idx="223">
                  <c:v>1129.6976714620118</c:v>
                </c:pt>
                <c:pt idx="224">
                  <c:v>1138.5398914674186</c:v>
                </c:pt>
                <c:pt idx="225">
                  <c:v>1147.2207499087126</c:v>
                </c:pt>
                <c:pt idx="226">
                  <c:v>1155.7425067054724</c:v>
                </c:pt>
                <c:pt idx="227">
                  <c:v>1164.1073464774347</c:v>
                </c:pt>
                <c:pt idx="228">
                  <c:v>1172.3173815115751</c:v>
                </c:pt>
                <c:pt idx="229">
                  <c:v>1180.3746545766903</c:v>
                </c:pt>
                <c:pt idx="230">
                  <c:v>1188.2811415947074</c:v>
                </c:pt>
                <c:pt idx="231">
                  <c:v>1196.0387541772925</c:v>
                </c:pt>
                <c:pt idx="232">
                  <c:v>1203.649342035739</c:v>
                </c:pt>
                <c:pt idx="233">
                  <c:v>1211.114695271564</c:v>
                </c:pt>
                <c:pt idx="234">
                  <c:v>1218.4365465547407</c:v>
                </c:pt>
                <c:pt idx="235">
                  <c:v>1225.616573196025</c:v>
                </c:pt>
                <c:pt idx="236">
                  <c:v>1232.6563991194041</c:v>
                </c:pt>
                <c:pt idx="237">
                  <c:v>1239.5575967403024</c:v>
                </c:pt>
                <c:pt idx="238">
                  <c:v>1246.3216887548065</c:v>
                </c:pt>
                <c:pt idx="239">
                  <c:v>1252.9501498448387</c:v>
                </c:pt>
                <c:pt idx="240">
                  <c:v>1259.4444083038879</c:v>
                </c:pt>
                <c:pt idx="241">
                  <c:v>1265.8058475876214</c:v>
                </c:pt>
                <c:pt idx="242">
                  <c:v>1272.0358077934304</c:v>
                </c:pt>
                <c:pt idx="243">
                  <c:v>1278.1355870727118</c:v>
                </c:pt>
                <c:pt idx="244">
                  <c:v>1284.1064429794587</c:v>
                </c:pt>
                <c:pt idx="245">
                  <c:v>1289.9495937585205</c:v>
                </c:pt>
                <c:pt idx="246">
                  <c:v>1295.666219576691</c:v>
                </c:pt>
                <c:pt idx="247">
                  <c:v>1301.2574636996035</c:v>
                </c:pt>
                <c:pt idx="248">
                  <c:v>1306.7244336172384</c:v>
                </c:pt>
                <c:pt idx="249">
                  <c:v>1312.0682021206953</c:v>
                </c:pt>
                <c:pt idx="250">
                  <c:v>1317.2898083327316</c:v>
                </c:pt>
                <c:pt idx="251">
                  <c:v>1322.3902586944394</c:v>
                </c:pt>
                <c:pt idx="252">
                  <c:v>1327.370527910306</c:v>
                </c:pt>
                <c:pt idx="253">
                  <c:v>1332.2315598537893</c:v>
                </c:pt>
                <c:pt idx="254">
                  <c:v>1336.974268435436</c:v>
                </c:pt>
                <c:pt idx="255">
                  <c:v>1341.5995384354737</c:v>
                </c:pt>
                <c:pt idx="256">
                  <c:v>1346.1082263027211</c:v>
                </c:pt>
                <c:pt idx="257">
                  <c:v>1350.5011609215803</c:v>
                </c:pt>
                <c:pt idx="258">
                  <c:v>1354.7791443488072</c:v>
                </c:pt>
                <c:pt idx="259">
                  <c:v>1358.9429525216894</c:v>
                </c:pt>
                <c:pt idx="260">
                  <c:v>1362.9933359392078</c:v>
                </c:pt>
                <c:pt idx="261">
                  <c:v>1366.9310203177097</c:v>
                </c:pt>
                <c:pt idx="262">
                  <c:v>1370.7567072225809</c:v>
                </c:pt>
                <c:pt idx="263">
                  <c:v>1374.4710746773719</c:v>
                </c:pt>
                <c:pt idx="264">
                  <c:v>1378.0747777518106</c:v>
                </c:pt>
                <c:pt idx="265">
                  <c:v>1381.5684491301124</c:v>
                </c:pt>
                <c:pt idx="266">
                  <c:v>1384.9526996609966</c:v>
                </c:pt>
                <c:pt idx="267">
                  <c:v>1388.228118890813</c:v>
                </c:pt>
                <c:pt idx="268">
                  <c:v>1391.3952755811936</c:v>
                </c:pt>
                <c:pt idx="269">
                  <c:v>1394.4547182126623</c:v>
                </c:pt>
                <c:pt idx="270">
                  <c:v>1397.4069754756606</c:v>
                </c:pt>
                <c:pt idx="271">
                  <c:v>1400.2525567504847</c:v>
                </c:pt>
                <c:pt idx="272">
                  <c:v>1402.9919525776791</c:v>
                </c:pt>
                <c:pt idx="273">
                  <c:v>1405.6256351204818</c:v>
                </c:pt>
                <c:pt idx="274">
                  <c:v>1408.1540586209871</c:v>
                </c:pt>
                <c:pt idx="275">
                  <c:v>1410.5776598517675</c:v>
                </c:pt>
                <c:pt idx="276">
                  <c:v>1412.8968585647756</c:v>
                </c:pt>
                <c:pt idx="277">
                  <c:v>1415.1120579394476</c:v>
                </c:pt>
                <c:pt idx="278">
                  <c:v>1417.2236450320206</c:v>
                </c:pt>
                <c:pt idx="279">
                  <c:v>1419.2319912281823</c:v>
                </c:pt>
                <c:pt idx="280">
                  <c:v>1421.1374527012752</c:v>
                </c:pt>
                <c:pt idx="281">
                  <c:v>1422.9403708783721</c:v>
                </c:pt>
                <c:pt idx="282">
                  <c:v>1424.6410729166362</c:v>
                </c:pt>
                <c:pt idx="283">
                  <c:v>1426.2398721924446</c:v>
                </c:pt>
                <c:pt idx="284">
                  <c:v>1427.7370688058095</c:v>
                </c:pt>
                <c:pt idx="285">
                  <c:v>1429.1329501026403</c:v>
                </c:pt>
                <c:pt idx="286">
                  <c:v>1430.4277912173582</c:v>
                </c:pt>
                <c:pt idx="287">
                  <c:v>1431.6218556382842</c:v>
                </c:pt>
                <c:pt idx="288">
                  <c:v>1432.715395798054</c:v>
                </c:pt>
                <c:pt idx="289">
                  <c:v>1433.7086536910656</c:v>
                </c:pt>
                <c:pt idx="290">
                  <c:v>1434.6018615196156</c:v>
                </c:pt>
                <c:pt idx="291">
                  <c:v>1435.3952423699295</c:v>
                </c:pt>
                <c:pt idx="292">
                  <c:v>1436.0890109187233</c:v>
                </c:pt>
                <c:pt idx="293">
                  <c:v>1436.683374170259</c:v>
                </c:pt>
                <c:pt idx="294">
                  <c:v>1437.1785322230851</c:v>
                </c:pt>
                <c:pt idx="295">
                  <c:v>1437.5746790647925</c:v>
                </c:pt>
                <c:pt idx="296">
                  <c:v>1437.8720033922102</c:v>
                </c:pt>
                <c:pt idx="297">
                  <c:v>1438.0706894535356</c:v>
                </c:pt>
                <c:pt idx="298">
                  <c:v>1438.1709179079996</c:v>
                </c:pt>
                <c:pt idx="299">
                  <c:v>1438.172866697847</c:v>
                </c:pt>
                <c:pt idx="300">
                  <c:v>1438.0767119267175</c:v>
                </c:pt>
                <c:pt idx="301">
                  <c:v>1437.8826287380009</c:v>
                </c:pt>
                <c:pt idx="302">
                  <c:v>1437.5907921864218</c:v>
                </c:pt>
                <c:pt idx="303">
                  <c:v>1437.2013780960326</c:v>
                </c:pt>
                <c:pt idx="304">
                  <c:v>1436.7145638979523</c:v>
                </c:pt>
                <c:pt idx="305">
                  <c:v>1436.130529441567</c:v>
                </c:pt>
                <c:pt idx="306">
                  <c:v>1435.4494577734949</c:v>
                </c:pt>
                <c:pt idx="307">
                  <c:v>1434.6715358793581</c:v>
                </c:pt>
                <c:pt idx="308">
                  <c:v>1433.7969553842604</c:v>
                </c:pt>
                <c:pt idx="309">
                  <c:v>1432.8259132087915</c:v>
                </c:pt>
                <c:pt idx="310">
                  <c:v>1431.7586121783017</c:v>
                </c:pt>
                <c:pt idx="311">
                  <c:v>1430.5952615841022</c:v>
                </c:pt>
                <c:pt idx="312">
                  <c:v>1429.3360776960706</c:v>
                </c:pt>
                <c:pt idx="313">
                  <c:v>1427.9812842268909</c:v>
                </c:pt>
                <c:pt idx="314">
                  <c:v>1426.531112748788</c:v>
                </c:pt>
                <c:pt idx="315">
                  <c:v>1424.9858030641353</c:v>
                </c:pt>
                <c:pt idx="316">
                  <c:v>1423.3456035317236</c:v>
                </c:pt>
                <c:pt idx="317">
                  <c:v>1421.6107713507683</c:v>
                </c:pt>
                <c:pt idx="318">
                  <c:v>1419.7815728049438</c:v>
                </c:pt>
                <c:pt idx="319">
                  <c:v>1417.8582834688364</c:v>
                </c:pt>
                <c:pt idx="320">
                  <c:v>1415.8411883792644</c:v>
                </c:pt>
                <c:pt idx="321">
                  <c:v>1413.7305821738946</c:v>
                </c:pt>
                <c:pt idx="322">
                  <c:v>1411.5267691995355</c:v>
                </c:pt>
                <c:pt idx="323">
                  <c:v>1409.2300635923946</c:v>
                </c:pt>
                <c:pt idx="324">
                  <c:v>1406.840789332482</c:v>
                </c:pt>
                <c:pt idx="325">
                  <c:v>1404.359280274216</c:v>
                </c:pt>
                <c:pt idx="326">
                  <c:v>1401.7858801551538</c:v>
                </c:pt>
                <c:pt idx="327">
                  <c:v>1399.1209425846375</c:v>
                </c:pt>
                <c:pt idx="328">
                  <c:v>1396.3648310140113</c:v>
                </c:pt>
                <c:pt idx="329">
                  <c:v>1393.5179186899352</c:v>
                </c:pt>
                <c:pt idx="330">
                  <c:v>1390.5805885922011</c:v>
                </c:pt>
                <c:pt idx="331">
                  <c:v>1387.5532333573371</c:v>
                </c:pt>
                <c:pt idx="332">
                  <c:v>1384.4362551891802</c:v>
                </c:pt>
                <c:pt idx="333">
                  <c:v>1381.2300657574979</c:v>
                </c:pt>
                <c:pt idx="334">
                  <c:v>1377.9350860856496</c:v>
                </c:pt>
                <c:pt idx="335">
                  <c:v>1374.5517464281907</c:v>
                </c:pt>
                <c:pt idx="336">
                  <c:v>1371.080486139253</c:v>
                </c:pt>
                <c:pt idx="337">
                  <c:v>1367.5217535324641</c:v>
                </c:pt>
                <c:pt idx="338">
                  <c:v>1363.8760057331049</c:v>
                </c:pt>
                <c:pt idx="339">
                  <c:v>1360.1437085231535</c:v>
                </c:pt>
                <c:pt idx="340">
                  <c:v>1356.3253361798122</c:v>
                </c:pt>
                <c:pt idx="341">
                  <c:v>1352.4213713080683</c:v>
                </c:pt>
                <c:pt idx="342">
                  <c:v>1348.4323046678016</c:v>
                </c:pt>
                <c:pt idx="343">
                  <c:v>1344.358634995916</c:v>
                </c:pt>
                <c:pt idx="344">
                  <c:v>1340.2008688239362</c:v>
                </c:pt>
                <c:pt idx="345">
                  <c:v>1335.9595202914907</c:v>
                </c:pt>
                <c:pt idx="346">
                  <c:v>1331.635110956064</c:v>
                </c:pt>
                <c:pt idx="347">
                  <c:v>1327.2281695993895</c:v>
                </c:pt>
                <c:pt idx="348">
                  <c:v>1322.7392320308247</c:v>
                </c:pt>
                <c:pt idx="349">
                  <c:v>1318.1688408880361</c:v>
                </c:pt>
                <c:pt idx="350">
                  <c:v>1313.5175454353023</c:v>
                </c:pt>
                <c:pt idx="351">
                  <c:v>1308.7859013597276</c:v>
                </c:pt>
                <c:pt idx="352">
                  <c:v>1303.9744705656447</c:v>
                </c:pt>
                <c:pt idx="353">
                  <c:v>1299.0838209674714</c:v>
                </c:pt>
                <c:pt idx="354">
                  <c:v>1294.1145262812745</c:v>
                </c:pt>
                <c:pt idx="355">
                  <c:v>1289.0671658152817</c:v>
                </c:pt>
                <c:pt idx="356">
                  <c:v>1283.9423242595742</c:v>
                </c:pt>
                <c:pt idx="357">
                  <c:v>1278.7405914751796</c:v>
                </c:pt>
                <c:pt idx="358">
                  <c:v>1273.4625622827773</c:v>
                </c:pt>
                <c:pt idx="359">
                  <c:v>1268.1088362512221</c:v>
                </c:pt>
                <c:pt idx="360">
                  <c:v>1262.6800174860789</c:v>
                </c:pt>
                <c:pt idx="361">
                  <c:v>1257.1767144183573</c:v>
                </c:pt>
                <c:pt idx="362">
                  <c:v>1251.5995395936259</c:v>
                </c:pt>
                <c:pt idx="363">
                  <c:v>1245.9491094616801</c:v>
                </c:pt>
                <c:pt idx="364">
                  <c:v>1240.2260441669289</c:v>
                </c:pt>
                <c:pt idx="365">
                  <c:v>1234.4309673396617</c:v>
                </c:pt>
                <c:pt idx="366">
                  <c:v>1228.5645058883467</c:v>
                </c:pt>
                <c:pt idx="367">
                  <c:v>1222.6272897931099</c:v>
                </c:pt>
                <c:pt idx="368">
                  <c:v>1216.6199519005359</c:v>
                </c:pt>
                <c:pt idx="369">
                  <c:v>1210.5431277199248</c:v>
                </c:pt>
                <c:pt idx="370">
                  <c:v>1204.3974552211364</c:v>
                </c:pt>
                <c:pt idx="371">
                  <c:v>1198.1835746341451</c:v>
                </c:pt>
                <c:pt idx="372">
                  <c:v>1191.9021282504248</c:v>
                </c:pt>
                <c:pt idx="373">
                  <c:v>1185.5537602262771</c:v>
                </c:pt>
                <c:pt idx="374">
                  <c:v>1179.1391163882111</c:v>
                </c:pt>
                <c:pt idx="375">
                  <c:v>1172.6588440404776</c:v>
                </c:pt>
                <c:pt idx="376">
                  <c:v>1166.1135917748568</c:v>
                </c:pt>
                <c:pt idx="377">
                  <c:v>1159.5040092827908</c:v>
                </c:pt>
                <c:pt idx="378">
                  <c:v>1152.8307471699504</c:v>
                </c:pt>
                <c:pt idx="379">
                  <c:v>1146.0944567733197</c:v>
                </c:pt>
                <c:pt idx="380">
                  <c:v>1139.2957899808757</c:v>
                </c:pt>
                <c:pt idx="381">
                  <c:v>1132.4353990539387</c:v>
                </c:pt>
                <c:pt idx="382">
                  <c:v>1125.5139364522611</c:v>
                </c:pt>
                <c:pt idx="383">
                  <c:v>1118.5320546619214</c:v>
                </c:pt>
                <c:pt idx="384">
                  <c:v>1111.4904060260812</c:v>
                </c:pt>
                <c:pt idx="385">
                  <c:v>1104.3896425786652</c:v>
                </c:pt>
                <c:pt idx="386">
                  <c:v>1097.2304158810111</c:v>
                </c:pt>
                <c:pt idx="387">
                  <c:v>1090.0133768615424</c:v>
                </c:pt>
                <c:pt idx="388">
                  <c:v>1082.7391756585027</c:v>
                </c:pt>
                <c:pt idx="389">
                  <c:v>1075.4084614657957</c:v>
                </c:pt>
                <c:pt idx="390">
                  <c:v>1068.0218823819619</c:v>
                </c:pt>
                <c:pt idx="391">
                  <c:v>1060.5800852623283</c:v>
                </c:pt>
                <c:pt idx="392">
                  <c:v>1053.0837155743554</c:v>
                </c:pt>
                <c:pt idx="393">
                  <c:v>1045.5334172562084</c:v>
                </c:pt>
                <c:pt idx="394">
                  <c:v>1037.9298325785714</c:v>
                </c:pt>
                <c:pt idx="395">
                  <c:v>1030.2736020097252</c:v>
                </c:pt>
                <c:pt idx="396">
                  <c:v>1022.565364083897</c:v>
                </c:pt>
                <c:pt idx="397">
                  <c:v>1014.8057552728993</c:v>
                </c:pt>
                <c:pt idx="398">
                  <c:v>1006.9954098610605</c:v>
                </c:pt>
                <c:pt idx="399">
                  <c:v>999.13495982345273</c:v>
                </c:pt>
                <c:pt idx="400">
                  <c:v>991.22503470741992</c:v>
                </c:pt>
                <c:pt idx="401">
                  <c:v>983.26626151740197</c:v>
                </c:pt>
                <c:pt idx="402">
                  <c:v>975.25926460305243</c:v>
                </c:pt>
                <c:pt idx="403">
                  <c:v>967.20466555064149</c:v>
                </c:pt>
                <c:pt idx="404">
                  <c:v>959.10308307773505</c:v>
                </c:pt>
                <c:pt idx="405">
                  <c:v>950.95513293113675</c:v>
                </c:pt>
                <c:pt idx="406">
                  <c:v>942.761427788079</c:v>
                </c:pt>
                <c:pt idx="407">
                  <c:v>934.52257716064548</c:v>
                </c:pt>
                <c:pt idx="408">
                  <c:v>926.23918730340574</c:v>
                </c:pt>
                <c:pt idx="409">
                  <c:v>917.91186112424009</c:v>
                </c:pt>
                <c:pt idx="410">
                  <c:v>909.54119809833173</c:v>
                </c:pt>
                <c:pt idx="411">
                  <c:v>901.12779418529999</c:v>
                </c:pt>
                <c:pt idx="412">
                  <c:v>892.67224174944761</c:v>
                </c:pt>
                <c:pt idx="413">
                  <c:v>884.17512948309286</c:v>
                </c:pt>
                <c:pt idx="414">
                  <c:v>875.63704233295482</c:v>
                </c:pt>
                <c:pt idx="415">
                  <c:v>867.05856142956043</c:v>
                </c:pt>
                <c:pt idx="416">
                  <c:v>858.44026401963845</c:v>
                </c:pt>
                <c:pt idx="417">
                  <c:v>849.78272340146509</c:v>
                </c:pt>
                <c:pt idx="418">
                  <c:v>841.08650886312466</c:v>
                </c:pt>
                <c:pt idx="419">
                  <c:v>832.35218562364673</c:v>
                </c:pt>
                <c:pt idx="420">
                  <c:v>823.58031477698114</c:v>
                </c:pt>
                <c:pt idx="421">
                  <c:v>814.77145323876982</c:v>
                </c:pt>
                <c:pt idx="422">
                  <c:v>805.92615369587509</c:v>
                </c:pt>
                <c:pt idx="423">
                  <c:v>797.04496455862079</c:v>
                </c:pt>
                <c:pt idx="424">
                  <c:v>788.12842991570403</c:v>
                </c:pt>
                <c:pt idx="425">
                  <c:v>779.17708949173357</c:v>
                </c:pt>
                <c:pt idx="426">
                  <c:v>770.19147860734972</c:v>
                </c:pt>
                <c:pt idx="427">
                  <c:v>761.17212814188099</c:v>
                </c:pt>
                <c:pt idx="428">
                  <c:v>752.11956449849094</c:v>
                </c:pt>
                <c:pt idx="429">
                  <c:v>743.0343095717692</c:v>
                </c:pt>
                <c:pt idx="430">
                  <c:v>733.91688071772035</c:v>
                </c:pt>
                <c:pt idx="431">
                  <c:v>724.76779072610213</c:v>
                </c:pt>
                <c:pt idx="432">
                  <c:v>715.58754779506694</c:v>
                </c:pt>
                <c:pt idx="433">
                  <c:v>706.37665550805741</c:v>
                </c:pt>
                <c:pt idx="434">
                  <c:v>697.13561281290913</c:v>
                </c:pt>
                <c:pt idx="435">
                  <c:v>687.86491400311161</c:v>
                </c:pt>
                <c:pt idx="436">
                  <c:v>678.56504870117988</c:v>
                </c:pt>
                <c:pt idx="437">
                  <c:v>669.23650184408723</c:v>
                </c:pt>
                <c:pt idx="438">
                  <c:v>659.8797536707126</c:v>
                </c:pt>
                <c:pt idx="439">
                  <c:v>650.49527971125212</c:v>
                </c:pt>
                <c:pt idx="440">
                  <c:v>641.0835507785489</c:v>
                </c:pt>
                <c:pt idx="441">
                  <c:v>631.64503296129067</c:v>
                </c:pt>
                <c:pt idx="442">
                  <c:v>622.18018761902954</c:v>
                </c:pt>
                <c:pt idx="443">
                  <c:v>612.68947137897487</c:v>
                </c:pt>
                <c:pt idx="444">
                  <c:v>603.17333613451194</c:v>
                </c:pt>
                <c:pt idx="445">
                  <c:v>593.63222904539987</c:v>
                </c:pt>
                <c:pt idx="446">
                  <c:v>584.06659253960152</c:v>
                </c:pt>
                <c:pt idx="447">
                  <c:v>574.47686431669877</c:v>
                </c:pt>
                <c:pt idx="448">
                  <c:v>564.86347735284778</c:v>
                </c:pt>
                <c:pt idx="449">
                  <c:v>555.22685990722789</c:v>
                </c:pt>
                <c:pt idx="450">
                  <c:v>545.56743552993896</c:v>
                </c:pt>
                <c:pt idx="451">
                  <c:v>535.88562307130258</c:v>
                </c:pt>
                <c:pt idx="452">
                  <c:v>526.18183669252312</c:v>
                </c:pt>
                <c:pt idx="453">
                  <c:v>516.45648587766448</c:v>
                </c:pt>
                <c:pt idx="454">
                  <c:v>506.70997544689885</c:v>
                </c:pt>
                <c:pt idx="455">
                  <c:v>496.94270557098611</c:v>
                </c:pt>
                <c:pt idx="456">
                  <c:v>487.15507178694014</c:v>
                </c:pt>
                <c:pt idx="457">
                  <c:v>477.34746501484176</c:v>
                </c:pt>
                <c:pt idx="458">
                  <c:v>467.52027157575657</c:v>
                </c:pt>
                <c:pt idx="459">
                  <c:v>457.67387321071777</c:v>
                </c:pt>
                <c:pt idx="460">
                  <c:v>447.80864710073394</c:v>
                </c:pt>
                <c:pt idx="461">
                  <c:v>437.92496588778283</c:v>
                </c:pt>
                <c:pt idx="462">
                  <c:v>428.02319769675302</c:v>
                </c:pt>
                <c:pt idx="463">
                  <c:v>418.10370615829493</c:v>
                </c:pt>
                <c:pt idx="464">
                  <c:v>408.16685043254466</c:v>
                </c:pt>
                <c:pt idx="465">
                  <c:v>398.21298523368432</c:v>
                </c:pt>
                <c:pt idx="466">
                  <c:v>388.24246085530223</c:v>
                </c:pt>
                <c:pt idx="467">
                  <c:v>378.25562319651902</c:v>
                </c:pt>
                <c:pt idx="468">
                  <c:v>368.25281378884426</c:v>
                </c:pt>
                <c:pt idx="469">
                  <c:v>358.23436982373033</c:v>
                </c:pt>
                <c:pt idx="470">
                  <c:v>348.20062418079067</c:v>
                </c:pt>
                <c:pt idx="471">
                  <c:v>338.15190545664939</c:v>
                </c:pt>
                <c:pt idx="472">
                  <c:v>328.08853799439152</c:v>
                </c:pt>
                <c:pt idx="473">
                  <c:v>318.01084191358194</c:v>
                </c:pt>
                <c:pt idx="474">
                  <c:v>307.91913314082353</c:v>
                </c:pt>
                <c:pt idx="475">
                  <c:v>297.81372344082445</c:v>
                </c:pt>
                <c:pt idx="476">
                  <c:v>287.69492044794578</c:v>
                </c:pt>
                <c:pt idx="477">
                  <c:v>277.56302769820138</c:v>
                </c:pt>
                <c:pt idx="478">
                  <c:v>267.41834466168228</c:v>
                </c:pt>
                <c:pt idx="479">
                  <c:v>257.26116677537902</c:v>
                </c:pt>
                <c:pt idx="480">
                  <c:v>247.09178547637524</c:v>
                </c:pt>
                <c:pt idx="481">
                  <c:v>236.91048823538736</c:v>
                </c:pt>
                <c:pt idx="482">
                  <c:v>226.71755859062563</c:v>
                </c:pt>
                <c:pt idx="483">
                  <c:v>216.51327618195171</c:v>
                </c:pt>
                <c:pt idx="484">
                  <c:v>206.29791678530995</c:v>
                </c:pt>
                <c:pt idx="485">
                  <c:v>196.07175234740882</c:v>
                </c:pt>
                <c:pt idx="486">
                  <c:v>185.83505102063063</c:v>
                </c:pt>
                <c:pt idx="487">
                  <c:v>175.58807719814769</c:v>
                </c:pt>
                <c:pt idx="488">
                  <c:v>165.33109154922377</c:v>
                </c:pt>
                <c:pt idx="489">
                  <c:v>155.06435105468066</c:v>
                </c:pt>
                <c:pt idx="490">
                  <c:v>144.7881090425098</c:v>
                </c:pt>
                <c:pt idx="491">
                  <c:v>134.50261522360992</c:v>
                </c:pt>
                <c:pt idx="492">
                  <c:v>124.20811572763181</c:v>
                </c:pt>
                <c:pt idx="493">
                  <c:v>113.90485313891234</c:v>
                </c:pt>
                <c:pt idx="494">
                  <c:v>103.59306653248024</c:v>
                </c:pt>
                <c:pt idx="495">
                  <c:v>93.272991510116469</c:v>
                </c:pt>
                <c:pt idx="496">
                  <c:v>82.94486023645311</c:v>
                </c:pt>
                <c:pt idx="497">
                  <c:v>72.608901475094655</c:v>
                </c:pt>
                <c:pt idx="498">
                  <c:v>62.265340624746507</c:v>
                </c:pt>
                <c:pt idx="499">
                  <c:v>51.914399755335907</c:v>
                </c:pt>
                <c:pt idx="500">
                  <c:v>41.556297644110948</c:v>
                </c:pt>
                <c:pt idx="501">
                  <c:v>31.191249811703891</c:v>
                </c:pt>
                <c:pt idx="502">
                  <c:v>20.819468558145587</c:v>
                </c:pt>
                <c:pt idx="503">
                  <c:v>10.441162998818086</c:v>
                </c:pt>
                <c:pt idx="504">
                  <c:v>5.6539100333203862E-2</c:v>
                </c:pt>
                <c:pt idx="505">
                  <c:v>-10.334200283674891</c:v>
                </c:pt>
                <c:pt idx="506">
                  <c:v>-10.344594033383434</c:v>
                </c:pt>
                <c:pt idx="507">
                  <c:v>-10.354987788908463</c:v>
                </c:pt>
                <c:pt idx="508">
                  <c:v>-10.365381550249786</c:v>
                </c:pt>
                <c:pt idx="509">
                  <c:v>-10.375775317407209</c:v>
                </c:pt>
                <c:pt idx="510">
                  <c:v>-10.386169090380534</c:v>
                </c:pt>
                <c:pt idx="511">
                  <c:v>-10.396562869169568</c:v>
                </c:pt>
                <c:pt idx="512">
                  <c:v>-10.406956653774115</c:v>
                </c:pt>
                <c:pt idx="513">
                  <c:v>-10.41735044419398</c:v>
                </c:pt>
                <c:pt idx="514">
                  <c:v>-10.42774424042897</c:v>
                </c:pt>
                <c:pt idx="515">
                  <c:v>-10.438138042478888</c:v>
                </c:pt>
                <c:pt idx="516">
                  <c:v>-10.44853185034354</c:v>
                </c:pt>
                <c:pt idx="517">
                  <c:v>-10.458925664022731</c:v>
                </c:pt>
                <c:pt idx="518">
                  <c:v>-10.469319483516264</c:v>
                </c:pt>
                <c:pt idx="519">
                  <c:v>-10.479713308823946</c:v>
                </c:pt>
                <c:pt idx="520">
                  <c:v>-10.490107139945582</c:v>
                </c:pt>
                <c:pt idx="521">
                  <c:v>-10.500500976880977</c:v>
                </c:pt>
                <c:pt idx="522">
                  <c:v>-10.510894819629934</c:v>
                </c:pt>
                <c:pt idx="523">
                  <c:v>-10.521288668192261</c:v>
                </c:pt>
                <c:pt idx="524">
                  <c:v>-10.531682522567761</c:v>
                </c:pt>
                <c:pt idx="525">
                  <c:v>-10.542076382756241</c:v>
                </c:pt>
                <c:pt idx="526">
                  <c:v>-10.552470248757505</c:v>
                </c:pt>
                <c:pt idx="527">
                  <c:v>-10.562864120571357</c:v>
                </c:pt>
                <c:pt idx="528">
                  <c:v>-10.573257998197603</c:v>
                </c:pt>
                <c:pt idx="529">
                  <c:v>-10.583651881636049</c:v>
                </c:pt>
                <c:pt idx="530">
                  <c:v>-10.594045770886499</c:v>
                </c:pt>
                <c:pt idx="531">
                  <c:v>-10.604439665948759</c:v>
                </c:pt>
                <c:pt idx="532">
                  <c:v>-10.614833566822632</c:v>
                </c:pt>
                <c:pt idx="533">
                  <c:v>-10.625227473507925</c:v>
                </c:pt>
                <c:pt idx="534">
                  <c:v>-10.635621386004443</c:v>
                </c:pt>
                <c:pt idx="535">
                  <c:v>-10.646015304311991</c:v>
                </c:pt>
                <c:pt idx="536">
                  <c:v>-10.656409228430373</c:v>
                </c:pt>
                <c:pt idx="537">
                  <c:v>-10.666803158359395</c:v>
                </c:pt>
                <c:pt idx="538">
                  <c:v>-10.677197094098862</c:v>
                </c:pt>
                <c:pt idx="539">
                  <c:v>-10.687591035648579</c:v>
                </c:pt>
                <c:pt idx="540">
                  <c:v>-10.69798498300835</c:v>
                </c:pt>
                <c:pt idx="541">
                  <c:v>-10.708378936177983</c:v>
                </c:pt>
                <c:pt idx="542">
                  <c:v>-10.718772895157279</c:v>
                </c:pt>
                <c:pt idx="543">
                  <c:v>-10.729166859946048</c:v>
                </c:pt>
                <c:pt idx="544">
                  <c:v>-10.739560830544091</c:v>
                </c:pt>
                <c:pt idx="545">
                  <c:v>-10.749954806951216</c:v>
                </c:pt>
                <c:pt idx="546">
                  <c:v>-10.760348789167226</c:v>
                </c:pt>
                <c:pt idx="547">
                  <c:v>-10.770742777191927</c:v>
                </c:pt>
                <c:pt idx="548">
                  <c:v>-10.781136771025123</c:v>
                </c:pt>
                <c:pt idx="549">
                  <c:v>-10.79153077066662</c:v>
                </c:pt>
                <c:pt idx="550">
                  <c:v>-10.801924776116223</c:v>
                </c:pt>
                <c:pt idx="551">
                  <c:v>-10.812318787373739</c:v>
                </c:pt>
                <c:pt idx="552">
                  <c:v>-10.822712804438972</c:v>
                </c:pt>
                <c:pt idx="553">
                  <c:v>-10.833106827311726</c:v>
                </c:pt>
                <c:pt idx="554">
                  <c:v>-10.843500855991806</c:v>
                </c:pt>
                <c:pt idx="555">
                  <c:v>-10.853894890479019</c:v>
                </c:pt>
                <c:pt idx="556">
                  <c:v>-10.864288930773169</c:v>
                </c:pt>
                <c:pt idx="557">
                  <c:v>-10.874682976874061</c:v>
                </c:pt>
                <c:pt idx="558">
                  <c:v>-10.885077028781499</c:v>
                </c:pt>
                <c:pt idx="559">
                  <c:v>-10.89547108649529</c:v>
                </c:pt>
                <c:pt idx="560">
                  <c:v>-10.90586515001524</c:v>
                </c:pt>
                <c:pt idx="561">
                  <c:v>-10.916259219341152</c:v>
                </c:pt>
                <c:pt idx="562">
                  <c:v>-10.926653294472832</c:v>
                </c:pt>
                <c:pt idx="563">
                  <c:v>-10.937047375410085</c:v>
                </c:pt>
                <c:pt idx="564">
                  <c:v>-10.947441462152717</c:v>
                </c:pt>
                <c:pt idx="565">
                  <c:v>-10.957835554700532</c:v>
                </c:pt>
                <c:pt idx="566">
                  <c:v>-10.968229653053337</c:v>
                </c:pt>
                <c:pt idx="567">
                  <c:v>-10.978623757210935</c:v>
                </c:pt>
                <c:pt idx="568">
                  <c:v>-10.989017867173132</c:v>
                </c:pt>
                <c:pt idx="569">
                  <c:v>-10.999411982939733</c:v>
                </c:pt>
                <c:pt idx="570">
                  <c:v>-11.009806104510544</c:v>
                </c:pt>
                <c:pt idx="571">
                  <c:v>-11.020200231885369</c:v>
                </c:pt>
                <c:pt idx="572">
                  <c:v>-11.030594365064013</c:v>
                </c:pt>
                <c:pt idx="573">
                  <c:v>-11.040988504046284</c:v>
                </c:pt>
                <c:pt idx="574">
                  <c:v>-11.051382648831986</c:v>
                </c:pt>
                <c:pt idx="575">
                  <c:v>-11.061776799420922</c:v>
                </c:pt>
                <c:pt idx="576">
                  <c:v>-11.072170955812899</c:v>
                </c:pt>
                <c:pt idx="577">
                  <c:v>-11.082565118007722</c:v>
                </c:pt>
                <c:pt idx="578">
                  <c:v>-11.092959286005195</c:v>
                </c:pt>
                <c:pt idx="579">
                  <c:v>-11.103353459805126</c:v>
                </c:pt>
                <c:pt idx="580">
                  <c:v>-11.113747639407316</c:v>
                </c:pt>
                <c:pt idx="581">
                  <c:v>-11.124141824811575</c:v>
                </c:pt>
                <c:pt idx="582">
                  <c:v>-11.134536016017705</c:v>
                </c:pt>
                <c:pt idx="583">
                  <c:v>-11.144930213025512</c:v>
                </c:pt>
                <c:pt idx="584">
                  <c:v>-11.155324415834801</c:v>
                </c:pt>
                <c:pt idx="585">
                  <c:v>-11.165718624445379</c:v>
                </c:pt>
                <c:pt idx="586">
                  <c:v>-11.176112838857049</c:v>
                </c:pt>
                <c:pt idx="587">
                  <c:v>-11.186507059069617</c:v>
                </c:pt>
                <c:pt idx="588">
                  <c:v>-11.196901285082889</c:v>
                </c:pt>
                <c:pt idx="589">
                  <c:v>-11.20729551689667</c:v>
                </c:pt>
                <c:pt idx="590">
                  <c:v>-11.217689754510763</c:v>
                </c:pt>
                <c:pt idx="591">
                  <c:v>-11.228083997924976</c:v>
                </c:pt>
                <c:pt idx="592">
                  <c:v>-11.238478247139113</c:v>
                </c:pt>
                <c:pt idx="593">
                  <c:v>-11.248872502152981</c:v>
                </c:pt>
                <c:pt idx="594">
                  <c:v>-11.259266762966384</c:v>
                </c:pt>
                <c:pt idx="595">
                  <c:v>-11.269661029579126</c:v>
                </c:pt>
                <c:pt idx="596">
                  <c:v>-11.280055301991014</c:v>
                </c:pt>
                <c:pt idx="597">
                  <c:v>-11.290449580201853</c:v>
                </c:pt>
                <c:pt idx="598">
                  <c:v>-11.300843864211448</c:v>
                </c:pt>
                <c:pt idx="599">
                  <c:v>-11.311238154019604</c:v>
                </c:pt>
                <c:pt idx="600">
                  <c:v>-11.321632449626126</c:v>
                </c:pt>
                <c:pt idx="601">
                  <c:v>-11.332026751030821</c:v>
                </c:pt>
                <c:pt idx="602">
                  <c:v>-11.342421058233493</c:v>
                </c:pt>
                <c:pt idx="603">
                  <c:v>-11.352815371233946</c:v>
                </c:pt>
                <c:pt idx="604">
                  <c:v>-11.363209690031988</c:v>
                </c:pt>
                <c:pt idx="605">
                  <c:v>-11.373604014627423</c:v>
                </c:pt>
                <c:pt idx="606">
                  <c:v>-11.383998345020055</c:v>
                </c:pt>
                <c:pt idx="607">
                  <c:v>-11.394392681209691</c:v>
                </c:pt>
                <c:pt idx="608">
                  <c:v>-11.404787023196135</c:v>
                </c:pt>
                <c:pt idx="609">
                  <c:v>-11.415181370979194</c:v>
                </c:pt>
                <c:pt idx="610">
                  <c:v>-11.425575724558673</c:v>
                </c:pt>
                <c:pt idx="611">
                  <c:v>-11.435970083934377</c:v>
                </c:pt>
                <c:pt idx="612">
                  <c:v>-11.44636444910611</c:v>
                </c:pt>
                <c:pt idx="613">
                  <c:v>-11.456758820073679</c:v>
                </c:pt>
                <c:pt idx="614">
                  <c:v>-11.467153196836888</c:v>
                </c:pt>
                <c:pt idx="615">
                  <c:v>-11.477547579395543</c:v>
                </c:pt>
                <c:pt idx="616">
                  <c:v>-11.48794196774945</c:v>
                </c:pt>
                <c:pt idx="617">
                  <c:v>-11.498336361898414</c:v>
                </c:pt>
                <c:pt idx="618">
                  <c:v>-11.508730761842239</c:v>
                </c:pt>
                <c:pt idx="619">
                  <c:v>-11.519125167580732</c:v>
                </c:pt>
                <c:pt idx="620">
                  <c:v>-11.529519579113698</c:v>
                </c:pt>
                <c:pt idx="621">
                  <c:v>-11.539913996440943</c:v>
                </c:pt>
                <c:pt idx="622">
                  <c:v>-11.550308419562271</c:v>
                </c:pt>
                <c:pt idx="623">
                  <c:v>-11.560702848477487</c:v>
                </c:pt>
                <c:pt idx="624">
                  <c:v>-11.571097283186397</c:v>
                </c:pt>
                <c:pt idx="625">
                  <c:v>-11.581491723688806</c:v>
                </c:pt>
                <c:pt idx="626">
                  <c:v>-11.591886169984521</c:v>
                </c:pt>
                <c:pt idx="627">
                  <c:v>-11.602280622073346</c:v>
                </c:pt>
                <c:pt idx="628">
                  <c:v>-11.612675079955086</c:v>
                </c:pt>
                <c:pt idx="629">
                  <c:v>-11.623069543629546</c:v>
                </c:pt>
                <c:pt idx="630">
                  <c:v>-11.633464013096534</c:v>
                </c:pt>
                <c:pt idx="631">
                  <c:v>-11.643858488355852</c:v>
                </c:pt>
                <c:pt idx="632">
                  <c:v>-11.654252969407308</c:v>
                </c:pt>
                <c:pt idx="633">
                  <c:v>-11.664647456250705</c:v>
                </c:pt>
                <c:pt idx="634">
                  <c:v>-11.675041948885852</c:v>
                </c:pt>
                <c:pt idx="635">
                  <c:v>-11.685436447312551</c:v>
                </c:pt>
                <c:pt idx="636">
                  <c:v>-11.695830951530608</c:v>
                </c:pt>
                <c:pt idx="637">
                  <c:v>-11.70622546153983</c:v>
                </c:pt>
                <c:pt idx="638">
                  <c:v>-11.71661997734002</c:v>
                </c:pt>
                <c:pt idx="639">
                  <c:v>-11.727014498930986</c:v>
                </c:pt>
                <c:pt idx="640">
                  <c:v>-11.737409026312532</c:v>
                </c:pt>
                <c:pt idx="641">
                  <c:v>-11.747803559484463</c:v>
                </c:pt>
                <c:pt idx="642">
                  <c:v>-11.758198098446584</c:v>
                </c:pt>
                <c:pt idx="643">
                  <c:v>-11.768592643198703</c:v>
                </c:pt>
                <c:pt idx="644">
                  <c:v>-11.778987193740623</c:v>
                </c:pt>
                <c:pt idx="645">
                  <c:v>-11.789381750072149</c:v>
                </c:pt>
                <c:pt idx="646">
                  <c:v>-11.799776312193089</c:v>
                </c:pt>
                <c:pt idx="647">
                  <c:v>-11.810170880103247</c:v>
                </c:pt>
                <c:pt idx="648">
                  <c:v>-11.820565453802427</c:v>
                </c:pt>
                <c:pt idx="649">
                  <c:v>-11.830960033290436</c:v>
                </c:pt>
                <c:pt idx="650">
                  <c:v>-11.841354618567079</c:v>
                </c:pt>
                <c:pt idx="651">
                  <c:v>-11.851749209632162</c:v>
                </c:pt>
                <c:pt idx="652">
                  <c:v>-11.862143806485491</c:v>
                </c:pt>
                <c:pt idx="653">
                  <c:v>-11.87253840912687</c:v>
                </c:pt>
                <c:pt idx="654">
                  <c:v>-11.882933017556105</c:v>
                </c:pt>
                <c:pt idx="655">
                  <c:v>-11.893327631773001</c:v>
                </c:pt>
                <c:pt idx="656">
                  <c:v>-11.903722251777364</c:v>
                </c:pt>
                <c:pt idx="657">
                  <c:v>-11.914116877568999</c:v>
                </c:pt>
                <c:pt idx="658">
                  <c:v>-11.924511509147711</c:v>
                </c:pt>
                <c:pt idx="659">
                  <c:v>-11.934906146513308</c:v>
                </c:pt>
                <c:pt idx="660">
                  <c:v>-11.945300789665593</c:v>
                </c:pt>
                <c:pt idx="661">
                  <c:v>-11.955695438604373</c:v>
                </c:pt>
                <c:pt idx="662">
                  <c:v>-11.966090093329452</c:v>
                </c:pt>
                <c:pt idx="663">
                  <c:v>-11.976484753840635</c:v>
                </c:pt>
                <c:pt idx="664">
                  <c:v>-11.986879420137729</c:v>
                </c:pt>
                <c:pt idx="665">
                  <c:v>-11.99727409222054</c:v>
                </c:pt>
                <c:pt idx="666">
                  <c:v>-12.007668770088872</c:v>
                </c:pt>
                <c:pt idx="667">
                  <c:v>-12.018063453742529</c:v>
                </c:pt>
                <c:pt idx="668">
                  <c:v>-12.02845814318132</c:v>
                </c:pt>
                <c:pt idx="669">
                  <c:v>-12.038852838405049</c:v>
                </c:pt>
                <c:pt idx="670">
                  <c:v>-12.049247539413521</c:v>
                </c:pt>
                <c:pt idx="671">
                  <c:v>-12.059642246206542</c:v>
                </c:pt>
                <c:pt idx="672">
                  <c:v>-12.070036958783916</c:v>
                </c:pt>
                <c:pt idx="673">
                  <c:v>-12.080431677145452</c:v>
                </c:pt>
                <c:pt idx="674">
                  <c:v>-12.090826401290952</c:v>
                </c:pt>
                <c:pt idx="675">
                  <c:v>-12.101221131220223</c:v>
                </c:pt>
                <c:pt idx="676">
                  <c:v>-12.11161586693307</c:v>
                </c:pt>
                <c:pt idx="677">
                  <c:v>-12.122010608429299</c:v>
                </c:pt>
                <c:pt idx="678">
                  <c:v>-12.132405355708716</c:v>
                </c:pt>
                <c:pt idx="679">
                  <c:v>-12.142800108771127</c:v>
                </c:pt>
                <c:pt idx="680">
                  <c:v>-12.153194867616335</c:v>
                </c:pt>
                <c:pt idx="681">
                  <c:v>-12.163589632244147</c:v>
                </c:pt>
                <c:pt idx="682">
                  <c:v>-12.173984402654368</c:v>
                </c:pt>
                <c:pt idx="683">
                  <c:v>-12.184379178846804</c:v>
                </c:pt>
                <c:pt idx="684">
                  <c:v>-12.19477396082126</c:v>
                </c:pt>
                <c:pt idx="685">
                  <c:v>-12.205168748577544</c:v>
                </c:pt>
                <c:pt idx="686">
                  <c:v>-12.215563542115458</c:v>
                </c:pt>
                <c:pt idx="687">
                  <c:v>-12.22595834143481</c:v>
                </c:pt>
                <c:pt idx="688">
                  <c:v>-12.236353146535404</c:v>
                </c:pt>
                <c:pt idx="689">
                  <c:v>-12.246747957417046</c:v>
                </c:pt>
                <c:pt idx="690">
                  <c:v>-12.257142774079542</c:v>
                </c:pt>
                <c:pt idx="691">
                  <c:v>-12.267537596522697</c:v>
                </c:pt>
                <c:pt idx="692">
                  <c:v>-12.277932424746318</c:v>
                </c:pt>
                <c:pt idx="693">
                  <c:v>-12.288327258750208</c:v>
                </c:pt>
                <c:pt idx="694">
                  <c:v>-12.298722098534174</c:v>
                </c:pt>
                <c:pt idx="695">
                  <c:v>-12.309116944098022</c:v>
                </c:pt>
                <c:pt idx="696">
                  <c:v>-12.319511795441558</c:v>
                </c:pt>
                <c:pt idx="697">
                  <c:v>-12.329906652564587</c:v>
                </c:pt>
                <c:pt idx="698">
                  <c:v>-12.340301515466912</c:v>
                </c:pt>
                <c:pt idx="699">
                  <c:v>-12.350696384148341</c:v>
                </c:pt>
                <c:pt idx="700">
                  <c:v>-12.361091258608679</c:v>
                </c:pt>
                <c:pt idx="701">
                  <c:v>-12.371486138847732</c:v>
                </c:pt>
                <c:pt idx="702">
                  <c:v>-12.381881024865306</c:v>
                </c:pt>
                <c:pt idx="703">
                  <c:v>-12.392275916661207</c:v>
                </c:pt>
                <c:pt idx="704">
                  <c:v>-12.40267081423524</c:v>
                </c:pt>
                <c:pt idx="705">
                  <c:v>-12.413065717587209</c:v>
                </c:pt>
                <c:pt idx="706">
                  <c:v>-12.423460626716921</c:v>
                </c:pt>
                <c:pt idx="707">
                  <c:v>-12.433855541624181</c:v>
                </c:pt>
                <c:pt idx="708">
                  <c:v>-12.444250462308796</c:v>
                </c:pt>
                <c:pt idx="709">
                  <c:v>-12.454645388770571</c:v>
                </c:pt>
                <c:pt idx="710">
                  <c:v>-12.46504032100931</c:v>
                </c:pt>
                <c:pt idx="711">
                  <c:v>-12.47543525902482</c:v>
                </c:pt>
                <c:pt idx="712">
                  <c:v>-12.485830202816906</c:v>
                </c:pt>
                <c:pt idx="713">
                  <c:v>-12.496225152385374</c:v>
                </c:pt>
                <c:pt idx="714">
                  <c:v>-12.506620107730031</c:v>
                </c:pt>
                <c:pt idx="715">
                  <c:v>-12.51701506885068</c:v>
                </c:pt>
                <c:pt idx="716">
                  <c:v>-12.527410035747129</c:v>
                </c:pt>
                <c:pt idx="717">
                  <c:v>-12.537805008419182</c:v>
                </c:pt>
                <c:pt idx="718">
                  <c:v>-12.548199986866646</c:v>
                </c:pt>
                <c:pt idx="719">
                  <c:v>-12.558594971089326</c:v>
                </c:pt>
                <c:pt idx="720">
                  <c:v>-12.568989961087027</c:v>
                </c:pt>
                <c:pt idx="721">
                  <c:v>-12.579384956859554</c:v>
                </c:pt>
                <c:pt idx="722">
                  <c:v>-12.589779958406716</c:v>
                </c:pt>
                <c:pt idx="723">
                  <c:v>-12.600174965728314</c:v>
                </c:pt>
                <c:pt idx="724">
                  <c:v>-12.610569978824158</c:v>
                </c:pt>
                <c:pt idx="725">
                  <c:v>-12.620964997694051</c:v>
                </c:pt>
                <c:pt idx="726">
                  <c:v>-12.631360022337798</c:v>
                </c:pt>
                <c:pt idx="727">
                  <c:v>-12.641755052755206</c:v>
                </c:pt>
                <c:pt idx="728">
                  <c:v>-12.652150088946081</c:v>
                </c:pt>
                <c:pt idx="729">
                  <c:v>-12.66254513091023</c:v>
                </c:pt>
                <c:pt idx="730">
                  <c:v>-12.672940178647456</c:v>
                </c:pt>
                <c:pt idx="731">
                  <c:v>-12.683335232157566</c:v>
                </c:pt>
                <c:pt idx="732">
                  <c:v>-12.693730291440364</c:v>
                </c:pt>
                <c:pt idx="733">
                  <c:v>-12.704125356495657</c:v>
                </c:pt>
                <c:pt idx="734">
                  <c:v>-12.714520427323251</c:v>
                </c:pt>
                <c:pt idx="735">
                  <c:v>-12.724915503922951</c:v>
                </c:pt>
                <c:pt idx="736">
                  <c:v>-12.735310586294563</c:v>
                </c:pt>
                <c:pt idx="737">
                  <c:v>-12.745705674437893</c:v>
                </c:pt>
                <c:pt idx="738">
                  <c:v>-12.756100768352747</c:v>
                </c:pt>
                <c:pt idx="739">
                  <c:v>-12.76649586803893</c:v>
                </c:pt>
                <c:pt idx="740">
                  <c:v>-12.776890973496249</c:v>
                </c:pt>
                <c:pt idx="741">
                  <c:v>-12.787286084724506</c:v>
                </c:pt>
                <c:pt idx="742">
                  <c:v>-12.797681201723512</c:v>
                </c:pt>
                <c:pt idx="743">
                  <c:v>-12.808076324493067</c:v>
                </c:pt>
                <c:pt idx="744">
                  <c:v>-12.818471453032981</c:v>
                </c:pt>
                <c:pt idx="745">
                  <c:v>-12.828866587343057</c:v>
                </c:pt>
                <c:pt idx="746">
                  <c:v>-12.839261727423104</c:v>
                </c:pt>
                <c:pt idx="747">
                  <c:v>-12.849656873272924</c:v>
                </c:pt>
                <c:pt idx="748">
                  <c:v>-12.860052024892324</c:v>
                </c:pt>
                <c:pt idx="749">
                  <c:v>-12.870447182281112</c:v>
                </c:pt>
                <c:pt idx="750">
                  <c:v>-12.88084234543909</c:v>
                </c:pt>
                <c:pt idx="751">
                  <c:v>-12.891237514366066</c:v>
                </c:pt>
                <c:pt idx="752">
                  <c:v>-12.901632689061847</c:v>
                </c:pt>
                <c:pt idx="753">
                  <c:v>-12.912027869526236</c:v>
                </c:pt>
                <c:pt idx="754">
                  <c:v>-12.92242305575904</c:v>
                </c:pt>
                <c:pt idx="755">
                  <c:v>-12.932818247760064</c:v>
                </c:pt>
                <c:pt idx="756">
                  <c:v>-12.943213445529114</c:v>
                </c:pt>
                <c:pt idx="757">
                  <c:v>-12.953608649065997</c:v>
                </c:pt>
                <c:pt idx="758">
                  <c:v>-12.964003858370516</c:v>
                </c:pt>
                <c:pt idx="759">
                  <c:v>-12.974399073442481</c:v>
                </c:pt>
                <c:pt idx="760">
                  <c:v>-12.984794294281693</c:v>
                </c:pt>
                <c:pt idx="761">
                  <c:v>-12.995189520887962</c:v>
                </c:pt>
                <c:pt idx="762">
                  <c:v>-13.005584753261092</c:v>
                </c:pt>
                <c:pt idx="763">
                  <c:v>-13.015979991400886</c:v>
                </c:pt>
                <c:pt idx="764">
                  <c:v>-13.026375235307155</c:v>
                </c:pt>
                <c:pt idx="765">
                  <c:v>-13.036770484979701</c:v>
                </c:pt>
                <c:pt idx="766">
                  <c:v>-13.047165740418331</c:v>
                </c:pt>
                <c:pt idx="767">
                  <c:v>-13.057561001622849</c:v>
                </c:pt>
                <c:pt idx="768">
                  <c:v>-13.067956268593063</c:v>
                </c:pt>
                <c:pt idx="769">
                  <c:v>-13.078351541328779</c:v>
                </c:pt>
                <c:pt idx="770">
                  <c:v>-13.088746819829801</c:v>
                </c:pt>
                <c:pt idx="771">
                  <c:v>-13.099142104095936</c:v>
                </c:pt>
                <c:pt idx="772">
                  <c:v>-13.10953739412699</c:v>
                </c:pt>
                <c:pt idx="773">
                  <c:v>-13.119932689922768</c:v>
                </c:pt>
                <c:pt idx="774">
                  <c:v>-13.130327991483076</c:v>
                </c:pt>
                <c:pt idx="775">
                  <c:v>-13.140723298807721</c:v>
                </c:pt>
                <c:pt idx="776">
                  <c:v>-13.151118611896507</c:v>
                </c:pt>
                <c:pt idx="777">
                  <c:v>-13.161513930749241</c:v>
                </c:pt>
                <c:pt idx="778">
                  <c:v>-13.171909255365728</c:v>
                </c:pt>
                <c:pt idx="779">
                  <c:v>-13.182304585745774</c:v>
                </c:pt>
                <c:pt idx="780">
                  <c:v>-13.192699921889185</c:v>
                </c:pt>
                <c:pt idx="781">
                  <c:v>-13.203095263795767</c:v>
                </c:pt>
                <c:pt idx="782">
                  <c:v>-13.213490611465325</c:v>
                </c:pt>
                <c:pt idx="783">
                  <c:v>-13.223885964897665</c:v>
                </c:pt>
                <c:pt idx="784">
                  <c:v>-13.234281324092594</c:v>
                </c:pt>
                <c:pt idx="785">
                  <c:v>-13.244676689049916</c:v>
                </c:pt>
                <c:pt idx="786">
                  <c:v>-13.255072059769439</c:v>
                </c:pt>
                <c:pt idx="787">
                  <c:v>-13.265467436250967</c:v>
                </c:pt>
                <c:pt idx="788">
                  <c:v>-13.275862818494307</c:v>
                </c:pt>
                <c:pt idx="789">
                  <c:v>-13.286258206499264</c:v>
                </c:pt>
                <c:pt idx="790">
                  <c:v>-13.296653600265644</c:v>
                </c:pt>
                <c:pt idx="791">
                  <c:v>-13.307048999793254</c:v>
                </c:pt>
                <c:pt idx="792">
                  <c:v>-13.317444405081899</c:v>
                </c:pt>
                <c:pt idx="793">
                  <c:v>-13.327839816131384</c:v>
                </c:pt>
                <c:pt idx="794">
                  <c:v>-13.338235232941516</c:v>
                </c:pt>
                <c:pt idx="795">
                  <c:v>-13.3486306555121</c:v>
                </c:pt>
                <c:pt idx="796">
                  <c:v>-13.359026083842942</c:v>
                </c:pt>
                <c:pt idx="797">
                  <c:v>-13.369421517933848</c:v>
                </c:pt>
                <c:pt idx="798">
                  <c:v>-13.379816957784625</c:v>
                </c:pt>
                <c:pt idx="799">
                  <c:v>-13.390212403395077</c:v>
                </c:pt>
                <c:pt idx="800">
                  <c:v>-13.400607854765012</c:v>
                </c:pt>
                <c:pt idx="801">
                  <c:v>-13.411003311894234</c:v>
                </c:pt>
                <c:pt idx="802">
                  <c:v>-13.421398774782549</c:v>
                </c:pt>
                <c:pt idx="803">
                  <c:v>-13.431794243429765</c:v>
                </c:pt>
                <c:pt idx="804">
                  <c:v>-13.442189717835685</c:v>
                </c:pt>
                <c:pt idx="805">
                  <c:v>-13.452585198000117</c:v>
                </c:pt>
                <c:pt idx="806">
                  <c:v>-13.462980683922865</c:v>
                </c:pt>
                <c:pt idx="807">
                  <c:v>-13.473376175603738</c:v>
                </c:pt>
                <c:pt idx="808">
                  <c:v>-13.483771673042538</c:v>
                </c:pt>
                <c:pt idx="809">
                  <c:v>-13.494167176239074</c:v>
                </c:pt>
                <c:pt idx="810">
                  <c:v>-13.50456268519315</c:v>
                </c:pt>
                <c:pt idx="811">
                  <c:v>-13.514958199904573</c:v>
                </c:pt>
                <c:pt idx="812">
                  <c:v>-13.525353720373149</c:v>
                </c:pt>
                <c:pt idx="813">
                  <c:v>-13.535749246598682</c:v>
                </c:pt>
                <c:pt idx="814">
                  <c:v>-13.546144778580979</c:v>
                </c:pt>
                <c:pt idx="815">
                  <c:v>-13.556540316319847</c:v>
                </c:pt>
                <c:pt idx="816">
                  <c:v>-13.566935859815091</c:v>
                </c:pt>
                <c:pt idx="817">
                  <c:v>-13.577331409066518</c:v>
                </c:pt>
                <c:pt idx="818">
                  <c:v>-13.587726964073934</c:v>
                </c:pt>
                <c:pt idx="819">
                  <c:v>-13.598122524837143</c:v>
                </c:pt>
                <c:pt idx="820">
                  <c:v>-13.60851809135595</c:v>
                </c:pt>
                <c:pt idx="821">
                  <c:v>-13.618913663630165</c:v>
                </c:pt>
                <c:pt idx="822">
                  <c:v>-13.629309241659591</c:v>
                </c:pt>
                <c:pt idx="823">
                  <c:v>-13.639704825444035</c:v>
                </c:pt>
                <c:pt idx="824">
                  <c:v>-13.650100414983303</c:v>
                </c:pt>
                <c:pt idx="825">
                  <c:v>-13.6604960102772</c:v>
                </c:pt>
                <c:pt idx="826">
                  <c:v>-13.670891611325532</c:v>
                </c:pt>
                <c:pt idx="827">
                  <c:v>-13.681287218128105</c:v>
                </c:pt>
                <c:pt idx="828">
                  <c:v>-13.691682830684726</c:v>
                </c:pt>
                <c:pt idx="829">
                  <c:v>-13.7020784489952</c:v>
                </c:pt>
                <c:pt idx="830">
                  <c:v>-13.712474073059335</c:v>
                </c:pt>
                <c:pt idx="831">
                  <c:v>-13.722869702876935</c:v>
                </c:pt>
                <c:pt idx="832">
                  <c:v>-13.733265338447804</c:v>
                </c:pt>
                <c:pt idx="833">
                  <c:v>-13.743660979771752</c:v>
                </c:pt>
                <c:pt idx="834">
                  <c:v>-13.754056626848582</c:v>
                </c:pt>
                <c:pt idx="835">
                  <c:v>-13.764452279678101</c:v>
                </c:pt>
                <c:pt idx="836">
                  <c:v>-13.774847938260116</c:v>
                </c:pt>
                <c:pt idx="837">
                  <c:v>-13.785243602594432</c:v>
                </c:pt>
                <c:pt idx="838">
                  <c:v>-13.795639272680855</c:v>
                </c:pt>
                <c:pt idx="839">
                  <c:v>-13.806034948519192</c:v>
                </c:pt>
                <c:pt idx="840">
                  <c:v>-13.816430630109249</c:v>
                </c:pt>
                <c:pt idx="841">
                  <c:v>-13.826826317450829</c:v>
                </c:pt>
                <c:pt idx="842">
                  <c:v>-13.837222010543741</c:v>
                </c:pt>
                <c:pt idx="843">
                  <c:v>-13.847617709387789</c:v>
                </c:pt>
                <c:pt idx="844">
                  <c:v>-13.85801341398278</c:v>
                </c:pt>
                <c:pt idx="845">
                  <c:v>-13.868409124328521</c:v>
                </c:pt>
                <c:pt idx="846">
                  <c:v>-13.878804840424817</c:v>
                </c:pt>
                <c:pt idx="847">
                  <c:v>-13.889200562271474</c:v>
                </c:pt>
                <c:pt idx="848">
                  <c:v>-13.899596289868299</c:v>
                </c:pt>
                <c:pt idx="849">
                  <c:v>-13.909992023215096</c:v>
                </c:pt>
                <c:pt idx="850">
                  <c:v>-13.920387762311673</c:v>
                </c:pt>
                <c:pt idx="851">
                  <c:v>-13.930783507157836</c:v>
                </c:pt>
                <c:pt idx="852">
                  <c:v>-13.941179257753388</c:v>
                </c:pt>
                <c:pt idx="853">
                  <c:v>-13.951575014098138</c:v>
                </c:pt>
                <c:pt idx="854">
                  <c:v>-13.96197077619189</c:v>
                </c:pt>
                <c:pt idx="855">
                  <c:v>-13.972366544034452</c:v>
                </c:pt>
                <c:pt idx="856">
                  <c:v>-13.98276231762563</c:v>
                </c:pt>
                <c:pt idx="857">
                  <c:v>-13.99315809696523</c:v>
                </c:pt>
                <c:pt idx="858">
                  <c:v>-14.003553882053057</c:v>
                </c:pt>
                <c:pt idx="859">
                  <c:v>-14.013949672888916</c:v>
                </c:pt>
                <c:pt idx="860">
                  <c:v>-14.024345469472616</c:v>
                </c:pt>
                <c:pt idx="861">
                  <c:v>-14.034741271803961</c:v>
                </c:pt>
                <c:pt idx="862">
                  <c:v>-14.045137079882759</c:v>
                </c:pt>
                <c:pt idx="863">
                  <c:v>-14.055532893708813</c:v>
                </c:pt>
                <c:pt idx="864">
                  <c:v>-14.065928713281931</c:v>
                </c:pt>
                <c:pt idx="865">
                  <c:v>-14.076324538601918</c:v>
                </c:pt>
                <c:pt idx="866">
                  <c:v>-14.086720369668582</c:v>
                </c:pt>
                <c:pt idx="867">
                  <c:v>-14.097116206481727</c:v>
                </c:pt>
                <c:pt idx="868">
                  <c:v>-14.107512049041162</c:v>
                </c:pt>
                <c:pt idx="869">
                  <c:v>-14.11790789734669</c:v>
                </c:pt>
                <c:pt idx="870">
                  <c:v>-14.128303751398118</c:v>
                </c:pt>
                <c:pt idx="871">
                  <c:v>-14.138699611195252</c:v>
                </c:pt>
                <c:pt idx="872">
                  <c:v>-14.149095476737898</c:v>
                </c:pt>
                <c:pt idx="873">
                  <c:v>-14.159491348025863</c:v>
                </c:pt>
                <c:pt idx="874">
                  <c:v>-14.169887225058954</c:v>
                </c:pt>
                <c:pt idx="875">
                  <c:v>-14.180283107836974</c:v>
                </c:pt>
                <c:pt idx="876">
                  <c:v>-14.190678996359731</c:v>
                </c:pt>
                <c:pt idx="877">
                  <c:v>-14.20107489062703</c:v>
                </c:pt>
                <c:pt idx="878">
                  <c:v>-14.211470790638678</c:v>
                </c:pt>
                <c:pt idx="879">
                  <c:v>-14.221866696394482</c:v>
                </c:pt>
                <c:pt idx="880">
                  <c:v>-14.232262607894247</c:v>
                </c:pt>
                <c:pt idx="881">
                  <c:v>-14.242658525137779</c:v>
                </c:pt>
                <c:pt idx="882">
                  <c:v>-14.253054448124885</c:v>
                </c:pt>
                <c:pt idx="883">
                  <c:v>-14.263450376855371</c:v>
                </c:pt>
                <c:pt idx="884">
                  <c:v>-14.273846311329041</c:v>
                </c:pt>
                <c:pt idx="885">
                  <c:v>-14.284242251545704</c:v>
                </c:pt>
                <c:pt idx="886">
                  <c:v>-14.294638197505165</c:v>
                </c:pt>
                <c:pt idx="887">
                  <c:v>-14.305034149207229</c:v>
                </c:pt>
                <c:pt idx="888">
                  <c:v>-14.315430106651704</c:v>
                </c:pt>
                <c:pt idx="889">
                  <c:v>-14.325826069838394</c:v>
                </c:pt>
                <c:pt idx="890">
                  <c:v>-14.336222038767106</c:v>
                </c:pt>
                <c:pt idx="891">
                  <c:v>-14.346618013437647</c:v>
                </c:pt>
                <c:pt idx="892">
                  <c:v>-14.357013993849822</c:v>
                </c:pt>
                <c:pt idx="893">
                  <c:v>-14.367409980003439</c:v>
                </c:pt>
                <c:pt idx="894">
                  <c:v>-14.377805971898303</c:v>
                </c:pt>
                <c:pt idx="895">
                  <c:v>-14.388201969534219</c:v>
                </c:pt>
                <c:pt idx="896">
                  <c:v>-14.398597972910995</c:v>
                </c:pt>
                <c:pt idx="897">
                  <c:v>-14.408993982028436</c:v>
                </c:pt>
                <c:pt idx="898">
                  <c:v>-14.419389996886348</c:v>
                </c:pt>
                <c:pt idx="899">
                  <c:v>-14.429786017484538</c:v>
                </c:pt>
                <c:pt idx="900">
                  <c:v>-14.440182043822812</c:v>
                </c:pt>
                <c:pt idx="901">
                  <c:v>-14.450578075900976</c:v>
                </c:pt>
                <c:pt idx="902">
                  <c:v>-14.460974113718837</c:v>
                </c:pt>
                <c:pt idx="903">
                  <c:v>-14.471370157276201</c:v>
                </c:pt>
                <c:pt idx="904">
                  <c:v>-14.481766206572873</c:v>
                </c:pt>
                <c:pt idx="905">
                  <c:v>-14.492162261608661</c:v>
                </c:pt>
                <c:pt idx="906">
                  <c:v>-14.502558322383369</c:v>
                </c:pt>
                <c:pt idx="907">
                  <c:v>-14.512954388896803</c:v>
                </c:pt>
                <c:pt idx="908">
                  <c:v>-14.523350461148771</c:v>
                </c:pt>
                <c:pt idx="909">
                  <c:v>-14.533746539139079</c:v>
                </c:pt>
                <c:pt idx="910">
                  <c:v>-14.544142622867533</c:v>
                </c:pt>
                <c:pt idx="911">
                  <c:v>-14.554538712333938</c:v>
                </c:pt>
                <c:pt idx="912">
                  <c:v>-14.564934807538101</c:v>
                </c:pt>
                <c:pt idx="913">
                  <c:v>-14.575330908479829</c:v>
                </c:pt>
                <c:pt idx="914">
                  <c:v>-14.585727015158929</c:v>
                </c:pt>
                <c:pt idx="915">
                  <c:v>-14.596123127575204</c:v>
                </c:pt>
                <c:pt idx="916">
                  <c:v>-14.606519245728462</c:v>
                </c:pt>
                <c:pt idx="917">
                  <c:v>-14.616915369618509</c:v>
                </c:pt>
                <c:pt idx="918">
                  <c:v>-14.627311499245153</c:v>
                </c:pt>
                <c:pt idx="919">
                  <c:v>-14.637707634608198</c:v>
                </c:pt>
                <c:pt idx="920">
                  <c:v>-14.648103775707451</c:v>
                </c:pt>
                <c:pt idx="921">
                  <c:v>-14.658499922542719</c:v>
                </c:pt>
                <c:pt idx="922">
                  <c:v>-14.668896075113805</c:v>
                </c:pt>
                <c:pt idx="923">
                  <c:v>-14.679292233420519</c:v>
                </c:pt>
                <c:pt idx="924">
                  <c:v>-14.689688397462666</c:v>
                </c:pt>
                <c:pt idx="925">
                  <c:v>-14.700084567240051</c:v>
                </c:pt>
                <c:pt idx="926">
                  <c:v>-14.710480742752482</c:v>
                </c:pt>
                <c:pt idx="927">
                  <c:v>-14.720876923999764</c:v>
                </c:pt>
                <c:pt idx="928">
                  <c:v>-14.731273110981704</c:v>
                </c:pt>
                <c:pt idx="929">
                  <c:v>-14.741669303698108</c:v>
                </c:pt>
                <c:pt idx="930">
                  <c:v>-14.752065502148783</c:v>
                </c:pt>
                <c:pt idx="931">
                  <c:v>-14.762461706333534</c:v>
                </c:pt>
                <c:pt idx="932">
                  <c:v>-14.772857916252168</c:v>
                </c:pt>
                <c:pt idx="933">
                  <c:v>-14.78325413190449</c:v>
                </c:pt>
                <c:pt idx="934">
                  <c:v>-14.793650353290309</c:v>
                </c:pt>
                <c:pt idx="935">
                  <c:v>-14.804046580409429</c:v>
                </c:pt>
                <c:pt idx="936">
                  <c:v>-14.814442813261657</c:v>
                </c:pt>
                <c:pt idx="937">
                  <c:v>-14.8248390518468</c:v>
                </c:pt>
                <c:pt idx="938">
                  <c:v>-14.835235296164662</c:v>
                </c:pt>
                <c:pt idx="939">
                  <c:v>-14.845631546215051</c:v>
                </c:pt>
                <c:pt idx="940">
                  <c:v>-14.856027801997774</c:v>
                </c:pt>
                <c:pt idx="941">
                  <c:v>-14.866424063512635</c:v>
                </c:pt>
                <c:pt idx="942">
                  <c:v>-14.876820330759443</c:v>
                </c:pt>
                <c:pt idx="943">
                  <c:v>-14.887216603738002</c:v>
                </c:pt>
                <c:pt idx="944">
                  <c:v>-14.89761288244812</c:v>
                </c:pt>
                <c:pt idx="945">
                  <c:v>-14.908009166889602</c:v>
                </c:pt>
                <c:pt idx="946">
                  <c:v>-14.918405457062255</c:v>
                </c:pt>
                <c:pt idx="947">
                  <c:v>-14.928801752965885</c:v>
                </c:pt>
                <c:pt idx="948">
                  <c:v>-14.939198054600299</c:v>
                </c:pt>
                <c:pt idx="949">
                  <c:v>-14.949594361965302</c:v>
                </c:pt>
                <c:pt idx="950">
                  <c:v>-14.9599906750607</c:v>
                </c:pt>
                <c:pt idx="951">
                  <c:v>-14.970386993886303</c:v>
                </c:pt>
                <c:pt idx="952">
                  <c:v>-14.980783318441913</c:v>
                </c:pt>
                <c:pt idx="953">
                  <c:v>-14.991179648727339</c:v>
                </c:pt>
                <c:pt idx="954">
                  <c:v>-15.001575984742386</c:v>
                </c:pt>
                <c:pt idx="955">
                  <c:v>-15.011972326486861</c:v>
                </c:pt>
                <c:pt idx="956">
                  <c:v>-15.022368673960569</c:v>
                </c:pt>
                <c:pt idx="957">
                  <c:v>-15.032765027163318</c:v>
                </c:pt>
                <c:pt idx="958">
                  <c:v>-15.043161386094914</c:v>
                </c:pt>
                <c:pt idx="959">
                  <c:v>-15.053557750755163</c:v>
                </c:pt>
                <c:pt idx="960">
                  <c:v>-15.063954121143871</c:v>
                </c:pt>
                <c:pt idx="961">
                  <c:v>-15.074350497260845</c:v>
                </c:pt>
                <c:pt idx="962">
                  <c:v>-15.084746879105891</c:v>
                </c:pt>
                <c:pt idx="963">
                  <c:v>-15.095143266678816</c:v>
                </c:pt>
                <c:pt idx="964">
                  <c:v>-15.105539659979424</c:v>
                </c:pt>
                <c:pt idx="965">
                  <c:v>-15.115936059007524</c:v>
                </c:pt>
                <c:pt idx="966">
                  <c:v>-15.126332463762921</c:v>
                </c:pt>
                <c:pt idx="967">
                  <c:v>-15.136728874245422</c:v>
                </c:pt>
                <c:pt idx="968">
                  <c:v>-15.147125290454834</c:v>
                </c:pt>
                <c:pt idx="969">
                  <c:v>-15.157521712390963</c:v>
                </c:pt>
                <c:pt idx="970">
                  <c:v>-15.167918140053615</c:v>
                </c:pt>
                <c:pt idx="971">
                  <c:v>-15.178314573442595</c:v>
                </c:pt>
                <c:pt idx="972">
                  <c:v>-15.188711012557711</c:v>
                </c:pt>
                <c:pt idx="973">
                  <c:v>-15.199107457398769</c:v>
                </c:pt>
                <c:pt idx="974">
                  <c:v>-15.209503907965576</c:v>
                </c:pt>
                <c:pt idx="975">
                  <c:v>-15.219900364257938</c:v>
                </c:pt>
                <c:pt idx="976">
                  <c:v>-15.230296826275662</c:v>
                </c:pt>
                <c:pt idx="977">
                  <c:v>-15.240693294018554</c:v>
                </c:pt>
                <c:pt idx="978">
                  <c:v>-15.25108976748642</c:v>
                </c:pt>
                <c:pt idx="979">
                  <c:v>-15.261486246679066</c:v>
                </c:pt>
                <c:pt idx="980">
                  <c:v>-15.271882731596298</c:v>
                </c:pt>
                <c:pt idx="981">
                  <c:v>-15.282279222237923</c:v>
                </c:pt>
                <c:pt idx="982">
                  <c:v>-15.292675718603748</c:v>
                </c:pt>
                <c:pt idx="983">
                  <c:v>-15.303072220693579</c:v>
                </c:pt>
                <c:pt idx="984">
                  <c:v>-15.313468728507223</c:v>
                </c:pt>
                <c:pt idx="985">
                  <c:v>-15.323865242044485</c:v>
                </c:pt>
                <c:pt idx="986">
                  <c:v>-15.334261761305173</c:v>
                </c:pt>
                <c:pt idx="987">
                  <c:v>-15.344658286289095</c:v>
                </c:pt>
                <c:pt idx="988">
                  <c:v>-15.355054816996054</c:v>
                </c:pt>
                <c:pt idx="989">
                  <c:v>-15.365451353425858</c:v>
                </c:pt>
                <c:pt idx="990">
                  <c:v>-15.375847895578312</c:v>
                </c:pt>
                <c:pt idx="991">
                  <c:v>-15.386244443453224</c:v>
                </c:pt>
                <c:pt idx="992">
                  <c:v>-15.396640997050399</c:v>
                </c:pt>
                <c:pt idx="993">
                  <c:v>-15.407037556369646</c:v>
                </c:pt>
                <c:pt idx="994">
                  <c:v>-15.41743412141077</c:v>
                </c:pt>
                <c:pt idx="995">
                  <c:v>-15.427830692173575</c:v>
                </c:pt>
                <c:pt idx="996">
                  <c:v>-15.438227268657872</c:v>
                </c:pt>
                <c:pt idx="997">
                  <c:v>-15.448623850863465</c:v>
                </c:pt>
                <c:pt idx="998">
                  <c:v>-15.45902043879016</c:v>
                </c:pt>
                <c:pt idx="999">
                  <c:v>-15.469417032437764</c:v>
                </c:pt>
                <c:pt idx="1000">
                  <c:v>-15.479813631806085</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Pandora (Pro24-6G BS)</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0.02</c:v>
                </c:pt>
                <c:pt idx="2">
                  <c:v>0.04</c:v>
                </c:pt>
                <c:pt idx="3">
                  <c:v>0.62</c:v>
                </c:pt>
                <c:pt idx="4">
                  <c:v>0.66</c:v>
                </c:pt>
                <c:pt idx="5">
                  <c:v>0.68</c:v>
                </c:pt>
                <c:pt idx="6">
                  <c:v>0.8</c:v>
                </c:pt>
                <c:pt idx="7">
                  <c:v>0.84</c:v>
                </c:pt>
                <c:pt idx="8">
                  <c:v>0.88</c:v>
                </c:pt>
                <c:pt idx="9">
                  <c:v>0.92</c:v>
                </c:pt>
                <c:pt idx="10">
                  <c:v>0.96</c:v>
                </c:pt>
                <c:pt idx="11">
                  <c:v>1</c:v>
                </c:pt>
                <c:pt idx="12">
                  <c:v>1.08</c:v>
                </c:pt>
                <c:pt idx="13">
                  <c:v>2</c:v>
                </c:pt>
                <c:pt idx="14">
                  <c:v>2</c:v>
                </c:pt>
                <c:pt idx="15">
                  <c:v>2</c:v>
                </c:pt>
                <c:pt idx="16">
                  <c:v>2</c:v>
                </c:pt>
                <c:pt idx="17">
                  <c:v>2</c:v>
                </c:pt>
                <c:pt idx="18">
                  <c:v>2</c:v>
                </c:pt>
                <c:pt idx="19">
                  <c:v>2</c:v>
                </c:pt>
                <c:pt idx="20">
                  <c:v>2</c:v>
                </c:pt>
                <c:pt idx="21">
                  <c:v>2</c:v>
                </c:pt>
                <c:pt idx="22">
                  <c:v>2</c:v>
                </c:pt>
              </c:numCache>
            </c:numRef>
          </c:xVal>
          <c:yVal>
            <c:numRef>
              <c:f>Propu!$B$4:$X$4</c:f>
              <c:numCache>
                <c:formatCode>General</c:formatCode>
                <c:ptCount val="23"/>
                <c:pt idx="0">
                  <c:v>0</c:v>
                </c:pt>
                <c:pt idx="1">
                  <c:v>250</c:v>
                </c:pt>
                <c:pt idx="2">
                  <c:v>210</c:v>
                </c:pt>
                <c:pt idx="3">
                  <c:v>160</c:v>
                </c:pt>
                <c:pt idx="4">
                  <c:v>150</c:v>
                </c:pt>
                <c:pt idx="5">
                  <c:v>142</c:v>
                </c:pt>
                <c:pt idx="6">
                  <c:v>62</c:v>
                </c:pt>
                <c:pt idx="7">
                  <c:v>48</c:v>
                </c:pt>
                <c:pt idx="8">
                  <c:v>34</c:v>
                </c:pt>
                <c:pt idx="9">
                  <c:v>24</c:v>
                </c:pt>
                <c:pt idx="10">
                  <c:v>15</c:v>
                </c:pt>
                <c:pt idx="11">
                  <c:v>10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Abaco!$K$43:$K$51</c:f>
              <c:numCache>
                <c:formatCode>General" m/s"</c:formatCode>
                <c:ptCount val="9"/>
                <c:pt idx="0">
                  <c:v>369.32332981562001</c:v>
                </c:pt>
                <c:pt idx="1">
                  <c:v>142.31988756900898</c:v>
                </c:pt>
                <c:pt idx="2">
                  <c:v>71.262063373651841</c:v>
                </c:pt>
                <c:pt idx="3">
                  <c:v>43.095633158179695</c:v>
                </c:pt>
                <c:pt idx="4">
                  <c:v>28.182598110462852</c:v>
                </c:pt>
                <c:pt idx="5">
                  <c:v>18.978781433371434</c:v>
                </c:pt>
                <c:pt idx="6">
                  <c:v>12.739461989852888</c:v>
                </c:pt>
                <c:pt idx="7">
                  <c:v>8.2333532280130157</c:v>
                </c:pt>
                <c:pt idx="8">
                  <c:v>4.8272440649354555</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Abaco!$K$52:$K$60</c:f>
              <c:numCache>
                <c:formatCode>General" m/s"</c:formatCode>
                <c:ptCount val="9"/>
                <c:pt idx="0">
                  <c:v>185.42201346176171</c:v>
                </c:pt>
                <c:pt idx="1">
                  <c:v>122.30750284724346</c:v>
                </c:pt>
                <c:pt idx="2">
                  <c:v>68.118773323234933</c:v>
                </c:pt>
                <c:pt idx="3">
                  <c:v>42.280342085746796</c:v>
                </c:pt>
                <c:pt idx="4">
                  <c:v>27.914108931881561</c:v>
                </c:pt>
                <c:pt idx="5">
                  <c:v>18.879993961508426</c:v>
                </c:pt>
                <c:pt idx="6">
                  <c:v>12.70204996365022</c:v>
                </c:pt>
                <c:pt idx="7">
                  <c:v>8.2198823330009283</c:v>
                </c:pt>
                <c:pt idx="8">
                  <c:v>4.8231758108831073</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Abaco!$K$61:$K$69</c:f>
              <c:numCache>
                <c:formatCode>General" m/s"</c:formatCode>
                <c:ptCount val="9"/>
                <c:pt idx="0">
                  <c:v>123.6157213781817</c:v>
                </c:pt>
                <c:pt idx="1">
                  <c:v>100.66747847731033</c:v>
                </c:pt>
                <c:pt idx="2">
                  <c:v>63.559462795447416</c:v>
                </c:pt>
                <c:pt idx="3">
                  <c:v>41.000785070444437</c:v>
                </c:pt>
                <c:pt idx="4">
                  <c:v>27.480013690343753</c:v>
                </c:pt>
                <c:pt idx="5">
                  <c:v>18.718062340898054</c:v>
                </c:pt>
                <c:pt idx="6">
                  <c:v>12.640279128016655</c:v>
                </c:pt>
                <c:pt idx="7">
                  <c:v>8.1975480058218437</c:v>
                </c:pt>
                <c:pt idx="8">
                  <c:v>4.8164136425617512</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Abaco!$L$43:$L$51</c:f>
              <c:numCache>
                <c:formatCode>General" m"</c:formatCode>
                <c:ptCount val="9"/>
                <c:pt idx="0">
                  <c:v>943.72596711044525</c:v>
                </c:pt>
                <c:pt idx="1">
                  <c:v>804.9541308787559</c:v>
                </c:pt>
                <c:pt idx="2">
                  <c:v>310.39487098037023</c:v>
                </c:pt>
                <c:pt idx="3">
                  <c:v>135.90104215013088</c:v>
                </c:pt>
                <c:pt idx="4">
                  <c:v>68.428548789343722</c:v>
                </c:pt>
                <c:pt idx="5">
                  <c:v>37.307028650692288</c:v>
                </c:pt>
                <c:pt idx="6">
                  <c:v>21.009608363343673</c:v>
                </c:pt>
                <c:pt idx="7">
                  <c:v>11.689458025400095</c:v>
                </c:pt>
                <c:pt idx="8">
                  <c:v>6.0154790726812939</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Abaco!$L$52:$L$60</c:f>
              <c:numCache>
                <c:formatCode>General" m"</c:formatCode>
                <c:ptCount val="9"/>
                <c:pt idx="0">
                  <c:v>421.40012018928473</c:v>
                </c:pt>
                <c:pt idx="1">
                  <c:v>446.29006772428693</c:v>
                </c:pt>
                <c:pt idx="2">
                  <c:v>253.13996571778347</c:v>
                </c:pt>
                <c:pt idx="3">
                  <c:v>127.08333746799349</c:v>
                </c:pt>
                <c:pt idx="4">
                  <c:v>66.751948657554763</c:v>
                </c:pt>
                <c:pt idx="5">
                  <c:v>36.931951445269817</c:v>
                </c:pt>
                <c:pt idx="6">
                  <c:v>20.918918552449071</c:v>
                </c:pt>
                <c:pt idx="7">
                  <c:v>11.667865416146189</c:v>
                </c:pt>
                <c:pt idx="8">
                  <c:v>6.0110724595290419</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Abaco!$L$61:$L$69</c:f>
              <c:numCache>
                <c:formatCode>General" m"</c:formatCode>
                <c:ptCount val="9"/>
                <c:pt idx="0">
                  <c:v>269.6994657695717</c:v>
                </c:pt>
                <c:pt idx="1">
                  <c:v>290.12723839993868</c:v>
                </c:pt>
                <c:pt idx="2">
                  <c:v>201.33926579473797</c:v>
                </c:pt>
                <c:pt idx="3">
                  <c:v>115.53714765087051</c:v>
                </c:pt>
                <c:pt idx="4">
                  <c:v>64.219150313075403</c:v>
                </c:pt>
                <c:pt idx="5">
                  <c:v>36.332850103724113</c:v>
                </c:pt>
                <c:pt idx="6">
                  <c:v>20.770620702032517</c:v>
                </c:pt>
                <c:pt idx="7">
                  <c:v>11.632179820300987</c:v>
                </c:pt>
                <c:pt idx="8">
                  <c:v>6.0037531153321329</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Abaco!$M$43:$M$51</c:f>
              <c:numCache>
                <c:formatCode>General" s"</c:formatCode>
                <c:ptCount val="9"/>
                <c:pt idx="0">
                  <c:v>8.0066772056142064</c:v>
                </c:pt>
                <c:pt idx="1">
                  <c:v>12.793617430106487</c:v>
                </c:pt>
                <c:pt idx="2">
                  <c:v>8.8810434134296123</c:v>
                </c:pt>
                <c:pt idx="3">
                  <c:v>6.331145441564173</c:v>
                </c:pt>
                <c:pt idx="4">
                  <c:v>4.8595119443346597</c:v>
                </c:pt>
                <c:pt idx="5">
                  <c:v>3.9313427906858012</c:v>
                </c:pt>
                <c:pt idx="6">
                  <c:v>3.2977851034575423</c:v>
                </c:pt>
                <c:pt idx="7">
                  <c:v>2.8390878207481678</c:v>
                </c:pt>
                <c:pt idx="8">
                  <c:v>2.4920395416448731</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Abaco!$M$52:$M$60</c:f>
              <c:numCache>
                <c:formatCode>General" s"</c:formatCode>
                <c:ptCount val="9"/>
                <c:pt idx="0">
                  <c:v>5.004247001248757</c:v>
                </c:pt>
                <c:pt idx="1">
                  <c:v>8.9603596716545511</c:v>
                </c:pt>
                <c:pt idx="2">
                  <c:v>7.859339665954681</c:v>
                </c:pt>
                <c:pt idx="3">
                  <c:v>6.0915958965925165</c:v>
                </c:pt>
                <c:pt idx="4">
                  <c:v>4.7948832309257456</c:v>
                </c:pt>
                <c:pt idx="5">
                  <c:v>3.9117132174804201</c:v>
                </c:pt>
                <c:pt idx="6">
                  <c:v>3.2915075012257997</c:v>
                </c:pt>
                <c:pt idx="7">
                  <c:v>2.8371378357021166</c:v>
                </c:pt>
                <c:pt idx="8">
                  <c:v>2.4915224327310668</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0.87290000000000001</c:v>
                </c:pt>
                <c:pt idx="2">
                  <c:v>1.5858999999999999</c:v>
                </c:pt>
                <c:pt idx="3">
                  <c:v>2.2988999999999997</c:v>
                </c:pt>
                <c:pt idx="4">
                  <c:v>3.0118999999999998</c:v>
                </c:pt>
                <c:pt idx="5">
                  <c:v>3.7248999999999999</c:v>
                </c:pt>
                <c:pt idx="6">
                  <c:v>4.4379</c:v>
                </c:pt>
                <c:pt idx="7">
                  <c:v>5.1509</c:v>
                </c:pt>
                <c:pt idx="8">
                  <c:v>5.8639000000000001</c:v>
                </c:pt>
              </c:numCache>
            </c:numRef>
          </c:xVal>
          <c:yVal>
            <c:numRef>
              <c:f>Abaco!$M$61:$M$69</c:f>
              <c:numCache>
                <c:formatCode>General" s"</c:formatCode>
                <c:ptCount val="9"/>
                <c:pt idx="0">
                  <c:v>4.0028325784479488</c:v>
                </c:pt>
                <c:pt idx="1">
                  <c:v>6.9752152974686847</c:v>
                </c:pt>
                <c:pt idx="2">
                  <c:v>6.8744682273714588</c:v>
                </c:pt>
                <c:pt idx="3">
                  <c:v>5.7710229785016303</c:v>
                </c:pt>
                <c:pt idx="4">
                  <c:v>4.6965042733347273</c:v>
                </c:pt>
                <c:pt idx="5">
                  <c:v>3.8802796586432082</c:v>
                </c:pt>
                <c:pt idx="6">
                  <c:v>3.2812358737486571</c:v>
                </c:pt>
                <c:pt idx="7">
                  <c:v>2.8339154316418158</c:v>
                </c:pt>
                <c:pt idx="8">
                  <c:v>2.4906637617426242</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2852"/>
</file>

<file path=xl/ctrlProps/ctrlProp3.xml><?xml version="1.0" encoding="utf-8"?>
<formControlPr xmlns="http://schemas.microsoft.com/office/spreadsheetml/2009/9/main" objectType="Spin" dx="15" fmlaLink="$C$13" inc="50" max="30000" noThreeD="1" page="10" val="543"/>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7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20"/>
</file>

<file path=xl/ctrlProps/ctrlProp8.xml><?xml version="1.0" encoding="utf-8"?>
<formControlPr xmlns="http://schemas.microsoft.com/office/spreadsheetml/2009/9/main" objectType="Spin" dx="15" fmlaLink="$C$31" inc="10" max="30000" noThreeD="1" page="10" val="10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992"/>
</file>

<file path=xl/ctrlProps/ctrlProp12.xml><?xml version="1.0" encoding="utf-8"?>
<formControlPr xmlns="http://schemas.microsoft.com/office/spreadsheetml/2009/9/main" objectType="Spin" dx="15" fmlaLink="$C$12" inc="100" max="30000" noThreeD="1" page="10" val="2852"/>
</file>

<file path=xl/ctrlProps/ctrlProp13.xml><?xml version="1.0" encoding="utf-8"?>
<formControlPr xmlns="http://schemas.microsoft.com/office/spreadsheetml/2009/9/main" objectType="Spin" dx="15" fmlaLink="$C$12" inc="100" max="30000" noThreeD="1" page="10" val="2852"/>
</file>

<file path=xl/ctrlProps/ctrlProp14.xml><?xml version="1.0" encoding="utf-8"?>
<formControlPr xmlns="http://schemas.microsoft.com/office/spreadsheetml/2009/9/main" objectType="Spin" dx="15" fmlaLink="Stabilito!C12" inc="100" max="30000" noThreeD="1" page="10" val="2852"/>
</file>

<file path=xl/ctrlProps/ctrlProp15.xml><?xml version="1.0" encoding="utf-8"?>
<formControlPr xmlns="http://schemas.microsoft.com/office/spreadsheetml/2009/9/main" objectType="Spin" dx="15" fmlaLink="$B$44" inc="50" max="30000" noThreeD="1" page="10" val="250"/>
</file>

<file path=xl/ctrlProps/ctrlProp16.xml><?xml version="1.0" encoding="utf-8"?>
<formControlPr xmlns="http://schemas.microsoft.com/office/spreadsheetml/2009/9/main" objectType="Spin" dx="15" fmlaLink="$B$46" inc="50" max="30000" noThreeD="1" page="10" val="25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2852"/>
</file>

<file path=xl/ctrlProps/ctrlProp20.xml><?xml version="1.0" encoding="utf-8"?>
<formControlPr xmlns="http://schemas.microsoft.com/office/spreadsheetml/2009/9/main" objectType="Spin" dx="15" fmlaLink="Stabilito!C12" inc="100" max="30000" noThreeD="1" page="10" val="2852"/>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6072" y="189624"/>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xi\Documents\scolaire\IPSA\AeroIpsa\SP-02\STABTRAJ\pro24_4_4_new\Alpha_Beta\alpha_beta_actif.xlsx" TargetMode="External"/><Relationship Id="rId1" Type="http://schemas.openxmlformats.org/officeDocument/2006/relationships/externalLinkPath" Target="/Users/alexi/Documents/scolaire/IPSA/AeroIpsa/SP-02/STABTRAJ/pro24_4_4_new/Alpha_Beta/alpha_beta_acti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bilito"/>
      <sheetName val="Trajecto"/>
      <sheetName val="Courbes"/>
      <sheetName val="Propu"/>
      <sheetName val="Calculs"/>
      <sheetName val="Abaco"/>
      <sheetName val="Info"/>
      <sheetName val="Controle"/>
    </sheetNames>
    <definedNames>
      <definedName name="D1j" refersTo="='Stabilito'!$M$7"/>
      <definedName name="ep_can" refersTo="='Stabilito'!$D$32"/>
      <definedName name="l_j" refersTo="='Stabilito'!$M$6"/>
      <definedName name="m_can" refersTo="='Stabilito'!$D$28"/>
      <definedName name="Q_can" refersTo="='Stabilito'!$D$33"/>
      <definedName name="X_j" refersTo="='Stabilito'!$M$9"/>
    </definedNames>
    <sheetDataSet>
      <sheetData sheetId="0">
        <row r="6">
          <cell r="M6">
            <v>60</v>
          </cell>
        </row>
        <row r="7">
          <cell r="M7">
            <v>84</v>
          </cell>
        </row>
        <row r="9">
          <cell r="M9">
            <v>932</v>
          </cell>
        </row>
        <row r="28">
          <cell r="D28">
            <v>170</v>
          </cell>
        </row>
        <row r="32">
          <cell r="D32">
            <v>3</v>
          </cell>
        </row>
        <row r="33">
          <cell r="D33">
            <v>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topLeftCell="B5" zoomScale="145" zoomScaleNormal="145" zoomScaleSheetLayoutView="100" workbookViewId="0">
      <selection activeCell="C11" sqref="C11:D11"/>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58" t="s">
        <v>53</v>
      </c>
      <c r="D2" s="558"/>
      <c r="L2" s="147" t="str">
        <f>"Language/Langue"</f>
        <v>Language/Langue</v>
      </c>
      <c r="M2" s="583" t="s">
        <v>1</v>
      </c>
      <c r="N2" s="583"/>
      <c r="O2" s="583"/>
      <c r="P2" s="584"/>
      <c r="Q2" s="27"/>
    </row>
    <row r="3" spans="1:20" ht="12.75" customHeight="1" x14ac:dyDescent="0.2">
      <c r="A3" s="25"/>
      <c r="C3" s="558"/>
      <c r="D3" s="558"/>
      <c r="L3" s="591"/>
      <c r="M3" s="591"/>
      <c r="N3" s="45"/>
      <c r="Q3" s="27"/>
    </row>
    <row r="4" spans="1:20" ht="12.75" customHeight="1" x14ac:dyDescent="0.2">
      <c r="A4" s="25"/>
      <c r="C4" s="559" t="str">
        <f>IF(Lang="Français","Stabilité de fusée à ailerons",IF(Lang="English","Stability for rocket with fins",""))</f>
        <v>Stabilité de fusée à ailerons</v>
      </c>
      <c r="D4" s="559"/>
      <c r="L4" s="33"/>
      <c r="M4" s="583" t="s">
        <v>570</v>
      </c>
      <c r="N4" s="583"/>
      <c r="O4" s="583"/>
      <c r="P4" s="584"/>
      <c r="Q4" s="27"/>
    </row>
    <row r="5" spans="1:20" ht="12.75" customHeight="1" x14ac:dyDescent="0.25">
      <c r="A5" s="25"/>
      <c r="B5" s="28"/>
      <c r="C5" s="540"/>
      <c r="D5" s="540"/>
      <c r="L5" s="33"/>
      <c r="M5" s="565" t="s">
        <v>156</v>
      </c>
      <c r="N5" s="566"/>
      <c r="O5" s="594" t="s">
        <v>157</v>
      </c>
      <c r="P5" s="594"/>
      <c r="Q5" s="29"/>
    </row>
    <row r="6" spans="1:20" ht="12.75" customHeight="1" thickBot="1" x14ac:dyDescent="0.25">
      <c r="A6" s="25"/>
      <c r="B6" s="87"/>
      <c r="C6" s="553" t="str">
        <f>IF(Lang="Français","Remplir les cases jaunes",IF(Lang="English","Fill-in yellow cells only",""))</f>
        <v>Remplir les cases jaunes</v>
      </c>
      <c r="D6" s="553"/>
      <c r="L6" s="139" t="str">
        <f>IF(Lang="Français","Longueur      'L'",IF(Lang="English","Length      'L'",""))</f>
        <v>Longueur      'L'</v>
      </c>
      <c r="M6" s="554">
        <v>0</v>
      </c>
      <c r="N6" s="555"/>
      <c r="O6" s="575">
        <v>0</v>
      </c>
      <c r="P6" s="575"/>
      <c r="Q6" s="29"/>
    </row>
    <row r="7" spans="1:20" ht="12.75" customHeight="1" thickTop="1" thickBot="1" x14ac:dyDescent="0.25">
      <c r="A7" s="25"/>
      <c r="B7" s="31"/>
      <c r="C7" s="561" t="str">
        <f>IF(Lang="Français","Fusée",IF(Lang="English","Rocket",""))</f>
        <v>Fusée</v>
      </c>
      <c r="D7" s="562"/>
      <c r="L7" s="139" t="str">
        <f>IF(Lang="Français","Diamètre     'D1'",IF(Lang="English","Diameter 'D1'",""))</f>
        <v>Diamètre     'D1'</v>
      </c>
      <c r="M7" s="554">
        <v>0</v>
      </c>
      <c r="N7" s="555"/>
      <c r="O7" s="575">
        <v>0</v>
      </c>
      <c r="P7" s="575"/>
      <c r="Q7" s="29"/>
    </row>
    <row r="8" spans="1:20" ht="12.75" customHeight="1" thickTop="1" x14ac:dyDescent="0.2">
      <c r="A8" s="25"/>
      <c r="B8" s="138" t="str">
        <f>IF(Lang="Français","Nom",IF(Lang="English","Name",""))</f>
        <v>Nom</v>
      </c>
      <c r="C8" s="556" t="s">
        <v>575</v>
      </c>
      <c r="D8" s="556"/>
      <c r="E8" s="90"/>
      <c r="K8" s="33"/>
      <c r="L8" s="139" t="str">
        <f>IF(Lang="Français","Diamètre     'D2'",IF(Lang="English","Diameter 'D2'",""))</f>
        <v>Diamètre     'D2'</v>
      </c>
      <c r="M8" s="554">
        <v>0</v>
      </c>
      <c r="N8" s="555"/>
      <c r="O8" s="575">
        <v>0</v>
      </c>
      <c r="P8" s="575"/>
      <c r="Q8" s="29"/>
    </row>
    <row r="9" spans="1:20" ht="12.75" customHeight="1" x14ac:dyDescent="0.2">
      <c r="A9" s="25"/>
      <c r="B9" s="138" t="s">
        <v>4</v>
      </c>
      <c r="C9" s="557" t="s">
        <v>568</v>
      </c>
      <c r="D9" s="557"/>
      <c r="E9" s="90"/>
      <c r="K9" s="33"/>
      <c r="L9" s="139" t="str">
        <f>IF(Lang="Français","Implantation 'x'",IF(Lang="English","Basement 'x'",""))</f>
        <v>Implantation 'x'</v>
      </c>
      <c r="M9" s="554">
        <v>0</v>
      </c>
      <c r="N9" s="555"/>
      <c r="O9" s="575">
        <v>0</v>
      </c>
      <c r="P9" s="575"/>
      <c r="Q9" s="29"/>
    </row>
    <row r="10" spans="1:20" ht="12.75" customHeight="1" x14ac:dyDescent="0.2">
      <c r="A10" s="25"/>
      <c r="B10" s="138" t="s">
        <v>563</v>
      </c>
      <c r="C10" s="537" t="str">
        <f>IF((LEFT(Type_fusee,4)="Mini"),"MF",(IF((RIGHT(Type_fusee,1)="."),"FX","")))</f>
        <v>FX</v>
      </c>
      <c r="D10" s="538">
        <v>5</v>
      </c>
      <c r="E10" s="539" t="str">
        <f>IF(C10="","",C10&amp;D10)</f>
        <v>FX5</v>
      </c>
      <c r="K10" s="33"/>
      <c r="Q10" s="29"/>
    </row>
    <row r="11" spans="1:20" ht="12.75" customHeight="1" x14ac:dyDescent="0.2">
      <c r="A11" s="25"/>
      <c r="B11" s="139" t="s">
        <v>54</v>
      </c>
      <c r="C11" s="563" t="s">
        <v>574</v>
      </c>
      <c r="D11" s="564"/>
      <c r="E11" s="90"/>
      <c r="K11" s="33"/>
      <c r="L11" s="107"/>
      <c r="M11" s="224" t="str">
        <f>IF(Lang="Français","Propu plein",IF(Lang="English","Loaded Motor",""))</f>
        <v>Propu plein</v>
      </c>
      <c r="N11" s="592" t="str">
        <f>IF(Lang="Français","Propu vide",IF(Lang="English","Empty Motor",""))</f>
        <v>Propu vide</v>
      </c>
      <c r="O11" s="593"/>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2852</v>
      </c>
      <c r="D12" s="34" t="s">
        <v>423</v>
      </c>
      <c r="L12" s="108" t="str">
        <f>IF(Lang="Français","Masse propu",IF(Lang="English","Motor Mass",""))</f>
        <v>Masse propu</v>
      </c>
      <c r="M12" s="109">
        <f ca="1">MpropuPlein</f>
        <v>0.15989999999999999</v>
      </c>
      <c r="N12" s="587">
        <f ca="1">MpropuVide</f>
        <v>8.43E-2</v>
      </c>
      <c r="O12" s="588"/>
      <c r="P12" s="110" t="s">
        <v>14</v>
      </c>
      <c r="Q12" s="29"/>
      <c r="S12" s="386" t="str">
        <f>IF(Lang="Français","Haut",IF(Lang="English","Top",""))</f>
        <v>Haut</v>
      </c>
      <c r="T12" s="387">
        <f ca="1">XpropuRef-Long_propu</f>
        <v>714</v>
      </c>
    </row>
    <row r="13" spans="1:20" ht="12.75" customHeight="1" x14ac:dyDescent="0.2">
      <c r="A13" s="25"/>
      <c r="B13" s="139" t="str">
        <f>IF(Lang="Français","Centre de Masse",IF(Lang="English","Center of Mass",""))</f>
        <v>Centre de Masse</v>
      </c>
      <c r="C13" s="35">
        <v>543</v>
      </c>
      <c r="D13" s="34" t="s">
        <v>423</v>
      </c>
      <c r="L13" s="108" t="str">
        <f>IF(Lang="Français","CdM propu",IF(Lang="English","Motor CoM",""))</f>
        <v>CdM propu</v>
      </c>
      <c r="M13" s="111">
        <f ca="1">XpropuPlein</f>
        <v>114</v>
      </c>
      <c r="N13" s="585">
        <f ca="1">XpropuVide</f>
        <v>114</v>
      </c>
      <c r="O13" s="586"/>
      <c r="P13" s="110" t="s">
        <v>14</v>
      </c>
      <c r="Q13" s="29"/>
      <c r="S13" s="386" t="str">
        <f>IF(Lang="Français","Longueur",IF(Lang="English","Length",""))</f>
        <v>Longueur</v>
      </c>
      <c r="T13" s="387">
        <f ca="1">Long_propu</f>
        <v>228</v>
      </c>
    </row>
    <row r="14" spans="1:20" ht="12.6" customHeight="1" x14ac:dyDescent="0.2">
      <c r="A14" s="25"/>
      <c r="B14" s="139" t="str">
        <f>IF(Lang="Français","Longueur totale",IF(Lang="English","Total length",""))</f>
        <v>Longueur totale</v>
      </c>
      <c r="C14" s="554" cm="1">
        <f t="array" ref="C14">[1]!X_j+[1]!l_j</f>
        <v>992</v>
      </c>
      <c r="D14" s="555"/>
      <c r="L14" s="108" t="str">
        <f>IF(Lang="Français","Masse fusée",IF(Lang="English","Rocket Mass",""))</f>
        <v>Masse fusée</v>
      </c>
      <c r="M14" s="112">
        <f ca="1">MasseSans+MpropuPlein</f>
        <v>3.0118999999999998</v>
      </c>
      <c r="N14" s="567">
        <f ca="1">MasseSans+MpropuVide</f>
        <v>2.9362999999999997</v>
      </c>
      <c r="O14" s="568"/>
      <c r="P14" s="109">
        <f>IF(OR(D12="sans propu",D12="without motor"),C12/1000,IF(OR(D12="avec propu vide",D12="with empty motor"),C12/1000-MpropuVide,IF(OR(D12="avec propu plein",D12="with loaded motor"),C12/1000-MpropuPlein,"Erreur")))</f>
        <v>2.8519999999999999</v>
      </c>
      <c r="Q14" s="29"/>
      <c r="S14" s="386" t="str">
        <f>IF(Lang="Français","Bas",IF(Lang="English","Base",""))</f>
        <v>Bas</v>
      </c>
      <c r="T14" s="387">
        <f>XpropuRef</f>
        <v>942</v>
      </c>
    </row>
    <row r="15" spans="1:20" ht="12.75" customHeight="1" x14ac:dyDescent="0.2">
      <c r="A15" s="25"/>
      <c r="B15" s="139" t="str">
        <f>IF(Lang="Français","Diamètre Réf.",IF(Lang="English","Ref. Diameter",""))</f>
        <v>Diamètre Réf.</v>
      </c>
      <c r="C15" s="554">
        <v>84</v>
      </c>
      <c r="D15" s="555"/>
      <c r="L15" s="175" t="str">
        <f>IF(Lang="Français","CdM fusée",IF(Lang="English","Rocket CoM",""))</f>
        <v>CdM fusée</v>
      </c>
      <c r="M15" s="176">
        <f ca="1">(XcgSans*MasseSans+(XpropuRef-Long_propu+XpropuPlein)*MpropuPlein)/MassePlein</f>
        <v>558.13048241973502</v>
      </c>
      <c r="N15" s="569">
        <f ca="1">(XcgSans*MasseSans+(XpropuRef-Long_propu+XpropuVide)*MpropuVide)/MasseVide</f>
        <v>551.18223614753265</v>
      </c>
      <c r="O15" s="570"/>
      <c r="P15" s="113">
        <f>IF(OR(D13="sans propu",D13="without motor"),C13,IF(OR(D13="avec propu vide",D13="with empty motor"),(C13*MasseVide-(XpropuRef-Long_propu+XpropuVide)*MpropuVide)/MasseSans,IF(OR(D13="avec propu plein",D13="with loaded motor"),(C13*MassePlein-(XpropuRef-Long_propu+XpropuPlein)*MpropuPlein)/MasseSans,"Erreur")))</f>
        <v>543</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42" t="str">
        <f>IF(Lang="Français","Propulseur",IF(Lang="English","Motor",""))</f>
        <v>Propulseur</v>
      </c>
      <c r="D17" s="543"/>
      <c r="L17" s="114"/>
      <c r="M17" s="571" t="s">
        <v>55</v>
      </c>
      <c r="N17" s="572"/>
      <c r="O17" s="595" t="s">
        <v>65</v>
      </c>
      <c r="P17" s="595"/>
      <c r="Q17" s="29"/>
      <c r="S17" s="386" t="str">
        <f>IF(Lang="Français","Haut","Top")</f>
        <v>Haut</v>
      </c>
      <c r="T17" s="387">
        <f>X_ail-m_ail</f>
        <v>762</v>
      </c>
    </row>
    <row r="18" spans="1:22" ht="12.75" customHeight="1" thickTop="1" x14ac:dyDescent="0.2">
      <c r="A18" s="25"/>
      <c r="B18" s="139" t="s">
        <v>54</v>
      </c>
      <c r="C18" s="544" t="s">
        <v>548</v>
      </c>
      <c r="D18" s="545"/>
      <c r="K18" s="37"/>
      <c r="L18" s="108" t="str">
        <f>IF(Lang="Français","Coiffe",IF(Lang="English","Nose Cone",""))</f>
        <v>Coiffe</v>
      </c>
      <c r="M18" s="547">
        <f>IF(LEFT(Forme_ogive,5)="Parab",1/2*Long_ogive,IF(LEFT(Forme_ogive,4)="Ogiv",7/15*Long_ogive,IF(LEFT(Forme_ogive,3)="Con",2/3*Long_ogive)))</f>
        <v>168</v>
      </c>
      <c r="N18" s="548"/>
      <c r="O18" s="546">
        <f>2*POWER(D_og/D_ref, 2)</f>
        <v>2</v>
      </c>
      <c r="P18" s="546"/>
      <c r="Q18" s="29"/>
      <c r="S18" s="386" t="str">
        <f>IF(Lang="Français","Emplanture","Root edge")</f>
        <v>Emplanture</v>
      </c>
      <c r="T18" s="387">
        <f>m_ail</f>
        <v>170</v>
      </c>
    </row>
    <row r="19" spans="1:22" ht="12.75" customHeight="1" x14ac:dyDescent="0.2">
      <c r="A19" s="25"/>
      <c r="B19" s="139" t="str">
        <f>IF(Lang="Français","Position du bas",IF(Lang="English","Basement",""))</f>
        <v>Position du bas</v>
      </c>
      <c r="C19" s="575">
        <v>942</v>
      </c>
      <c r="D19" s="575"/>
      <c r="L19" s="108" t="str">
        <f>IF(Lang="Français","Ailerons",IF(Lang="English","Fins",""))</f>
        <v>Ailerons</v>
      </c>
      <c r="M19" s="547">
        <f>(XCpa*Cnail-0.5*XCpi*Cni)/Cnai</f>
        <v>847.4</v>
      </c>
      <c r="N19" s="548"/>
      <c r="O19" s="549">
        <f>Cnail-Cni/2</f>
        <v>13.188330654492475</v>
      </c>
      <c r="P19" s="550"/>
      <c r="Q19" s="29"/>
      <c r="S19" s="386" t="str">
        <f>IF(Lang="Français","Bas","Base")</f>
        <v>Bas</v>
      </c>
      <c r="T19" s="387">
        <f>X_ail</f>
        <v>932</v>
      </c>
    </row>
    <row r="20" spans="1:22" ht="12.75" customHeight="1" thickBot="1" x14ac:dyDescent="0.25">
      <c r="A20" s="25"/>
      <c r="B20" s="428" t="str">
        <f>IF(Propu="Cariacou","Cariacou :"," ")</f>
        <v xml:space="preserve"> </v>
      </c>
      <c r="C20" s="576" t="str">
        <f>IF(Propu="Pandora (Pro24-6G)",IF(Lang="Français","C'Space Seulement",IF(Lang="English","C'Space only","")),"")</f>
        <v/>
      </c>
      <c r="D20" s="576"/>
      <c r="L20" s="108" t="str">
        <f>IF(Lang="Français","Ail bas entier",IF(Lang="English","Total Lower Fins",""))</f>
        <v>Ail bas entier</v>
      </c>
      <c r="M20" s="547">
        <f>X_ail-m_ail+p_ail*(m_ail+2*n_ail)/(3*(m_ail+n_ail))+(m_ail+n_ail-m_ail*n_ail/(m_ail+n_ail))/6</f>
        <v>847.4</v>
      </c>
      <c r="N20" s="548"/>
      <c r="O20" s="546">
        <f>4*Q_ail*POWER((E_ail/D_ref),2)*(1+D_ail/(2*E_ail+D_ail))/(1+SQRT(1+POWER(2*f_ail/(m_ail+n_ail),2)))</f>
        <v>13.188330654492475</v>
      </c>
      <c r="P20" s="546"/>
      <c r="Q20" s="29"/>
    </row>
    <row r="21" spans="1:22" ht="12.75" customHeight="1" thickTop="1" thickBot="1" x14ac:dyDescent="0.25">
      <c r="A21" s="25"/>
      <c r="B21" s="30"/>
      <c r="C21" s="551" t="str">
        <f>IF(Lang="Français","Coiffe",IF(Lang="English","Nose Cone",""))</f>
        <v>Coiffe</v>
      </c>
      <c r="D21" s="552"/>
      <c r="L21" s="108" t="str">
        <f>IF(Lang="Français","Ailerons haut",IF(Lang="English","Upper Fins",""))</f>
        <v>Ailerons haut</v>
      </c>
      <c r="M21" s="547">
        <f>IF(LEFT(Type_masquage,1)="M",0, X_can-m_can+p_can*(m_can+2*n_can)/(3*(m_can+n_can))+(m_can+n_can-m_can*n_can/(m_can+n_can))/6)</f>
        <v>0</v>
      </c>
      <c r="N21" s="548"/>
      <c r="O21" s="546">
        <f>IF(LEFT(Type_masquage,1)="M",0, 4*Q_can*POWER((E_can/D_ref),2)*(1+D_can/(2*E_can+D_can))/(1+SQRT(1+POWER(2*f_can/(m_can+n_can),2))))</f>
        <v>0</v>
      </c>
      <c r="P21" s="546"/>
      <c r="Q21" s="29"/>
    </row>
    <row r="22" spans="1:22" ht="12.75" customHeight="1" thickTop="1" x14ac:dyDescent="0.2">
      <c r="A22" s="25"/>
      <c r="B22" s="139" t="str">
        <f>IF(Lang="Français","Forme",IF(Lang="English","Shape",""))</f>
        <v>Forme</v>
      </c>
      <c r="C22" s="577" t="s">
        <v>569</v>
      </c>
      <c r="D22" s="578"/>
      <c r="L22" s="108" t="str">
        <f>IF(Lang="Français","Partie masquée",IF(Lang="English","Interation zone",""))</f>
        <v>Partie masquée</v>
      </c>
      <c r="M22" s="560">
        <f>IF(LEFT(Type_masquage,1)="B", X_int-m_int+p_int*(m_int+2*n_int)/(3*(m_int+n_int))+(m_int+n_int-m_int*n_int/(m_int+n_int))/6, 0 )</f>
        <v>0</v>
      </c>
      <c r="N22" s="560"/>
      <c r="O22" s="549">
        <f>IF(LEFT(Type_masquage,1)="B", 4*Q_int*POWER((E_int/D_ref),2)*(1+D_int/(2*E_int+D_int))/(1+SQRT(1+POWER(2*f_int/(m_int+n_int),2))), 0 )</f>
        <v>0</v>
      </c>
      <c r="P22" s="550"/>
      <c r="Q22" s="29"/>
    </row>
    <row r="23" spans="1:22" ht="12.75" customHeight="1" x14ac:dyDescent="0.2">
      <c r="A23" s="25"/>
      <c r="B23" s="139" t="str">
        <f>IF(Lang="Français","Hauteur",IF(Lang="English","Heigth",""))</f>
        <v>Hauteur</v>
      </c>
      <c r="C23" s="554">
        <v>252</v>
      </c>
      <c r="D23" s="555"/>
      <c r="L23" s="108" t="s">
        <v>156</v>
      </c>
      <c r="M23" s="547">
        <f>IF(OR(RIGHT(Nb_diam,1)=",",D2j=0),0, X_j+l_j/3*(1+1/(1+D1j/D2j)) )</f>
        <v>0</v>
      </c>
      <c r="N23" s="548"/>
      <c r="O23" s="546">
        <f>IF(OR(RIGHT(Nb_diam,1)=",",D2j=0),0,2*(POWER(D2j/D_ref,2)-POWER(D1j/D_ref,2)))</f>
        <v>0</v>
      </c>
      <c r="P23" s="546"/>
      <c r="Q23" s="29"/>
    </row>
    <row r="24" spans="1:22" ht="12.75" customHeight="1" thickBot="1" x14ac:dyDescent="0.25">
      <c r="A24" s="25"/>
      <c r="B24" s="139" t="str">
        <f>IF(Lang="Français","Diamètre",IF(Lang="English","Diameter",""))</f>
        <v>Diamètre</v>
      </c>
      <c r="C24" s="554">
        <v>84</v>
      </c>
      <c r="D24" s="555"/>
      <c r="L24" s="108" t="s">
        <v>157</v>
      </c>
      <c r="M24" s="547">
        <f>IF( OR(RIGHT(Nb_diam,1)=",",D2r=0), 0, X_r+l_r/3*(1+1/(1+D1r/D2r)) )</f>
        <v>0</v>
      </c>
      <c r="N24" s="548"/>
      <c r="O24" s="546">
        <f>IF( OR(RIGHT(Nb_diam,1)=",",D2r=0), 0, 2*(POWER(D2r/D_ref,2)-POWER(D1r/D_ref,2)) )</f>
        <v>0</v>
      </c>
      <c r="P24" s="546"/>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Fusée trop lègère !</v>
      </c>
    </row>
    <row r="26" spans="1:22" ht="12.75" customHeight="1" thickTop="1" thickBot="1" x14ac:dyDescent="0.25">
      <c r="A26" s="25"/>
      <c r="B26" s="30"/>
      <c r="C26" s="178" t="str">
        <f>IF(LEFT(Type_masquage,1)="M",IF(Lang="Français","Ailerons","Fins"),IF(Lang="Français","Ailerons bas","Lower Fins"))</f>
        <v>Ailerons</v>
      </c>
      <c r="D26" s="179" t="str">
        <f>IF(Lang="Français","Ailerons haut",IF(Lang="English","Upper Fins",""))</f>
        <v>Ailerons haut</v>
      </c>
      <c r="F26" s="39">
        <f ca="1">TODAY()</f>
        <v>46010</v>
      </c>
      <c r="G26" s="137" t="s">
        <v>62</v>
      </c>
      <c r="H26" s="541" t="str">
        <f>IF(Lang="Français","Résultats",IF(Lang="English","Results",""))</f>
        <v>Résultats</v>
      </c>
      <c r="I26" s="541"/>
      <c r="J26" s="137" t="s">
        <v>63</v>
      </c>
      <c r="K26" s="32"/>
      <c r="L26" s="38"/>
      <c r="M26" s="38"/>
      <c r="N26" s="38"/>
      <c r="Q26" s="29"/>
      <c r="R26" s="38"/>
      <c r="S26" s="388" t="e">
        <f ca="1">IF(AND(Vsortie_de_rampe&lt;18, OR(LEFT(Type_fusee,1)=",",LEFT(Type_fusee,4)="Mini",LEFT(Type_fusee,1)="R")),IF(Lang="Français","Fusée trop lourde ou rampe trop courte !","Rocket too heavy or launch pad too small!"),"")</f>
        <v>#N/A</v>
      </c>
    </row>
    <row r="27" spans="1:22" ht="12.75" customHeight="1" thickTop="1" x14ac:dyDescent="0.2">
      <c r="A27" s="25"/>
      <c r="B27" s="30"/>
      <c r="C27" s="573" t="s">
        <v>424</v>
      </c>
      <c r="D27" s="574"/>
      <c r="E27" s="146">
        <f>m_ail</f>
        <v>170</v>
      </c>
      <c r="F27" s="105" t="s">
        <v>64</v>
      </c>
      <c r="G27" s="104">
        <f>IF(RIGHT(Type_fusee,1)=".",10, IF(OR(LEFT(Type_fusee,1)="R",LEFT(Type_fusee,1)=",",LEFT(Type_fusee,4)="Mini"),10, IF(LEFT(Type_fusee,5)="Micro",10, IF(RIGHT(Type_fusee,1)=" ",1))))</f>
        <v>10</v>
      </c>
      <c r="H27" s="589">
        <f>Long_tot/D_ref</f>
        <v>11.80952380952381</v>
      </c>
      <c r="I27" s="590"/>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cm="1">
        <f t="array" ref="C28">[1]!m_can</f>
        <v>170</v>
      </c>
      <c r="D28" s="177">
        <v>180</v>
      </c>
      <c r="E28" s="146">
        <f>n_ail+(m_ail-n_ail)*(1-E_int/E_ail)</f>
        <v>80</v>
      </c>
      <c r="F28" s="105" t="str">
        <f>IF(Lang="Français","Portance","Lift")</f>
        <v>Portance</v>
      </c>
      <c r="G28" s="104">
        <f>IF(RIGHT(Type_fusee,1)=".",15,IF(OR(LEFT(Type_fusee,1)="R",LEFT(Type_fusee,1)=",",LEFT(Type_fusee,4)="Mini"),15, IF(LEFT(Type_fusee,5)="Micro",15, IF(RIGHT(Type_fusee,1)=" ",15))))</f>
        <v>15</v>
      </c>
      <c r="H28" s="508">
        <f>Cnai+Cnc+Cno+Cnj+Cnr</f>
        <v>15.188330654492475</v>
      </c>
      <c r="I28" s="508">
        <f>Cnail+Cnc+Cno+Cnj+Cnr</f>
        <v>15.188330654492475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120</v>
      </c>
      <c r="F29" s="515" t="str">
        <f>IF(Lang="Français","MargeStat.","StatMargin")</f>
        <v>MargeStat.</v>
      </c>
      <c r="G29" s="510">
        <f>IF(RIGHT(Type_fusee,1)=".",2, IF(OR(LEFT(Type_fusee,1)="R",LEFT(Type_fusee,1)=",",LEFT(Type_fusee,4)="Mini"),1.5, IF(LEFT(Type_fusee,5)="Micro",1, IF(RIGHT(Type_fusee,1)=" ",1))))</f>
        <v>2</v>
      </c>
      <c r="H29" s="97">
        <f ca="1">(XCp-XcgPlein)/D_ref</f>
        <v>2.3786440222941545</v>
      </c>
      <c r="I29" s="98">
        <f ca="1">(XCp0-XcgVide)/D_ref</f>
        <v>2.461361239820373</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571</v>
      </c>
    </row>
    <row r="30" spans="1:22" ht="12.75" customHeight="1" x14ac:dyDescent="0.2">
      <c r="A30" s="25"/>
      <c r="B30" s="524" t="str">
        <f>IF(Lang="Français"," Flèche          'p'"," Offset         'p'")</f>
        <v xml:space="preserve"> Flèche          'p'</v>
      </c>
      <c r="C30" s="35">
        <v>120</v>
      </c>
      <c r="D30" s="35">
        <v>160</v>
      </c>
      <c r="E30" s="146">
        <f>IF(D_can/2+E_can&lt;=D_ail/2,0, IF(D_can/2+E_can&gt;=D_ail/2+E_ail,E_ail,  D_can/2+E_can - D_ail/2  ) )</f>
        <v>105</v>
      </c>
      <c r="F30" s="516" t="str">
        <f>IF(Lang="Français","Couple","Torque")</f>
        <v>Couple</v>
      </c>
      <c r="G30" s="511">
        <f>IF(RIGHT(Type_fusee,1)=".",40, IF(OR(LEFT(Type_fusee,1)="R",LEFT(Type_fusee,1)=",",LEFT(Type_fusee,4)="Mini"),30, IF(LEFT(Type_fusee,5)="Micro",15, IF(RIGHT(Type_fusee,1)=" ",15))))</f>
        <v>40</v>
      </c>
      <c r="H30" s="99">
        <f ca="1">MS_min*Cn</f>
        <v>36.127631919935588</v>
      </c>
      <c r="I30" s="96">
        <f ca="1">MS_max*Cn0</f>
        <v>37.383968370543379</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Ailerons trop petits ou trop haut /CdM !</v>
      </c>
      <c r="U30" s="24" t="s">
        <v>572</v>
      </c>
      <c r="V30" s="24" t="s">
        <v>573</v>
      </c>
    </row>
    <row r="31" spans="1:22" ht="12.75" customHeight="1" x14ac:dyDescent="0.2">
      <c r="A31" s="25"/>
      <c r="B31" s="524" t="str">
        <f>IF(Lang="Français"," Envergure     'E'",IF(Lang="English"," Span          'E'",""))</f>
        <v xml:space="preserve"> Envergure     'E'</v>
      </c>
      <c r="C31" s="35">
        <v>105</v>
      </c>
      <c r="D31" s="35">
        <v>110</v>
      </c>
      <c r="E31" s="146">
        <f>ep_ail</f>
        <v>3</v>
      </c>
      <c r="F31" s="106" t="s">
        <v>55</v>
      </c>
      <c r="G31" s="103"/>
      <c r="H31" s="509">
        <f>(Cnai*XCpai+Cnc*XCpc+Cnj*XCpj+Cnr*XCpr+Cno*XCpo)/(Cnai+Cnc+Cnr+Cnj+Cno)</f>
        <v>757.93658029244398</v>
      </c>
      <c r="I31" s="509">
        <f>(Cnail*XCpa+Cnc*XCpc+Cnj*XCpj+Cnr*XCpr+Cno*XCpo)/(Cnail+Cnc+Cnr+Cnj+Cno)</f>
        <v>757.93658029244398</v>
      </c>
      <c r="J31" s="102"/>
      <c r="K31" s="32"/>
      <c r="Q31" s="29"/>
      <c r="R31" s="38"/>
      <c r="S31" s="388"/>
      <c r="U31" s="24">
        <v>2.58</v>
      </c>
      <c r="V31" s="24">
        <v>15.795999999999999</v>
      </c>
    </row>
    <row r="32" spans="1:22" ht="12.75" customHeight="1" x14ac:dyDescent="0.2">
      <c r="A32" s="25"/>
      <c r="B32" s="525" t="str">
        <f>IF(Lang="Français"," Epaisseur     'ep'",IF(Lang="English"," Thickness  'ep'",""))</f>
        <v xml:space="preserve"> Epaisseur     'ep'</v>
      </c>
      <c r="C32" s="35" cm="1">
        <f t="array" ref="C32">[1]!ep_can</f>
        <v>3</v>
      </c>
      <c r="D32" s="35">
        <v>4</v>
      </c>
      <c r="E32" s="146">
        <f>IF(Q_ail=Q_can,Q_ail,FALSE)</f>
        <v>4</v>
      </c>
      <c r="F32" s="106" t="s">
        <v>66</v>
      </c>
      <c r="G32" s="103"/>
      <c r="H32" s="100">
        <f ca="1">(XCp-XcgPlein)/Long_tot*100</f>
        <v>20.141743737168241</v>
      </c>
      <c r="I32" s="101">
        <f ca="1">(XCp-XcgVide)/Long_tot*100</f>
        <v>20.842171788801544</v>
      </c>
      <c r="J32" s="102"/>
      <c r="K32" s="32"/>
      <c r="Q32" s="29"/>
      <c r="R32" s="38"/>
      <c r="U32" s="24">
        <v>2.66</v>
      </c>
      <c r="V32" s="24">
        <v>15.795999999999999</v>
      </c>
    </row>
    <row r="33" spans="1:23" ht="12.75" customHeight="1" x14ac:dyDescent="0.2">
      <c r="A33" s="25"/>
      <c r="B33" s="524" t="str">
        <f>IF(Lang="Français"," Nombre            ",IF(Lang="English"," Number of fins",""))</f>
        <v xml:space="preserve"> Nombre            </v>
      </c>
      <c r="C33" s="36" cm="1">
        <f t="array" ref="C33">[1]!Q_can</f>
        <v>4</v>
      </c>
      <c r="D33" s="36">
        <v>4</v>
      </c>
      <c r="E33" s="146">
        <f>X_ail</f>
        <v>932</v>
      </c>
      <c r="G33" s="24"/>
      <c r="H33" s="579" t="str">
        <f ca="1">IF(AND(CritCnmin&lt;Cn,Cn0&lt;CritCnmax,CritMsmin&lt;MS_min,MS_max&lt;CritMsmax,CritMsCnmin&lt;MS_Cn_min,MS_Cn_max&lt;CritMsCnmax),"STABLE",IF(OR(Cn&lt;CritCnmin,MS_min&lt;CritMsmin,MS_Cn_min&lt;CritMsCnmin),"INSTABLE",IF(Lang="Français","SURSTABLE","OVERSTABLE")))</f>
        <v>INSTABLE</v>
      </c>
      <c r="I33" s="580"/>
      <c r="J33" s="31"/>
      <c r="K33" s="32"/>
      <c r="Q33" s="29"/>
      <c r="R33" s="38"/>
    </row>
    <row r="34" spans="1:23" ht="12.75" customHeight="1" x14ac:dyDescent="0.2">
      <c r="A34" s="25"/>
      <c r="B34" s="524" t="str">
        <f>IF(Lang="Français"," Position du bas",IF(Lang="English"," Basement",""))</f>
        <v xml:space="preserve"> Position du bas</v>
      </c>
      <c r="C34" s="35" cm="1">
        <f t="array" ref="C34">[1]!X_j</f>
        <v>932</v>
      </c>
      <c r="D34" s="35">
        <v>1250</v>
      </c>
      <c r="E34" s="146">
        <f>D_ail</f>
        <v>84</v>
      </c>
      <c r="G34" s="24"/>
      <c r="H34" s="581"/>
      <c r="I34" s="582"/>
      <c r="K34" s="32"/>
      <c r="Q34" s="29"/>
      <c r="R34" s="38"/>
    </row>
    <row r="35" spans="1:23" ht="12.75" customHeight="1" x14ac:dyDescent="0.2">
      <c r="A35" s="25"/>
      <c r="B35" s="524" t="str">
        <f>IF(Lang="Français"," Diamètre         ",IF(Lang="English"," Diameter at Fins",""))</f>
        <v xml:space="preserve"> Diamètre         </v>
      </c>
      <c r="C35" s="35" cm="1">
        <f t="array" ref="C35">[1]!D1j</f>
        <v>84</v>
      </c>
      <c r="D35" s="35">
        <f>D_ref</f>
        <v>84</v>
      </c>
      <c r="E35" s="146">
        <f>SQRT(POWER(p_int+n_int/2-m_int/2,2)+POWER(E_int,2))</f>
        <v>129.0348790056394</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129.0348790056394</v>
      </c>
      <c r="D36" s="145">
        <f>SQRT(POWER(p_can+n_can/2-m_can/2,2)+POWER(E_can,2))</f>
        <v>155.56349186104046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-252</v>
      </c>
      <c r="D126" s="46">
        <f>IF(AND(RIGHT(Nb_diam,1)=".",X_j), D1j/2, D125 )</f>
        <v>42</v>
      </c>
      <c r="E126" s="93">
        <f t="shared" si="0"/>
        <v>-42</v>
      </c>
      <c r="K126" s="46"/>
    </row>
    <row r="127" spans="2:18" x14ac:dyDescent="0.2">
      <c r="B127" s="45" t="s">
        <v>74</v>
      </c>
      <c r="C127" s="46">
        <f>IF(AND(RIGHT(Nb_diam,1)=".",X_j), -X_j-l_j, C126 )</f>
        <v>-252</v>
      </c>
      <c r="D127" s="46">
        <f>IF(AND(RIGHT(Nb_diam,1)=".",X_j), D2j/2, D126 )</f>
        <v>42</v>
      </c>
      <c r="E127" s="93">
        <f t="shared" si="0"/>
        <v>-42</v>
      </c>
      <c r="K127" s="46"/>
    </row>
    <row r="128" spans="2:18" x14ac:dyDescent="0.2">
      <c r="B128" s="45" t="s">
        <v>75</v>
      </c>
      <c r="C128" s="46">
        <f>IF(AND(RIGHT(Nb_diam,1)=".",X_r), -X_r, C127 )</f>
        <v>-252</v>
      </c>
      <c r="D128" s="46">
        <f>IF(AND(RIGHT(Nb_diam,1)=".",X_r), D1r/2, D127 )</f>
        <v>42</v>
      </c>
      <c r="E128" s="93">
        <f t="shared" si="0"/>
        <v>-42</v>
      </c>
      <c r="K128" s="46"/>
    </row>
    <row r="129" spans="2:11" x14ac:dyDescent="0.2">
      <c r="B129" s="45" t="s">
        <v>76</v>
      </c>
      <c r="C129" s="46">
        <f>IF(AND(RIGHT(Nb_diam,1)=".",X_r), -X_r-l_r, C128 )</f>
        <v>-252</v>
      </c>
      <c r="D129" s="46">
        <f>IF(AND(RIGHT(Nb_diam,1)=".",X_r), D2r/2, D128 )</f>
        <v>42</v>
      </c>
      <c r="E129" s="93">
        <f t="shared" si="0"/>
        <v>-42</v>
      </c>
      <c r="K129" s="46"/>
    </row>
    <row r="130" spans="2:11" x14ac:dyDescent="0.2">
      <c r="B130" s="45" t="s">
        <v>77</v>
      </c>
      <c r="C130" s="46">
        <f>-Long_tot</f>
        <v>-992</v>
      </c>
      <c r="D130" s="46">
        <f>D129</f>
        <v>42</v>
      </c>
      <c r="E130" s="93">
        <f t="shared" si="0"/>
        <v>-42</v>
      </c>
      <c r="K130" s="46"/>
    </row>
    <row r="131" spans="2:11" x14ac:dyDescent="0.2">
      <c r="B131" s="45" t="s">
        <v>77</v>
      </c>
      <c r="C131" s="46">
        <f>-Long_tot</f>
        <v>-992</v>
      </c>
      <c r="D131" s="46">
        <v>0</v>
      </c>
      <c r="E131" s="93">
        <f t="shared" si="0"/>
        <v>0</v>
      </c>
      <c r="K131" s="46"/>
    </row>
    <row r="132" spans="2:11" x14ac:dyDescent="0.2">
      <c r="B132" s="183" t="s">
        <v>78</v>
      </c>
      <c r="C132" s="197">
        <f>-X_ail+m_ail</f>
        <v>-762</v>
      </c>
      <c r="D132" s="197">
        <f>D_ail/2</f>
        <v>42</v>
      </c>
      <c r="E132" s="198">
        <f t="shared" si="0"/>
        <v>-42</v>
      </c>
      <c r="K132" s="46"/>
    </row>
    <row r="133" spans="2:11" x14ac:dyDescent="0.2">
      <c r="B133" s="185" t="s">
        <v>79</v>
      </c>
      <c r="C133" s="46">
        <f>-X_ail+m_ail-p_ail</f>
        <v>-882</v>
      </c>
      <c r="D133" s="46">
        <f>D_ail/2+E_ail</f>
        <v>147</v>
      </c>
      <c r="E133" s="199">
        <f t="shared" si="0"/>
        <v>-147</v>
      </c>
      <c r="K133" s="46"/>
    </row>
    <row r="134" spans="2:11" x14ac:dyDescent="0.2">
      <c r="B134" s="185" t="s">
        <v>80</v>
      </c>
      <c r="C134" s="46">
        <f>-X_ail+m_ail-p_ail-n_ail</f>
        <v>-962</v>
      </c>
      <c r="D134" s="46">
        <f>D_ail/2+E_ail</f>
        <v>147</v>
      </c>
      <c r="E134" s="199">
        <f t="shared" si="0"/>
        <v>-147</v>
      </c>
      <c r="K134" s="46"/>
    </row>
    <row r="135" spans="2:11" x14ac:dyDescent="0.2">
      <c r="B135" s="185" t="s">
        <v>81</v>
      </c>
      <c r="C135" s="46">
        <f>-X_ail</f>
        <v>-932</v>
      </c>
      <c r="D135" s="46">
        <f>D_ail/2</f>
        <v>42</v>
      </c>
      <c r="E135" s="199">
        <f t="shared" si="0"/>
        <v>-42</v>
      </c>
      <c r="K135" s="46"/>
    </row>
    <row r="136" spans="2:11" x14ac:dyDescent="0.2">
      <c r="B136" s="187" t="s">
        <v>78</v>
      </c>
      <c r="C136" s="200">
        <f>-X_ail+m_ail</f>
        <v>-762</v>
      </c>
      <c r="D136" s="200">
        <f>D_ail/2</f>
        <v>42</v>
      </c>
      <c r="E136" s="201">
        <f t="shared" si="0"/>
        <v>-42</v>
      </c>
      <c r="K136" s="46"/>
    </row>
    <row r="137" spans="2:11" x14ac:dyDescent="0.2">
      <c r="B137" s="192" t="str">
        <f>IF(E_ail&gt;0,IF(Lang="Français","Envergure","Span"),"")</f>
        <v>Envergure</v>
      </c>
      <c r="C137" s="197">
        <f>MIN(-X_ail,-X_ail+m_ail-p_ail-n_ail)-Long_tot/30</f>
        <v>-995.06666666666672</v>
      </c>
      <c r="D137" s="207">
        <f>-D_ail/2-E_ail</f>
        <v>-147</v>
      </c>
      <c r="E137" s="93"/>
      <c r="K137" s="46"/>
    </row>
    <row r="138" spans="2:11" x14ac:dyDescent="0.2">
      <c r="B138" s="195" t="s">
        <v>166</v>
      </c>
      <c r="C138" s="46">
        <f>MIN(-X_ail,-X_ail+m_ail-p_ail-n_ail)-Long_tot/30</f>
        <v>-995.06666666666672</v>
      </c>
      <c r="D138" s="208">
        <f>-D_ail/2-E_ail/2</f>
        <v>-94.5</v>
      </c>
      <c r="E138" s="93"/>
      <c r="K138" s="46"/>
    </row>
    <row r="139" spans="2:11" x14ac:dyDescent="0.2">
      <c r="B139" s="212" t="s">
        <v>162</v>
      </c>
      <c r="C139" s="200">
        <f>MIN(-X_ail,-X_ail+m_ail-p_ail-n_ail)-Long_tot/30</f>
        <v>-995.06666666666672</v>
      </c>
      <c r="D139" s="209">
        <f>-D_ail/2</f>
        <v>-42</v>
      </c>
      <c r="E139" s="93"/>
      <c r="K139" s="46"/>
    </row>
    <row r="140" spans="2:11" x14ac:dyDescent="0.2">
      <c r="B140" s="192" t="str">
        <f>IF(Lang="Français","Emplanture","Root edge")</f>
        <v>Emplanture</v>
      </c>
      <c r="C140" s="197">
        <f>-X_ail+m_ail</f>
        <v>-762</v>
      </c>
      <c r="D140" s="207">
        <f>D_ail/2+E_ail+Long_tot/20</f>
        <v>196.6</v>
      </c>
      <c r="E140" s="93"/>
      <c r="K140" s="46"/>
    </row>
    <row r="141" spans="2:11" x14ac:dyDescent="0.2">
      <c r="B141" s="195" t="s">
        <v>168</v>
      </c>
      <c r="C141" s="46">
        <f>-X_ail+m_ail/2</f>
        <v>-847</v>
      </c>
      <c r="D141" s="208">
        <f>D_ail/2+E_ail+Long_tot/20</f>
        <v>196.6</v>
      </c>
      <c r="E141" s="93"/>
      <c r="K141" s="46"/>
    </row>
    <row r="142" spans="2:11" x14ac:dyDescent="0.2">
      <c r="B142" s="212" t="s">
        <v>169</v>
      </c>
      <c r="C142" s="200">
        <f>-X_ail</f>
        <v>-932</v>
      </c>
      <c r="D142" s="209">
        <f>D_ail/2+E_ail+Long_tot/20</f>
        <v>196.6</v>
      </c>
      <c r="E142" s="93"/>
      <c r="K142" s="46"/>
    </row>
    <row r="143" spans="2:11" x14ac:dyDescent="0.2">
      <c r="B143" s="192" t="str">
        <f>IF(p_ail&lt;&gt;0,IF(Lang="Français","Flèche","Offset"),"")</f>
        <v>Flèche</v>
      </c>
      <c r="C143" s="197">
        <f>-X_ail+m_ail</f>
        <v>-762</v>
      </c>
      <c r="D143" s="207">
        <f>-D_ail/2-E_ail-Long_tot/30</f>
        <v>-180.06666666666666</v>
      </c>
      <c r="E143" s="93"/>
      <c r="K143" s="46"/>
    </row>
    <row r="144" spans="2:11" x14ac:dyDescent="0.2">
      <c r="B144" s="195" t="s">
        <v>165</v>
      </c>
      <c r="C144" s="46">
        <f>-X_ail+m_ail-p_ail/2</f>
        <v>-822</v>
      </c>
      <c r="D144" s="208">
        <f>-D_ail/2-E_ail-Long_tot/30</f>
        <v>-180.06666666666666</v>
      </c>
      <c r="E144" s="93"/>
      <c r="K144" s="46"/>
    </row>
    <row r="145" spans="2:11" x14ac:dyDescent="0.2">
      <c r="B145" s="212" t="s">
        <v>163</v>
      </c>
      <c r="C145" s="200">
        <f>-X_ail+m_ail-p_ail</f>
        <v>-882</v>
      </c>
      <c r="D145" s="209">
        <f>-D_ail/2-E_ail-Long_tot/30</f>
        <v>-180.06666666666666</v>
      </c>
      <c r="E145" s="93"/>
      <c r="K145" s="46"/>
    </row>
    <row r="146" spans="2:11" x14ac:dyDescent="0.2">
      <c r="B146" s="192" t="str">
        <f>IF(n_ail&gt;0,IF(Lang="Français","Saumon","Tip edge"),"")</f>
        <v>Saumon</v>
      </c>
      <c r="C146" s="197">
        <f>-X_ail+m_ail-p_ail</f>
        <v>-882</v>
      </c>
      <c r="D146" s="207">
        <f>-D_ail/2-E_ail-Long_tot/20</f>
        <v>-196.6</v>
      </c>
      <c r="E146" s="93"/>
      <c r="K146" s="46"/>
    </row>
    <row r="147" spans="2:11" x14ac:dyDescent="0.2">
      <c r="B147" s="195" t="s">
        <v>167</v>
      </c>
      <c r="C147" s="46">
        <f>-X_ail+m_ail-p_ail-n_ail/2</f>
        <v>-922</v>
      </c>
      <c r="D147" s="208">
        <f>-D_ail/2-E_ail-Long_tot/20</f>
        <v>-196.6</v>
      </c>
      <c r="E147" s="93"/>
      <c r="K147" s="46"/>
    </row>
    <row r="148" spans="2:11" x14ac:dyDescent="0.2">
      <c r="B148" s="212" t="s">
        <v>164</v>
      </c>
      <c r="C148" s="200">
        <f>-X_ail+m_ail-p_ail-n_ail</f>
        <v>-962</v>
      </c>
      <c r="D148" s="209">
        <f>-D_ail/2-E_ail-Long_tot/20</f>
        <v>-196.6</v>
      </c>
      <c r="E148" s="93"/>
      <c r="K148" s="46"/>
    </row>
    <row r="149" spans="2:11" x14ac:dyDescent="0.2">
      <c r="B149" s="183" t="s">
        <v>82</v>
      </c>
      <c r="C149" s="197">
        <f ca="1">-XcgPlein</f>
        <v>-558.13048241973502</v>
      </c>
      <c r="D149" s="207">
        <v>0</v>
      </c>
      <c r="E149" s="93"/>
      <c r="K149" s="46"/>
    </row>
    <row r="150" spans="2:11" x14ac:dyDescent="0.2">
      <c r="B150" s="187" t="s">
        <v>83</v>
      </c>
      <c r="C150" s="200">
        <f ca="1">-XcgVide</f>
        <v>-551.18223614753265</v>
      </c>
      <c r="D150" s="209">
        <v>0</v>
      </c>
      <c r="E150" s="93"/>
      <c r="K150" s="46"/>
    </row>
    <row r="151" spans="2:11" x14ac:dyDescent="0.2">
      <c r="B151" s="183" t="s">
        <v>84</v>
      </c>
      <c r="C151" s="197">
        <f>-XCp</f>
        <v>-757.93658029244398</v>
      </c>
      <c r="D151" s="207">
        <v>0</v>
      </c>
      <c r="E151" s="93"/>
      <c r="K151" s="46"/>
    </row>
    <row r="152" spans="2:11" x14ac:dyDescent="0.2">
      <c r="B152" s="187" t="s">
        <v>84</v>
      </c>
      <c r="C152" s="200">
        <f>-XCp</f>
        <v>-757.93658029244398</v>
      </c>
      <c r="D152" s="209">
        <f>Cn*D_ref/CritCnmin</f>
        <v>85.054651665157863</v>
      </c>
      <c r="E152" s="93"/>
      <c r="K152" s="46"/>
    </row>
    <row r="153" spans="2:11" x14ac:dyDescent="0.2">
      <c r="B153" s="185" t="s">
        <v>422</v>
      </c>
      <c r="C153" s="46">
        <f>-XCp0</f>
        <v>-757.93658029244398</v>
      </c>
      <c r="D153" s="208">
        <f>Cn0*D_ref/CritCnmin</f>
        <v>85.054651665157863</v>
      </c>
      <c r="E153" s="93"/>
      <c r="K153" s="46"/>
    </row>
    <row r="154" spans="2:11" x14ac:dyDescent="0.2">
      <c r="B154" s="185" t="s">
        <v>422</v>
      </c>
      <c r="C154" s="46">
        <f>-XCp0</f>
        <v>-757.93658029244398</v>
      </c>
      <c r="D154" s="208">
        <v>0</v>
      </c>
      <c r="E154" s="93"/>
      <c r="K154" s="46"/>
    </row>
    <row r="155" spans="2:11" x14ac:dyDescent="0.2">
      <c r="B155" s="192" t="str">
        <f>IF(n_ail&gt;0,IF(Lang="Français","Marge Statique","Static Margin"),"")</f>
        <v>Marge Statique</v>
      </c>
      <c r="C155" s="197">
        <f ca="1">(-XcgPlein-XcgVide)/2</f>
        <v>-554.65635928363383</v>
      </c>
      <c r="D155" s="207">
        <f>-D_ail/2-E_ail-Long_tot/20</f>
        <v>-196.6</v>
      </c>
      <c r="E155" s="93"/>
      <c r="K155" s="46"/>
    </row>
    <row r="156" spans="2:11" x14ac:dyDescent="0.2">
      <c r="B156" s="195" t="s">
        <v>170</v>
      </c>
      <c r="C156" s="46">
        <f ca="1">(C155+C157)/2</f>
        <v>-656.29646978803885</v>
      </c>
      <c r="D156" s="208">
        <f>-D_ail/2-E_ail-Long_tot/20</f>
        <v>-196.6</v>
      </c>
      <c r="E156" s="93"/>
      <c r="K156" s="46"/>
    </row>
    <row r="157" spans="2:11" x14ac:dyDescent="0.2">
      <c r="B157" s="212" t="s">
        <v>171</v>
      </c>
      <c r="C157" s="200">
        <f>-XCp</f>
        <v>-757.93658029244398</v>
      </c>
      <c r="D157" s="209">
        <f>-D_ail/2-E_ail-Long_tot/20</f>
        <v>-196.6</v>
      </c>
      <c r="E157" s="93"/>
      <c r="K157" s="46"/>
    </row>
    <row r="158" spans="2:11" x14ac:dyDescent="0.2">
      <c r="B158" s="183" t="s">
        <v>85</v>
      </c>
      <c r="C158" s="197">
        <f>IF(LEFT(Type_masquage,1)="M",0,-X_can+m_can)</f>
        <v>0</v>
      </c>
      <c r="D158" s="197">
        <f>IF(LEFT(Type_masquage,1)="M",0,D_ail/2)</f>
        <v>0</v>
      </c>
      <c r="E158" s="198">
        <f t="shared" ref="E158:E167" si="1">-D158</f>
        <v>0</v>
      </c>
      <c r="K158" s="46"/>
    </row>
    <row r="159" spans="2:11" x14ac:dyDescent="0.2">
      <c r="B159" s="185" t="s">
        <v>86</v>
      </c>
      <c r="C159" s="46">
        <f>IF(LEFT(Type_masquage,1)="M",0,-X_can+m_can-p_can)</f>
        <v>0</v>
      </c>
      <c r="D159" s="46">
        <f>IF(LEFT(Type_masquage,1)="M",0,D_ail/2+E_can)</f>
        <v>0</v>
      </c>
      <c r="E159" s="199">
        <f t="shared" si="1"/>
        <v>0</v>
      </c>
      <c r="K159" s="46"/>
    </row>
    <row r="160" spans="2:11" x14ac:dyDescent="0.2">
      <c r="B160" s="185" t="s">
        <v>87</v>
      </c>
      <c r="C160" s="46">
        <f>IF(LEFT(Type_masquage,1)="M",0,-X_can+m_can-p_can-n_can)</f>
        <v>0</v>
      </c>
      <c r="D160" s="46">
        <f>IF(LEFT(Type_masquage,1)="M",0,D_ail/2+E_can)</f>
        <v>0</v>
      </c>
      <c r="E160" s="199">
        <f t="shared" si="1"/>
        <v>0</v>
      </c>
      <c r="K160" s="46"/>
    </row>
    <row r="161" spans="2:11" x14ac:dyDescent="0.2">
      <c r="B161" s="185" t="s">
        <v>88</v>
      </c>
      <c r="C161" s="46">
        <f>IF(LEFT(Type_masquage,1)="M",0,-X_can)</f>
        <v>0</v>
      </c>
      <c r="D161" s="46">
        <f>IF(LEFT(Type_masquage,1)="M",0,D_ail/2)</f>
        <v>0</v>
      </c>
      <c r="E161" s="199">
        <f t="shared" si="1"/>
        <v>0</v>
      </c>
      <c r="K161" s="46"/>
    </row>
    <row r="162" spans="2:11" x14ac:dyDescent="0.2">
      <c r="B162" s="187" t="s">
        <v>85</v>
      </c>
      <c r="C162" s="200">
        <f>IF(LEFT(Type_masquage,1)="M",0,-X_can+m_can)</f>
        <v>0</v>
      </c>
      <c r="D162" s="200">
        <f>IF(LEFT(Type_masquage,1)="M",0,D_ail/2)</f>
        <v>0</v>
      </c>
      <c r="E162" s="201">
        <f t="shared" si="1"/>
        <v>0</v>
      </c>
      <c r="K162" s="46"/>
    </row>
    <row r="163" spans="2:11" x14ac:dyDescent="0.2">
      <c r="B163" s="183" t="s">
        <v>89</v>
      </c>
      <c r="C163" s="197">
        <f>IF(LEFT(Type_masquage,1)="B",-X_int+m_int,0)</f>
        <v>0</v>
      </c>
      <c r="D163" s="197">
        <f>IF(LEFT(Type_masquage,1)="B",D_int/2,0)</f>
        <v>0</v>
      </c>
      <c r="E163" s="198">
        <f t="shared" si="1"/>
        <v>0</v>
      </c>
      <c r="K163" s="46"/>
    </row>
    <row r="164" spans="2:11" x14ac:dyDescent="0.2">
      <c r="B164" s="185" t="s">
        <v>90</v>
      </c>
      <c r="C164" s="46">
        <f>IF(LEFT(Type_masquage,1)="B",-X_int+m_int-p_int,0)</f>
        <v>0</v>
      </c>
      <c r="D164" s="46">
        <f>IF(LEFT(Type_masquage,1)="B",D_int/2+E_int,0)</f>
        <v>0</v>
      </c>
      <c r="E164" s="199">
        <f t="shared" si="1"/>
        <v>0</v>
      </c>
      <c r="K164" s="46"/>
    </row>
    <row r="165" spans="2:11" x14ac:dyDescent="0.2">
      <c r="B165" s="185" t="s">
        <v>91</v>
      </c>
      <c r="C165" s="46">
        <f>IF(LEFT(Type_masquage,1)="B",-X_int+m_int-p_int-n_int,0)</f>
        <v>0</v>
      </c>
      <c r="D165" s="46">
        <f>IF(LEFT(Type_masquage,1)="B",D_int/2+E_int,0)</f>
        <v>0</v>
      </c>
      <c r="E165" s="199">
        <f t="shared" si="1"/>
        <v>0</v>
      </c>
      <c r="K165" s="46"/>
    </row>
    <row r="166" spans="2:11" x14ac:dyDescent="0.2">
      <c r="B166" s="185" t="s">
        <v>92</v>
      </c>
      <c r="C166" s="46">
        <f>IF(LEFT(Type_masquage,1)="B",-X_int,0)</f>
        <v>0</v>
      </c>
      <c r="D166" s="46">
        <f>IF(LEFT(Type_masquage,1)="B",D_int/2,0)</f>
        <v>0</v>
      </c>
      <c r="E166" s="199">
        <f t="shared" si="1"/>
        <v>0</v>
      </c>
      <c r="K166" s="46"/>
    </row>
    <row r="167" spans="2:11" x14ac:dyDescent="0.2">
      <c r="B167" s="187" t="s">
        <v>89</v>
      </c>
      <c r="C167" s="200">
        <f>IF(LEFT(Type_masquage,1)="B",-X_int+m_int,0)</f>
        <v>0</v>
      </c>
      <c r="D167" s="200">
        <f>IF(LEFT(Type_masquage,1)="B",D_int/2,0)</f>
        <v>0</v>
      </c>
      <c r="E167" s="201">
        <f t="shared" si="1"/>
        <v>0</v>
      </c>
      <c r="K167" s="46"/>
    </row>
    <row r="168" spans="2:11" x14ac:dyDescent="0.2">
      <c r="B168" s="45" t="s">
        <v>93</v>
      </c>
      <c r="C168" s="46">
        <f>-MAX(Long_tot, X_ail-m_ail+p_ail+n_ail, (E_ail+D_ail/2)*3.2)*1.01</f>
        <v>-1001.92</v>
      </c>
      <c r="D168" s="46">
        <f>MAX(E_ail+D_ail/2, Long_tot/3)</f>
        <v>330.66666666666669</v>
      </c>
      <c r="E168" s="93"/>
      <c r="K168" s="46"/>
    </row>
    <row r="169" spans="2:11" x14ac:dyDescent="0.2">
      <c r="B169" s="45" t="s">
        <v>93</v>
      </c>
      <c r="C169" s="46">
        <f>C168</f>
        <v>-1001.92</v>
      </c>
      <c r="D169" s="46">
        <f>-D168</f>
        <v>-330.66666666666669</v>
      </c>
      <c r="E169" s="93"/>
      <c r="K169" s="46"/>
    </row>
    <row r="170" spans="2:11" x14ac:dyDescent="0.2">
      <c r="B170" s="183" t="s">
        <v>94</v>
      </c>
      <c r="C170" s="197">
        <f ca="1">-XpropuRef+Long_propu</f>
        <v>-714</v>
      </c>
      <c r="D170" s="207">
        <f ca="1">-Diam_propu/2</f>
        <v>-12</v>
      </c>
      <c r="E170" s="93"/>
      <c r="K170" s="46"/>
    </row>
    <row r="171" spans="2:11" x14ac:dyDescent="0.2">
      <c r="B171" s="185" t="s">
        <v>95</v>
      </c>
      <c r="C171" s="46">
        <f ca="1">-XpropuRef+Long_propu</f>
        <v>-714</v>
      </c>
      <c r="D171" s="208">
        <f ca="1">Diam_propu/2</f>
        <v>12</v>
      </c>
      <c r="E171" s="93"/>
      <c r="K171" s="46"/>
    </row>
    <row r="172" spans="2:11" x14ac:dyDescent="0.2">
      <c r="B172" s="185" t="s">
        <v>96</v>
      </c>
      <c r="C172" s="46">
        <f>-XpropuRef</f>
        <v>-942</v>
      </c>
      <c r="D172" s="208">
        <f ca="1">Diam_propu/2</f>
        <v>12</v>
      </c>
      <c r="E172" s="93"/>
      <c r="K172" s="46"/>
    </row>
    <row r="173" spans="2:11" x14ac:dyDescent="0.2">
      <c r="B173" s="185" t="s">
        <v>97</v>
      </c>
      <c r="C173" s="46">
        <f>-XpropuRef</f>
        <v>-942</v>
      </c>
      <c r="D173" s="208">
        <f ca="1">-Diam_propu/2</f>
        <v>-12</v>
      </c>
      <c r="E173" s="93"/>
      <c r="K173" s="46"/>
    </row>
    <row r="174" spans="2:11" x14ac:dyDescent="0.2">
      <c r="B174" s="187" t="s">
        <v>98</v>
      </c>
      <c r="C174" s="200">
        <f ca="1">-XpropuRef+Long_propu</f>
        <v>-714</v>
      </c>
      <c r="D174" s="209">
        <f ca="1">-Diam_propu/2</f>
        <v>-12</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2.3786440222941545</v>
      </c>
      <c r="C190" s="203">
        <f>Cn</f>
        <v>15.188330654492475</v>
      </c>
      <c r="D190" s="185">
        <v>3</v>
      </c>
      <c r="E190" s="205">
        <f t="shared" si="4"/>
        <v>33.333333333333336</v>
      </c>
      <c r="K190" s="45"/>
    </row>
    <row r="191" spans="2:11" x14ac:dyDescent="0.2">
      <c r="B191" s="512">
        <f ca="1">(XCp0-XcgPlein)/D_ref</f>
        <v>2.3786440222941545</v>
      </c>
      <c r="C191" s="513">
        <f>Cn0</f>
        <v>15.188330654492475</v>
      </c>
      <c r="D191" s="185">
        <v>4</v>
      </c>
      <c r="E191" s="205">
        <f t="shared" si="4"/>
        <v>25</v>
      </c>
      <c r="K191" s="45"/>
    </row>
    <row r="192" spans="2:11" x14ac:dyDescent="0.2">
      <c r="B192" s="512">
        <f ca="1">(XCp0-XcgVide)/D_ref</f>
        <v>2.461361239820373</v>
      </c>
      <c r="C192" s="513">
        <f>Cn0</f>
        <v>15.188330654492475</v>
      </c>
      <c r="D192" s="185">
        <v>6</v>
      </c>
      <c r="E192" s="205">
        <f t="shared" si="4"/>
        <v>16.666666666666668</v>
      </c>
      <c r="K192" s="45"/>
    </row>
    <row r="193" spans="2:11" x14ac:dyDescent="0.2">
      <c r="B193" s="512">
        <f ca="1">(XCp-XcgVide)/D_ref</f>
        <v>2.461361239820373</v>
      </c>
      <c r="C193" s="513">
        <f>Cn</f>
        <v>15.188330654492475</v>
      </c>
      <c r="D193" s="187">
        <v>7</v>
      </c>
      <c r="E193" s="206">
        <f t="shared" si="4"/>
        <v>14.285714285714286</v>
      </c>
      <c r="K193" s="45"/>
    </row>
    <row r="194" spans="2:11" x14ac:dyDescent="0.2">
      <c r="B194" s="512">
        <f ca="1">MS_min</f>
        <v>2.3786440222941545</v>
      </c>
      <c r="C194" s="514">
        <f>Cn</f>
        <v>15.188330654492475</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0</v>
      </c>
      <c r="D204" s="474"/>
    </row>
    <row r="205" spans="2:11" x14ac:dyDescent="0.2">
      <c r="B205" s="475" t="s">
        <v>402</v>
      </c>
      <c r="C205" s="474" t="b">
        <f ca="1">AND(Type_propu="H2O",RIGHT(Type_fusee,1)=" ")</f>
        <v>0</v>
      </c>
      <c r="D205" s="474"/>
    </row>
    <row r="206" spans="2:11" x14ac:dyDescent="0.2">
      <c r="B206" s="475" t="s">
        <v>118</v>
      </c>
      <c r="C206" s="474" t="b">
        <f ca="1">AND(Type_propu="Fusex",RIGHT(Type_fusee,1)=".")</f>
        <v>0</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 ref="C27:D27"/>
    <mergeCell ref="C19:D19"/>
    <mergeCell ref="C20:D20"/>
    <mergeCell ref="O23:P23"/>
    <mergeCell ref="O24:P24"/>
    <mergeCell ref="C23:D23"/>
    <mergeCell ref="C22:D22"/>
    <mergeCell ref="C24:D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ignoredErrors>
    <ignoredError sqref="D35" unlockedFormula="1"/>
    <ignoredError sqref="E18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opLeftCell="A7" zoomScaleNormal="100" workbookViewId="0">
      <selection activeCell="S39" sqref="S39"/>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632" t="s">
        <v>0</v>
      </c>
      <c r="D2" s="632"/>
      <c r="F2" s="3"/>
      <c r="J2" s="4"/>
      <c r="N2" s="57"/>
    </row>
    <row r="3" spans="1:14" ht="12.75" customHeight="1" x14ac:dyDescent="0.2">
      <c r="A3" s="56"/>
      <c r="B3" s="2"/>
      <c r="C3" s="632"/>
      <c r="D3" s="632"/>
      <c r="H3" s="5"/>
      <c r="J3" s="4"/>
      <c r="N3" s="57"/>
    </row>
    <row r="4" spans="1:14" ht="12.75" customHeight="1" x14ac:dyDescent="0.2">
      <c r="A4" s="56"/>
      <c r="B4" s="2"/>
      <c r="C4" s="636" t="str">
        <f>IF(Lang="Français","Trajectographie de fusée",IF(Lang="English","Rocket Trajectography",""))</f>
        <v>Trajectographie de fusée</v>
      </c>
      <c r="D4" s="636"/>
      <c r="H4" s="5"/>
      <c r="J4" s="4"/>
      <c r="N4" s="57"/>
    </row>
    <row r="5" spans="1:14" ht="12.75" customHeight="1" x14ac:dyDescent="0.2">
      <c r="A5" s="56"/>
      <c r="B5" s="2"/>
      <c r="C5" s="631"/>
      <c r="D5" s="631"/>
      <c r="J5" s="4"/>
      <c r="N5" s="57"/>
    </row>
    <row r="6" spans="1:14" ht="12.95" customHeight="1" x14ac:dyDescent="0.2">
      <c r="A6" s="56"/>
      <c r="B6" s="87"/>
      <c r="C6" s="635" t="str">
        <f>IF(Lang="Français","Remplir les cases jaunes",IF(Lang="English","Fill-in yellow cells only",""))</f>
        <v>Remplir les cases jaunes</v>
      </c>
      <c r="D6" s="635"/>
      <c r="J6" s="4"/>
      <c r="N6" s="57"/>
    </row>
    <row r="7" spans="1:14" x14ac:dyDescent="0.2">
      <c r="A7" s="56"/>
      <c r="B7" s="6"/>
      <c r="C7" s="612" t="str">
        <f>IF(Lang="Français","Fusée",IF(Lang="English","Rocket",""))</f>
        <v>Fusée</v>
      </c>
      <c r="D7" s="612"/>
      <c r="N7" s="58"/>
    </row>
    <row r="8" spans="1:14" ht="12.75" customHeight="1" x14ac:dyDescent="0.25">
      <c r="A8" s="56"/>
      <c r="B8" s="140" t="str">
        <f>IF(Lang="Français","Nom",IF(Lang="English","Name",""))</f>
        <v>Nom</v>
      </c>
      <c r="C8" s="633" t="str">
        <f>Nom</f>
        <v>SP02-Beta</v>
      </c>
      <c r="D8" s="633"/>
      <c r="E8" s="5"/>
      <c r="F8" s="5"/>
      <c r="J8" s="4"/>
      <c r="N8" s="57"/>
    </row>
    <row r="9" spans="1:14" ht="12.75" customHeight="1" x14ac:dyDescent="0.25">
      <c r="A9" s="59"/>
      <c r="B9" s="140" t="s">
        <v>4</v>
      </c>
      <c r="C9" s="634" t="str">
        <f>Club</f>
        <v>L'AéroIPSA</v>
      </c>
      <c r="D9" s="634"/>
      <c r="F9" s="5"/>
      <c r="N9" s="58"/>
    </row>
    <row r="10" spans="1:14" ht="12.75" customHeight="1" x14ac:dyDescent="0.25">
      <c r="A10" s="59"/>
      <c r="B10" s="141" t="s">
        <v>563</v>
      </c>
      <c r="C10" s="630" t="str">
        <f>Matricule</f>
        <v>FX5</v>
      </c>
      <c r="D10" s="630"/>
      <c r="F10" s="5"/>
      <c r="N10" s="58"/>
    </row>
    <row r="11" spans="1:14" ht="12.75" customHeight="1" x14ac:dyDescent="0.2">
      <c r="A11" s="59"/>
      <c r="B11" s="140" t="str">
        <f>IF(Lang="Français","Masse totale",IF(Lang="English","Total Mass",""))</f>
        <v>Masse totale</v>
      </c>
      <c r="C11" s="607">
        <f ca="1">MassePlein</f>
        <v>3.0118999999999998</v>
      </c>
      <c r="D11" s="607"/>
      <c r="F11" s="5"/>
      <c r="N11" s="58"/>
    </row>
    <row r="12" spans="1:14" ht="12.75" customHeight="1" x14ac:dyDescent="0.2">
      <c r="A12" s="59"/>
      <c r="B12" s="227" t="str">
        <f>IF(Lang="Français","Propulseur",IF(Lang="English","Motor",""))</f>
        <v>Propulseur</v>
      </c>
      <c r="C12" s="610" t="str">
        <f>Propu</f>
        <v>Pandora (Pro24-6G BS)</v>
      </c>
      <c r="D12" s="611"/>
      <c r="F12" s="5"/>
      <c r="N12" s="58"/>
    </row>
    <row r="13" spans="1:14" ht="12.75" customHeight="1" x14ac:dyDescent="0.2">
      <c r="A13" s="59"/>
      <c r="N13" s="58"/>
    </row>
    <row r="14" spans="1:14" ht="12.75" customHeight="1" x14ac:dyDescent="0.2">
      <c r="A14" s="59"/>
      <c r="B14"/>
      <c r="C14" s="612" t="str">
        <f>IF(Lang="Français","Traînée Aérdynamique",IF(Lang="English","Drag",""))</f>
        <v>Traînée Aérdynamique</v>
      </c>
      <c r="D14" s="612"/>
      <c r="N14" s="58"/>
    </row>
    <row r="15" spans="1:14" ht="12.75" customHeight="1" x14ac:dyDescent="0.2">
      <c r="A15" s="59"/>
      <c r="B15" s="140" t="s">
        <v>40</v>
      </c>
      <c r="C15" s="613">
        <f>(PI()*D_ref^2/4+E_ail*ep_ail*Q_ail)/10^6</f>
        <v>6.8017694409323948E-3</v>
      </c>
      <c r="D15" s="613"/>
      <c r="N15" s="58"/>
    </row>
    <row r="16" spans="1:14" ht="12.75" customHeight="1" x14ac:dyDescent="0.2">
      <c r="A16" s="59"/>
      <c r="B16" s="141" t="s">
        <v>5</v>
      </c>
      <c r="C16" s="605">
        <v>0.6</v>
      </c>
      <c r="D16" s="606"/>
      <c r="N16" s="58"/>
    </row>
    <row r="17" spans="1:18" ht="12.75" customHeight="1" x14ac:dyDescent="0.2">
      <c r="A17" s="59"/>
      <c r="N17" s="58"/>
    </row>
    <row r="18" spans="1:18" ht="12.75" customHeight="1" x14ac:dyDescent="0.2">
      <c r="A18" s="59"/>
      <c r="B18"/>
      <c r="C18" s="612" t="str">
        <f>IF(Lang="Français","Rampe de Lancement",IF(Lang="English","Launch Pad",""))</f>
        <v>Rampe de Lancement</v>
      </c>
      <c r="D18" s="612"/>
      <c r="N18" s="58"/>
    </row>
    <row r="19" spans="1:18" ht="12.75" customHeight="1" x14ac:dyDescent="0.2">
      <c r="A19" s="59"/>
      <c r="B19" s="140" t="str">
        <f>IF(Lang="Français","Longueur",IF(Lang="English","Length",""))</f>
        <v>Longueur</v>
      </c>
      <c r="C19" s="609">
        <f>IF(RIGHT(Type_fusee,1)=".",4, IF(LEFT(Type_fusee,4)="Mini",2.5, IF(LEFT(Type_fusee,5)="Micro",1, IF(RIGHT(Type_fusee,1)=" ",0.1,IF(LEFT(Type_fusee,1)="R",3, 2.5)))))</f>
        <v>4</v>
      </c>
      <c r="D19" s="609"/>
      <c r="N19" s="58"/>
    </row>
    <row r="20" spans="1:18" ht="12.75" customHeight="1" x14ac:dyDescent="0.2">
      <c r="A20" s="59"/>
      <c r="B20" s="140" t="str">
        <f>IF(Lang="Français","Élévation",IF(Lang="English","Angle /horizon",""))</f>
        <v>Élévation</v>
      </c>
      <c r="C20" s="608">
        <v>75.426997324279156</v>
      </c>
      <c r="D20" s="608"/>
      <c r="N20" s="58"/>
    </row>
    <row r="21" spans="1:18" ht="12.75" customHeight="1" x14ac:dyDescent="0.2">
      <c r="A21" s="59"/>
      <c r="B21" s="140" t="s">
        <v>6</v>
      </c>
      <c r="C21" s="609">
        <v>0</v>
      </c>
      <c r="D21" s="609"/>
      <c r="N21" s="58"/>
    </row>
    <row r="22" spans="1:18" x14ac:dyDescent="0.2">
      <c r="A22" s="59"/>
      <c r="F22" s="384" t="e">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#N/A</v>
      </c>
      <c r="N22" s="58"/>
    </row>
    <row r="23" spans="1:18" x14ac:dyDescent="0.2">
      <c r="A23" s="59"/>
      <c r="C23" s="614" t="str">
        <f>IF(Lang="Français","DescenteSousParachute",IF(Lang="English","Over Parachute",""))</f>
        <v>DescenteSousParachute</v>
      </c>
      <c r="D23" s="615"/>
      <c r="F23" s="4"/>
      <c r="G23" s="50">
        <f ca="1">TODAY()</f>
        <v>46010</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120</v>
      </c>
      <c r="E24" s="18" t="str">
        <f>IF(ABS(T_satellite-0.11-T_para)&lt;0.1,"Pb!","")</f>
        <v/>
      </c>
      <c r="F24" s="616" t="str">
        <f>IF(Lang="Français","Sortie de Rampe",IF(Lang="English","Launch-Pad Exit",""))</f>
        <v>Sortie de Rampe</v>
      </c>
      <c r="G24" s="617"/>
      <c r="H24" s="491"/>
      <c r="I24" s="491"/>
      <c r="J24" s="491"/>
      <c r="K24" s="492" t="e">
        <f ca="1">INDEX(vit_xz,MATCH("Sortie de rampe",Event,0))</f>
        <v>#N/A</v>
      </c>
      <c r="L24" s="493"/>
      <c r="M24" s="500"/>
      <c r="N24" s="58"/>
    </row>
    <row r="25" spans="1:18" x14ac:dyDescent="0.2">
      <c r="A25" s="59"/>
      <c r="B25" s="466" t="str">
        <f>IF(Lang="Français","Masse",IF(Lang="English","Mass",""))</f>
        <v>Masse</v>
      </c>
      <c r="C25" s="467">
        <f ca="1">IF(Nb_sat="0 satellite",MasseVide,MasseVide-m_satellite)</f>
        <v>2.9362999999999997</v>
      </c>
      <c r="D25" s="480">
        <f>IF(RIGHT(Type_fusee,1)=".",1,0.15)</f>
        <v>1</v>
      </c>
      <c r="F25" s="619" t="str">
        <f>IF(Lang="Français","Vit max &amp; Acc max",IF(Lang="English","Max Velocity &amp; Acc",""))</f>
        <v>Vit max &amp; Acc max</v>
      </c>
      <c r="G25" s="599"/>
      <c r="H25" s="115"/>
      <c r="I25" s="115"/>
      <c r="J25" s="115"/>
      <c r="K25" s="158">
        <f ca="1">MAX(vit_xz)</f>
        <v>174.0988930565585</v>
      </c>
      <c r="L25" s="494">
        <f ca="1">MAX(acc_xz)</f>
        <v>51.850785916968078</v>
      </c>
      <c r="M25" s="500"/>
      <c r="N25" s="58"/>
    </row>
    <row r="26" spans="1:18" x14ac:dyDescent="0.2">
      <c r="A26" s="59"/>
      <c r="B26" s="469" t="str">
        <f>IF(Lang="Français","Dépotage",IF(Lang="English","Delay",""))</f>
        <v>Dépotage</v>
      </c>
      <c r="C26" s="505" t="s">
        <v>407</v>
      </c>
      <c r="D26" s="535"/>
      <c r="F26" s="620" t="str">
        <f>IF(Lang="Français","Largage du satellite",IF(Lang="English","Satellite separation",""))</f>
        <v>Largage du satellite</v>
      </c>
      <c r="G26" s="601"/>
      <c r="H26" s="152">
        <f>IF(T_satellite&lt;&gt;0,T_satellite,"")</f>
        <v>4.7</v>
      </c>
      <c r="I26" s="156">
        <f ca="1">IF(T_satellite&lt;&gt;0,INDEX(pos_z,MATCH("Satellite",Event_sat,0)),"")</f>
        <v>579.93931963187936</v>
      </c>
      <c r="J26" s="154">
        <f ca="1">IF(T_satellite&lt;&gt;0,INDEX(pos_x,MATCH("Satellite",Event_sat,0)),"")</f>
        <v>135.06143887386077</v>
      </c>
      <c r="K26" s="159">
        <f ca="1">IF(T_satellite&lt;&gt;0,INDEX(vit_xz,MATCH("Satellite",Event_sat,0)),"")</f>
        <v>156.80500784158076</v>
      </c>
      <c r="L26" s="495"/>
      <c r="M26" s="485">
        <f ca="1">1/2*Rho_moyen*1*V_ouv_sat^2*S_satellite</f>
        <v>1506.0033921571401</v>
      </c>
      <c r="N26" s="58"/>
    </row>
    <row r="27" spans="1:18" x14ac:dyDescent="0.2">
      <c r="A27" s="59"/>
      <c r="B27" s="468" t="str">
        <f>IF(Lang="Français","Ouverture para",IF(Lang="English","Opening time",""))</f>
        <v>Ouverture para</v>
      </c>
      <c r="C27" s="507">
        <v>16.399999999999999</v>
      </c>
      <c r="D27" s="507">
        <v>4.7</v>
      </c>
      <c r="F27" s="619" t="s">
        <v>15</v>
      </c>
      <c r="G27" s="599"/>
      <c r="H27" s="153">
        <f ca="1">INDEX(t,MATCH("Apogée",Event,0))</f>
        <v>16.399999999999928</v>
      </c>
      <c r="I27" s="157">
        <f ca="1">INDEX(pos_z,MATCH("Apogée",Event,0))</f>
        <v>1438.1709179079996</v>
      </c>
      <c r="J27" s="155">
        <f ca="1">INDEX(pos_x,MATCH("Apogée",Event,0))</f>
        <v>503.00378344775055</v>
      </c>
      <c r="K27" s="160">
        <f ca="1">INDEX(vit_xz,MATCH("Apogée",Event,0))</f>
        <v>24.25690016364392</v>
      </c>
      <c r="L27" s="496"/>
      <c r="M27" s="500"/>
      <c r="N27" s="58"/>
    </row>
    <row r="28" spans="1:18" x14ac:dyDescent="0.2">
      <c r="A28" s="59"/>
      <c r="B28" s="534" t="s">
        <v>558</v>
      </c>
      <c r="C28" s="507" t="s">
        <v>560</v>
      </c>
      <c r="D28" s="507"/>
      <c r="F28" s="618" t="str">
        <f>IF(Lang="Français","Ouverture parachute fusée",IF(Lang="English","Rocket parachute opening",""))</f>
        <v>Ouverture parachute fusée</v>
      </c>
      <c r="G28" s="604"/>
      <c r="H28" s="152">
        <f>T_para</f>
        <v>16.399999999999999</v>
      </c>
      <c r="I28" s="156">
        <f ca="1">INDEX(pos_z,MATCH("Para",Event_para,0))</f>
        <v>1438.1709179079996</v>
      </c>
      <c r="J28" s="486">
        <f ca="1">INDEX(pos_x,MATCH("Para",Event_para,0))</f>
        <v>503.00378344775055</v>
      </c>
      <c r="K28" s="159">
        <f ca="1">INDEX(vit_xz,MATCH("Para",Event_para,0))</f>
        <v>24.25690016364392</v>
      </c>
      <c r="L28" s="495"/>
      <c r="M28" s="485">
        <f ca="1">1/2*Rho_moyen*1*V_ouverture^2*S_para</f>
        <v>112.62290262461107</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0.3125</v>
      </c>
      <c r="D29" s="17">
        <f>IF(RIGHT(Type_fusee,1)=".",0.1,0.02)</f>
        <v>0.1</v>
      </c>
      <c r="F29" s="623" t="str">
        <f>IF(Lang="Français","Impact balistique",IF(Lang="English","Balistic Impact",""))</f>
        <v>Impact balistique</v>
      </c>
      <c r="G29" s="624"/>
      <c r="H29" s="497">
        <f ca="1">INDEX(t,MATCH("Impact balistique",Event,0))</f>
        <v>37.100000000000222</v>
      </c>
      <c r="I29" s="517" t="s">
        <v>428</v>
      </c>
      <c r="J29" s="487">
        <f ca="1">INDEX(pos_x,MATCH("Impact balistique",Event,0))</f>
        <v>837.4075040097224</v>
      </c>
      <c r="K29" s="501">
        <f ca="1">K47</f>
        <v>104.18948395206613</v>
      </c>
      <c r="L29" s="498"/>
      <c r="M29" s="502">
        <f ca="1">0.5*m_vide*K29^2</f>
        <v>15937.426812463365</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Fusée trop lègère !</v>
      </c>
    </row>
    <row r="31" spans="1:18" x14ac:dyDescent="0.2">
      <c r="A31" s="59"/>
      <c r="B31" s="141" t="str">
        <f>IF(Lang="Français","Vitesse du vent",IF(Lang="English","Wind speed",""))</f>
        <v>Vitesse du vent</v>
      </c>
      <c r="C31" s="144">
        <v>5</v>
      </c>
      <c r="D31" s="144">
        <f>V_vent</f>
        <v>5</v>
      </c>
      <c r="G31" s="483"/>
      <c r="H31" s="484"/>
      <c r="I31" s="488"/>
      <c r="N31" s="58"/>
      <c r="P31" s="384" t="e">
        <f ca="1">IF(OR(AND(Vsortie_de_rampe&lt;20,LEFT(Type_fusee,1)="F"),AND(Vsortie_de_rampe&lt;18, OR(LEFT(Type_fusee,1)=",",LEFT(Type_fusee,4)="Mini",LEFT(Type_fusee,1)="R"))),IF(Lang="Français","Fusée trop lourde ou rampe trop courte !","Rocket too heavy or launch pad too small!"),"")</f>
        <v>#N/A</v>
      </c>
    </row>
    <row r="32" spans="1:18" x14ac:dyDescent="0.2">
      <c r="A32" s="59"/>
      <c r="B32" s="133" t="str">
        <f>IF(Lang="Français","Vitesse descente",IF(Lang="English","Fall velocity",""))</f>
        <v>Vitesse descente</v>
      </c>
      <c r="C32" s="424">
        <f ca="1">SQRT(2*m_vide*g/Rho_moyen/S_para/Cx_para)</f>
        <v>12.267516728901475</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117.23407024339018</v>
      </c>
      <c r="D33" s="132">
        <f ca="1">IF(V_satellite&lt;&gt;0,Alt_sat/V_satellite,0)</f>
        <v>45.824854801420415</v>
      </c>
      <c r="H33" s="625" t="str">
        <f>IF(Lang="Français","Pour localiser la fusée","To locate the rocket")</f>
        <v>Pour localiser la fusée</v>
      </c>
      <c r="I33" s="625"/>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133.63407024339017</v>
      </c>
      <c r="D34" s="132">
        <f ca="1">T_satellite+Dt_satellite</f>
        <v>50.524854801420418</v>
      </c>
      <c r="F34" s="625" t="str">
        <f>IF(Lang="Français","Couleur fuselage/coiffe","Body/Nose color")</f>
        <v>Couleur fuselage/coiffe</v>
      </c>
      <c r="G34" s="625"/>
      <c r="H34" s="621" t="s">
        <v>266</v>
      </c>
      <c r="I34" s="622"/>
      <c r="J34" s="1"/>
      <c r="K34" s="1"/>
      <c r="L34" s="1"/>
      <c r="M34" s="1"/>
      <c r="N34" s="394"/>
    </row>
    <row r="35" spans="1:16" x14ac:dyDescent="0.2">
      <c r="A35" s="74"/>
      <c r="B35" s="133" t="str">
        <f>IF(Lang="Français","Déport latéral",IF(Lang="English","Lateral shift",""))</f>
        <v>Déport latéral</v>
      </c>
      <c r="C35" s="151">
        <f ca="1">Alt_para*V_vent/V_para</f>
        <v>586.17035121695096</v>
      </c>
      <c r="D35" s="151">
        <f ca="1">IF(V_satellite&lt;&gt;0,Alt_sat*V_vent_sat/V_satellite,0)</f>
        <v>229.12427400710206</v>
      </c>
      <c r="F35" s="625" t="str">
        <f>IF(Lang="Français","Couleur parachute fusée","Rocket parachute color")</f>
        <v>Couleur parachute fusée</v>
      </c>
      <c r="G35" s="625"/>
      <c r="H35" s="621" t="s">
        <v>267</v>
      </c>
      <c r="I35" s="622"/>
      <c r="J35"/>
      <c r="K35"/>
      <c r="L35"/>
      <c r="M35"/>
      <c r="N35" s="394" t="str">
        <f>IF(Lang="Français","fichier initial","Initial file")</f>
        <v>fichier initial</v>
      </c>
      <c r="P35"/>
    </row>
    <row r="36" spans="1:16" x14ac:dyDescent="0.2">
      <c r="A36" s="59"/>
      <c r="F36" s="625" t="str">
        <f>IF(Lang="Français","Couleur parachute satellite","Satellite parachute color")</f>
        <v>Couleur parachute satellite</v>
      </c>
      <c r="G36" s="625"/>
      <c r="H36" s="629" t="s">
        <v>158</v>
      </c>
      <c r="I36" s="629"/>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26" t="str">
        <f>IF(Lang="Français","Calcul de la surface d'un parachute","Parachute surface calculation")</f>
        <v>Calcul de la surface d'un parachute</v>
      </c>
      <c r="B40" s="627"/>
      <c r="C40" s="627"/>
      <c r="D40" s="628"/>
      <c r="F40" s="626" t="str">
        <f>IF(Lang="Français","Résultats détaillés","Detailled results")</f>
        <v>Résultats détaillés</v>
      </c>
      <c r="G40" s="628"/>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598" t="str">
        <f>IF(Lang="Français","Décollage",IF(Lang="English","Lift-Off",""))</f>
        <v>Décollage</v>
      </c>
      <c r="G42" s="598"/>
      <c r="H42" s="150">
        <v>4.5999999999999996</v>
      </c>
      <c r="I42" s="150">
        <v>564.96320263534824</v>
      </c>
      <c r="J42" s="150">
        <v>131.1551130355156</v>
      </c>
      <c r="K42" s="150">
        <v>153.12922149896602</v>
      </c>
      <c r="L42" s="148" t="s">
        <v>14</v>
      </c>
      <c r="M42" s="149">
        <f>Beta_rampe</f>
        <v>75.426997324279156</v>
      </c>
    </row>
    <row r="43" spans="1:16" x14ac:dyDescent="0.2">
      <c r="A43" s="161"/>
      <c r="B43" s="166" t="str">
        <f>IF(Lang="Français","Bord   'a'","Side length 'a'")</f>
        <v>Bord   'a'</v>
      </c>
      <c r="D43" s="162"/>
      <c r="F43" s="599" t="str">
        <f>IF(Lang="Français","Sortie de Rampe",IF(Lang="English","Launch-Pad Exit",""))</f>
        <v>Sortie de Rampe</v>
      </c>
      <c r="G43" s="599"/>
      <c r="H43" s="115" t="e">
        <f ca="1">INDEX(t,MATCH("Sortie de rampe",Event,0))</f>
        <v>#N/A</v>
      </c>
      <c r="I43" s="115" t="e">
        <f ca="1">INDEX(pos_z,MATCH("Sortie de rampe",Event,0))</f>
        <v>#N/A</v>
      </c>
      <c r="J43" s="115" t="e">
        <f ca="1">INDEX(pos_x,MATCH("Sortie de rampe",Event,0))</f>
        <v>#N/A</v>
      </c>
      <c r="K43" s="116" t="e">
        <f ca="1">INDEX(vit_xz,MATCH("Sortie de rampe",Event,0))</f>
        <v>#N/A</v>
      </c>
      <c r="L43" s="116" t="e">
        <f ca="1">INDEX(acc_xz,MATCH("Sortie de rampe",Event,0))</f>
        <v>#N/A</v>
      </c>
      <c r="M43" s="116" t="e">
        <f ca="1">INDEX(BetaD,MATCH("Sortie de rampe",Event,0))</f>
        <v>#N/A</v>
      </c>
    </row>
    <row r="44" spans="1:16" x14ac:dyDescent="0.2">
      <c r="A44" s="161"/>
      <c r="B44" s="167">
        <v>250</v>
      </c>
      <c r="D44" s="162"/>
      <c r="F44" s="599" t="str">
        <f>IF(Lang="Français","Vit max &amp; Acc max",IF(Lang="English","Max Velocity &amp; Acc",""))</f>
        <v>Vit max &amp; Acc max</v>
      </c>
      <c r="G44" s="599"/>
      <c r="H44" s="115" t="s">
        <v>14</v>
      </c>
      <c r="I44" s="115" t="s">
        <v>14</v>
      </c>
      <c r="J44" s="115" t="s">
        <v>14</v>
      </c>
      <c r="K44" s="117">
        <f ca="1">MAX(vit_xz)</f>
        <v>174.0988930565585</v>
      </c>
      <c r="L44" s="118">
        <f ca="1">MAX(acc_xz)</f>
        <v>51.850785916968078</v>
      </c>
      <c r="M44" s="116" t="s">
        <v>14</v>
      </c>
    </row>
    <row r="45" spans="1:16" x14ac:dyDescent="0.2">
      <c r="A45" s="161"/>
      <c r="B45" s="166" t="str">
        <f>IF(Lang="Français","Coté   'b'","Side width 'b'")</f>
        <v>Coté   'b'</v>
      </c>
      <c r="D45" s="162"/>
      <c r="F45" s="599" t="str">
        <f>IF(Lang="Français","Fin de Propulsion",IF(Lang="English","Motor Burn-Out",""))</f>
        <v>Fin de Propulsion</v>
      </c>
      <c r="G45" s="599"/>
      <c r="H45" s="116">
        <f ca="1">INDEX(t,MATCH("Fin de propulsion",Event,0))</f>
        <v>5.6899999999999764</v>
      </c>
      <c r="I45" s="119">
        <f ca="1">INDEX(pos_z,MATCH("Fin de propulsion",Event,0))</f>
        <v>740.95900121146713</v>
      </c>
      <c r="J45" s="119">
        <f ca="1">INDEX(pos_x,MATCH("Fin de propulsion",Event,0))</f>
        <v>178.51071382264388</v>
      </c>
      <c r="K45" s="119">
        <f ca="1">INDEX(vit_xz,MATCH("Fin de propulsion",Event,0))</f>
        <v>166.59360844840069</v>
      </c>
      <c r="L45" s="116">
        <f ca="1">INDEX(acc_xz,MATCH("Fin de propulsion",Event,0))</f>
        <v>31.586436303642991</v>
      </c>
      <c r="M45" s="116">
        <f ca="1">INDEX(BetaD,MATCH("Fin de propulsion",Event,0))</f>
        <v>74.475332772902178</v>
      </c>
    </row>
    <row r="46" spans="1:16" x14ac:dyDescent="0.2">
      <c r="A46" s="161"/>
      <c r="B46" s="168">
        <v>250</v>
      </c>
      <c r="D46" s="162"/>
      <c r="F46" s="599" t="s">
        <v>15</v>
      </c>
      <c r="G46" s="599"/>
      <c r="H46" s="118">
        <f ca="1">INDEX(t,MATCH("Apogée",Event,0))</f>
        <v>16.399999999999928</v>
      </c>
      <c r="I46" s="117">
        <f ca="1">INDEX(pos_z,MATCH("Apogée",Event,0))</f>
        <v>1438.1709179079996</v>
      </c>
      <c r="J46" s="120">
        <f ca="1">INDEX(pos_x,MATCH("Apogée",Event,0))</f>
        <v>503.00378344775055</v>
      </c>
      <c r="K46" s="120">
        <f ca="1">INDEX(vit_xz,MATCH("Apogée",Event,0))</f>
        <v>24.25690016364392</v>
      </c>
      <c r="L46" s="116">
        <f ca="1">INDEX(acc_xz,MATCH("Apogée",Event,0))</f>
        <v>9.8464593526511237</v>
      </c>
      <c r="M46" s="121">
        <f ca="1">INDEX(BetaD,MATCH("Apogée",Event,0))</f>
        <v>1.2057788857065701</v>
      </c>
    </row>
    <row r="47" spans="1:16" x14ac:dyDescent="0.2">
      <c r="A47" s="161"/>
      <c r="B47" s="169" t="s">
        <v>9</v>
      </c>
      <c r="D47" s="162"/>
      <c r="F47" s="602" t="str">
        <f>IF(Lang="Français","Impact balistique",IF(Lang="English","Balistic Impact",""))</f>
        <v>Impact balistique</v>
      </c>
      <c r="G47" s="602"/>
      <c r="H47" s="116">
        <f ca="1">INDEX(t,MATCH("Impact balistique",Event,0))</f>
        <v>37.100000000000222</v>
      </c>
      <c r="I47" s="148" t="s">
        <v>16</v>
      </c>
      <c r="J47" s="117">
        <f ca="1">INDEX(pos_x,MATCH("Impact balistique",Event,0))</f>
        <v>837.4075040097224</v>
      </c>
      <c r="K47" s="119">
        <f ca="1">INDEX(vit_xz,MATCH("Impact balistique",Event,0))</f>
        <v>104.18948395206613</v>
      </c>
      <c r="L47" s="116">
        <f ca="1">INDEX(acc_xz,MATCH("Impact balistique",Event,0))</f>
        <v>0.88395435510843323</v>
      </c>
      <c r="M47" s="116">
        <f ca="1">INDEX(BetaD,MATCH("Impact balistique",Event,0))</f>
        <v>-86.014091917711696</v>
      </c>
    </row>
    <row r="48" spans="1:16" x14ac:dyDescent="0.2">
      <c r="A48" s="161"/>
      <c r="B48" s="174">
        <f>(4*B44*B46+B44^2)/10^6</f>
        <v>0.3125</v>
      </c>
      <c r="D48" s="162"/>
      <c r="F48" s="604" t="str">
        <f>IF(Lang="Français","Ouverture parachute fusée",IF(Lang="English","Rocket parachute opening",""))</f>
        <v>Ouverture parachute fusée</v>
      </c>
      <c r="G48" s="604"/>
      <c r="H48" s="122">
        <f>T_para</f>
        <v>16.399999999999999</v>
      </c>
      <c r="I48" s="123">
        <f ca="1">INDEX(pos_z,MATCH("Para",Event_para,0))</f>
        <v>1438.1709179079996</v>
      </c>
      <c r="J48" s="123">
        <f ca="1">INDEX(pos_x,MATCH("Para",Event_para,0))</f>
        <v>503.00378344775055</v>
      </c>
      <c r="K48" s="123">
        <f ca="1">INDEX(vit_xz,MATCH("Para",Event_para,0))</f>
        <v>24.25690016364392</v>
      </c>
      <c r="L48" s="122">
        <f ca="1">INDEX(acc_xz,MATCH("Para",Event_para,0))</f>
        <v>9.8464593526511237</v>
      </c>
      <c r="M48" s="124">
        <f ca="1">INDEX(BetaD,MATCH("Para",Event_para,0))</f>
        <v>1.2057788857065701</v>
      </c>
    </row>
    <row r="49" spans="1:13" x14ac:dyDescent="0.2">
      <c r="A49" s="161"/>
      <c r="D49" s="162"/>
      <c r="F49" s="603" t="str">
        <f>IF(Lang="Français","Impact fusée sous para.",IF(Lang="English","Impact of rocket with para. ",""))</f>
        <v>Impact fusée sous para.</v>
      </c>
      <c r="G49" s="603"/>
      <c r="H49" s="125">
        <f ca="1">T_para+Dt_para</f>
        <v>133.63407024339017</v>
      </c>
      <c r="I49" s="127" t="s">
        <v>16</v>
      </c>
      <c r="J49" s="126" t="str">
        <f ca="1">CONCATENATE(TEXT(X_para-Dx_para,"0")," | ",TEXT(X_para+Dx_para,"0"))</f>
        <v>-83 | 1089</v>
      </c>
      <c r="K49" s="126">
        <f ca="1">V_para</f>
        <v>12.267516728901475</v>
      </c>
      <c r="L49" s="128">
        <f>g</f>
        <v>9.81</v>
      </c>
      <c r="M49" s="128" t="s">
        <v>14</v>
      </c>
    </row>
    <row r="50" spans="1:13" x14ac:dyDescent="0.2">
      <c r="A50" s="161"/>
      <c r="D50" s="162"/>
      <c r="F50" s="600" t="str">
        <f>IF(Lang="Français","Largage du satellite",IF(Lang="English","Satellite separation",""))</f>
        <v>Largage du satellite</v>
      </c>
      <c r="G50" s="601"/>
      <c r="H50" s="122">
        <f>IF(T_satellite&lt;&gt;0,T_satellite,"")</f>
        <v>4.7</v>
      </c>
      <c r="I50" s="123">
        <f ca="1">IF(T_satellite&lt;&gt;0,INDEX(pos_z,MATCH("Satellite",Event_sat,0)),"")</f>
        <v>579.93931963187936</v>
      </c>
      <c r="J50" s="129">
        <f ca="1">IF(T_satellite&lt;&gt;0,INDEX(pos_x,MATCH("Satellite",Event_sat,0)),"")</f>
        <v>135.06143887386077</v>
      </c>
      <c r="K50" s="123">
        <f ca="1">IF(T_satellite&lt;&gt;0,INDEX(vit_xz,MATCH("Satellite",Event_sat,0)),"")</f>
        <v>156.80500784158076</v>
      </c>
      <c r="L50" s="122">
        <f ca="1">IF(T_satellite&lt;&gt;0,INDEX(acc_xz,MATCH("Satellite",Event_sat,0)),"")</f>
        <v>39.743704119741203</v>
      </c>
      <c r="M50" s="124">
        <f ca="1">IF(T_satellite&lt;&gt;0,INDEX(BetaD,MATCH("Satellite",Event_sat,0)),"")</f>
        <v>75.335471901079174</v>
      </c>
    </row>
    <row r="51" spans="1:13" x14ac:dyDescent="0.2">
      <c r="A51" s="161"/>
      <c r="B51" s="166" t="str">
        <f>IF(Lang="Français","Rayon exterieur","Half-diameter ext")</f>
        <v>Rayon exterieur</v>
      </c>
      <c r="D51" s="162"/>
      <c r="F51" s="596" t="str">
        <f>IF(Lang="Français","Impact du satellite",IF(Lang="English","Satellite impact",""))</f>
        <v>Impact du satellite</v>
      </c>
      <c r="G51" s="597"/>
      <c r="H51" s="125">
        <f ca="1">IF(T_satellite&lt;&gt;0,T_satellite+Dt_satellite,"")</f>
        <v>50.524854801420418</v>
      </c>
      <c r="I51" s="130" t="str">
        <f>IF(T_satellite&lt;&gt;0,"~0","")</f>
        <v>~0</v>
      </c>
      <c r="J51" s="130" t="str">
        <f ca="1">IF(T_satellite&lt;&gt;0,CONCATENATE(TEXT(X_satellite-Dx_sat,"0")," | ",TEXT(X_satellite+Dx_sat,"0")),"")</f>
        <v>-94 | 364</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4.9700000000000006</v>
      </c>
      <c r="G105" s="478" t="s">
        <v>409</v>
      </c>
      <c r="I105" s="1" t="s">
        <v>560</v>
      </c>
    </row>
    <row r="106" spans="2:9" x14ac:dyDescent="0.2">
      <c r="B106" s="1" t="s">
        <v>121</v>
      </c>
      <c r="F106" s="477">
        <f ca="1">Combustion+Depotage-7</f>
        <v>6.9700000000000006</v>
      </c>
      <c r="G106" s="478" t="s">
        <v>410</v>
      </c>
      <c r="I106" s="1" t="s">
        <v>561</v>
      </c>
    </row>
    <row r="107" spans="2:9" x14ac:dyDescent="0.2">
      <c r="B107" s="1" t="str">
        <f>IF(T_para&gt;0,IF(Lang="Français","Phase ascendante","Climbing phase"),"")</f>
        <v>Phase ascendante</v>
      </c>
      <c r="F107" s="477">
        <f ca="1">Combustion+Depotage-5</f>
        <v>8.9700000000000006</v>
      </c>
      <c r="G107" s="478" t="s">
        <v>411</v>
      </c>
    </row>
    <row r="108" spans="2:9" x14ac:dyDescent="0.2">
      <c r="B108" s="1" t="str">
        <f>IF(Lang="Français","Descente balistique","Balistic fall")</f>
        <v>Descente balistique</v>
      </c>
      <c r="F108" s="477">
        <f ca="1">Combustion+Depotage-3</f>
        <v>10.97</v>
      </c>
      <c r="G108" s="478" t="s">
        <v>412</v>
      </c>
    </row>
    <row r="109" spans="2:9" x14ac:dyDescent="0.2">
      <c r="B109" s="1" t="str">
        <f>IF(T_para&gt;0,IF(Lang="Français","Fusée sous parachute","Rocket under parachute"),"")</f>
        <v>Fusée sous parachute</v>
      </c>
      <c r="F109" s="477">
        <f ca="1">Combustion+Depotage</f>
        <v>13.97</v>
      </c>
      <c r="G109" s="478" t="s">
        <v>413</v>
      </c>
    </row>
    <row r="110" spans="2:9" x14ac:dyDescent="0.2">
      <c r="B110" s="1" t="str">
        <f>IF(AND(Nb_sat="1 satellite",T_satellite&gt;0),IF(Lang="Français","Satellite sous parachute","Satellite over parachute"),"")</f>
        <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16.399999999999999</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1438.1709179079996</v>
      </c>
      <c r="C121" s="216">
        <f ca="1">MAX(Altitude_culmi,Portee_balistique)</f>
        <v>1438.1709179079996</v>
      </c>
    </row>
    <row r="123" spans="2:3" x14ac:dyDescent="0.2">
      <c r="B123" s="210" t="s">
        <v>49</v>
      </c>
      <c r="C123" s="211" t="s">
        <v>45</v>
      </c>
    </row>
    <row r="124" spans="2:3" x14ac:dyDescent="0.2">
      <c r="B124" s="217">
        <f ca="1">X_para</f>
        <v>503.00378344775055</v>
      </c>
      <c r="C124" s="214">
        <f ca="1">Alt_para</f>
        <v>1438.1709179079996</v>
      </c>
    </row>
    <row r="125" spans="2:3" x14ac:dyDescent="0.2">
      <c r="B125" s="217">
        <f ca="1">X_para</f>
        <v>503.00378344775055</v>
      </c>
      <c r="C125" s="214">
        <f ca="1">Alt_para/2</f>
        <v>719.08545895399982</v>
      </c>
    </row>
    <row r="126" spans="2:3" x14ac:dyDescent="0.2">
      <c r="B126" s="217">
        <f ca="1">X_para</f>
        <v>503.00378344775055</v>
      </c>
      <c r="C126" s="214">
        <v>0</v>
      </c>
    </row>
    <row r="127" spans="2:3" x14ac:dyDescent="0.2">
      <c r="B127" s="217">
        <f ca="1">X_para+Alt_para/40</f>
        <v>538.95805639545051</v>
      </c>
      <c r="C127" s="214">
        <f ca="1">Alt_para/20</f>
        <v>71.908545895399982</v>
      </c>
    </row>
    <row r="128" spans="2:3" x14ac:dyDescent="0.2">
      <c r="B128" s="217">
        <f ca="1">X_para</f>
        <v>503.00378344775055</v>
      </c>
      <c r="C128" s="214">
        <v>0</v>
      </c>
    </row>
    <row r="129" spans="2:6" x14ac:dyDescent="0.2">
      <c r="B129" s="217">
        <f ca="1">X_para-Alt_para/40</f>
        <v>467.04951050005059</v>
      </c>
      <c r="C129" s="214">
        <f ca="1">Alt_para/20</f>
        <v>71.908545895399982</v>
      </c>
    </row>
    <row r="130" spans="2:6" x14ac:dyDescent="0.2">
      <c r="B130" s="218">
        <f ca="1">X_para</f>
        <v>503.00378344775055</v>
      </c>
      <c r="C130" s="219">
        <v>0</v>
      </c>
    </row>
    <row r="131" spans="2:6" x14ac:dyDescent="0.2">
      <c r="B131" s="210" t="s">
        <v>48</v>
      </c>
      <c r="C131" s="211" t="s">
        <v>45</v>
      </c>
    </row>
    <row r="132" spans="2:6" x14ac:dyDescent="0.2">
      <c r="B132" s="213">
        <f>T_para</f>
        <v>16.399999999999999</v>
      </c>
      <c r="C132" s="214">
        <f ca="1">Alt_para</f>
        <v>1438.1709179079996</v>
      </c>
    </row>
    <row r="133" spans="2:6" x14ac:dyDescent="0.2">
      <c r="B133" s="213">
        <f ca="1">(B132+B134)/2</f>
        <v>75.017035121695088</v>
      </c>
      <c r="C133" s="214">
        <f ca="1">(C132+C134)/2</f>
        <v>719.08545895399982</v>
      </c>
      <c r="E133" s="232">
        <v>1</v>
      </c>
      <c r="F133" s="233" t="s">
        <v>175</v>
      </c>
    </row>
    <row r="134" spans="2:6" x14ac:dyDescent="0.2">
      <c r="B134" s="213">
        <f ca="1">H49</f>
        <v>133.63407024339017</v>
      </c>
      <c r="C134" s="214">
        <f>0</f>
        <v>0</v>
      </c>
      <c r="E134" s="161">
        <v>1</v>
      </c>
      <c r="F134" s="234" t="s">
        <v>176</v>
      </c>
    </row>
    <row r="135" spans="2:6" x14ac:dyDescent="0.2">
      <c r="B135" s="213">
        <f ca="1">H49+E133*sS/2*zZ_fus-E134*sS*tT_fus</f>
        <v>132.23437329514323</v>
      </c>
      <c r="C135" s="214">
        <f ca="1">Alt_para-V_para*(H49-T_para)+E133*sS*Altitude_culmi/H49*zZ_fus+E134*sS/2*Altitude_culmi/H49*tT_fus</f>
        <v>57.440586373255002</v>
      </c>
      <c r="E135" s="161"/>
      <c r="F135" s="241" t="s">
        <v>177</v>
      </c>
    </row>
    <row r="136" spans="2:6" x14ac:dyDescent="0.2">
      <c r="B136" s="213">
        <f ca="1">H49</f>
        <v>133.63407024339017</v>
      </c>
      <c r="C136" s="214">
        <f ca="1">Alt_para-V_para*(H49-T_para)</f>
        <v>0</v>
      </c>
      <c r="E136" s="235" t="s">
        <v>172</v>
      </c>
      <c r="F136" s="236">
        <f ca="1">T_balistique/10</f>
        <v>3.7100000000000222</v>
      </c>
    </row>
    <row r="137" spans="2:6" x14ac:dyDescent="0.2">
      <c r="B137" s="213">
        <f ca="1">H49-E133*sS/2*zZ_fus-E134*sS*tT_fus</f>
        <v>128.52437329514319</v>
      </c>
      <c r="C137" s="214">
        <f ca="1">Alt_para-V_para*(H49-T_para)+E133*sS*Altitude_culmi/H49*zZ_fus-E134*sS/2*Altitude_culmi/H49*tT_fus</f>
        <v>22.413512146993455</v>
      </c>
      <c r="E137" s="235" t="s">
        <v>173</v>
      </c>
      <c r="F137" s="236">
        <f ca="1">(H49-T_para)/H49</f>
        <v>0.87727680545739284</v>
      </c>
    </row>
    <row r="138" spans="2:6" x14ac:dyDescent="0.2">
      <c r="B138" s="215">
        <f ca="1">H49</f>
        <v>133.63407024339017</v>
      </c>
      <c r="C138" s="216">
        <f ca="1">Alt_para-V_para*(H49-T_para)</f>
        <v>0</v>
      </c>
      <c r="E138" s="237" t="s">
        <v>174</v>
      </c>
      <c r="F138" s="238">
        <f ca="1">V_para*(H49-T_para)/Alt_para</f>
        <v>0.99999999999999989</v>
      </c>
    </row>
    <row r="140" spans="2:6" x14ac:dyDescent="0.2">
      <c r="B140" s="210" t="s">
        <v>51</v>
      </c>
      <c r="C140" s="211" t="s">
        <v>46</v>
      </c>
    </row>
    <row r="141" spans="2:6" x14ac:dyDescent="0.2">
      <c r="B141" s="217" t="b">
        <f>IF(Nb_sat="1 satellite",X_satellite)</f>
        <v>0</v>
      </c>
      <c r="C141" s="214" t="b">
        <f>IF(Nb_sat="1 satellite",Alt_sat)</f>
        <v>0</v>
      </c>
    </row>
    <row r="142" spans="2:6" x14ac:dyDescent="0.2">
      <c r="B142" s="217" t="b">
        <f>IF(Nb_sat="1 satellite",X_satellite)</f>
        <v>0</v>
      </c>
      <c r="C142" s="214" t="b">
        <f>IF(Nb_sat="1 satellite",Alt_sat*1/4)</f>
        <v>0</v>
      </c>
    </row>
    <row r="143" spans="2:6" x14ac:dyDescent="0.2">
      <c r="B143" s="217" t="b">
        <f>IF(Nb_sat="1 satellite",X_satellite)</f>
        <v>0</v>
      </c>
      <c r="C143" s="214" t="b">
        <f>IF(Nb_sat="1 satellite",0)</f>
        <v>0</v>
      </c>
    </row>
    <row r="144" spans="2:6" x14ac:dyDescent="0.2">
      <c r="B144" s="217" t="b">
        <f>IF(Nb_sat="1 satellite",X_satellite+Alt_sat/40)</f>
        <v>0</v>
      </c>
      <c r="C144" s="214" t="b">
        <f>IF(Nb_sat="1 satellite",Alt_sat/20)</f>
        <v>0</v>
      </c>
    </row>
    <row r="145" spans="2:6" x14ac:dyDescent="0.2">
      <c r="B145" s="217" t="b">
        <f>IF(Nb_sat="1 satellite",X_satellite)</f>
        <v>0</v>
      </c>
      <c r="C145" s="214" t="b">
        <f>IF(Nb_sat="1 satellite",0)</f>
        <v>0</v>
      </c>
    </row>
    <row r="146" spans="2:6" x14ac:dyDescent="0.2">
      <c r="B146" s="217" t="b">
        <f>IF(Nb_sat="1 satellite",X_satellite-Alt_sat/40)</f>
        <v>0</v>
      </c>
      <c r="C146" s="214" t="b">
        <f>IF(Nb_sat="1 satellite",Alt_sat/20)</f>
        <v>0</v>
      </c>
    </row>
    <row r="147" spans="2:6" x14ac:dyDescent="0.2">
      <c r="B147" s="218" t="b">
        <f>IF(Nb_sat="1 satellite",X_satellite)</f>
        <v>0</v>
      </c>
      <c r="C147" s="214" t="b">
        <f>IF(Nb_sat="1 satellite",0)</f>
        <v>0</v>
      </c>
    </row>
    <row r="148" spans="2:6" x14ac:dyDescent="0.2">
      <c r="B148" s="210" t="s">
        <v>50</v>
      </c>
      <c r="C148" s="211" t="s">
        <v>46</v>
      </c>
    </row>
    <row r="149" spans="2:6" x14ac:dyDescent="0.2">
      <c r="B149" s="213" t="b">
        <f>IF(Nb_sat="1 satellite",T_satellite)</f>
        <v>0</v>
      </c>
      <c r="C149" s="214" t="b">
        <f>IF(Nb_sat="1 satellite",Alt_sat)</f>
        <v>0</v>
      </c>
      <c r="D149" s="221"/>
    </row>
    <row r="150" spans="2:6" x14ac:dyDescent="0.2">
      <c r="B150" s="213">
        <f>(B149+B151)/2</f>
        <v>0</v>
      </c>
      <c r="C150" s="214">
        <f>(C149+C151)/2</f>
        <v>0</v>
      </c>
      <c r="D150" s="221"/>
    </row>
    <row r="151" spans="2:6" x14ac:dyDescent="0.2">
      <c r="B151" s="213" t="b">
        <f>IF(Nb_sat="1 satellite",H51)</f>
        <v>0</v>
      </c>
      <c r="C151" s="214" t="b">
        <f>IF(Nb_sat="1 satellite",0)</f>
        <v>0</v>
      </c>
    </row>
    <row r="152" spans="2:6" x14ac:dyDescent="0.2">
      <c r="B152" s="213" t="b">
        <f>IF(Nb_sat="1 satellite",H51+E133*sS/2*zZ_sat-E134*sS*tT_sat)</f>
        <v>0</v>
      </c>
      <c r="C152" s="214" t="b">
        <f>IF(Nb_sat="1 satellite",Alt_sat-V_satellite*(H51-T_satellite)+E133*sS*Altitude_culmi/H51*zZ_sat+E134*sS/2*Altitude_culmi/H51*tT_sat)</f>
        <v>0</v>
      </c>
      <c r="D152" s="221"/>
    </row>
    <row r="153" spans="2:6" x14ac:dyDescent="0.2">
      <c r="B153" s="213" t="b">
        <f>IF(Nb_sat="1 satellite",H51)</f>
        <v>0</v>
      </c>
      <c r="C153" s="214" t="b">
        <f>IF(Nb_sat="1 satellite",0)</f>
        <v>0</v>
      </c>
    </row>
    <row r="154" spans="2:6" x14ac:dyDescent="0.2">
      <c r="B154" s="213" t="b">
        <f>IF(Nb_sat="1 satellite",H51-sS/2*zZ_sat-E134*sS*tT_sat)</f>
        <v>0</v>
      </c>
      <c r="C154" s="214" t="b">
        <f>IF(Nb_sat="1 satellite",Alt_sat-V_satellite*(H51-T_satellite)+E133*sS*Altitude_culmi/H51*zZ_sat-E134*sS/2*Altitude_culmi/H51*tT_sat)</f>
        <v>0</v>
      </c>
      <c r="E154" s="239" t="s">
        <v>173</v>
      </c>
      <c r="F154" s="240">
        <f ca="1">(T_balistique-T_satellite)/T_balistique</f>
        <v>0.8733153638814023</v>
      </c>
    </row>
    <row r="155" spans="2:6" x14ac:dyDescent="0.2">
      <c r="B155" s="215" t="b">
        <f>IF(Nb_sat="1 satellite",H51)</f>
        <v>0</v>
      </c>
      <c r="C155" s="216" t="b">
        <f>IF(Nb_sat="1 satellite",0)</f>
        <v>0</v>
      </c>
      <c r="E155" s="237" t="s">
        <v>174</v>
      </c>
      <c r="F155" s="238">
        <f ca="1">V_satellite*(T_balistique-T_satellite)/Alt_sat</f>
        <v>0.70703988349562508</v>
      </c>
    </row>
    <row r="157" spans="2:6" x14ac:dyDescent="0.2">
      <c r="B157" s="210" t="s">
        <v>2</v>
      </c>
      <c r="C157" s="228" t="s">
        <v>29</v>
      </c>
      <c r="D157" s="211" t="s">
        <v>3</v>
      </c>
    </row>
    <row r="158" spans="2:6" x14ac:dyDescent="0.2">
      <c r="B158" s="231">
        <f>T_para/4</f>
        <v>4.0999999999999996</v>
      </c>
      <c r="C158" s="82">
        <f ca="1">Alt_para/2</f>
        <v>719.08545895399982</v>
      </c>
      <c r="D158" s="214">
        <f ca="1">X_para/4</f>
        <v>125.75094586193764</v>
      </c>
    </row>
    <row r="159" spans="2:6" x14ac:dyDescent="0.2">
      <c r="B159" s="229">
        <f ca="1">Temps_culmi + (T_balistique-Temps_culmi)/2</f>
        <v>26.750000000000075</v>
      </c>
      <c r="C159" s="230">
        <f ca="1">Altitude_culmi/2</f>
        <v>719.08545895399982</v>
      </c>
      <c r="D159" s="216">
        <f ca="1">X_culmi+(Portee_balistique-X_culmi)*2/3</f>
        <v>725.9395971557318</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503.00378344775055</v>
      </c>
      <c r="E162" s="422"/>
      <c r="F162" s="423" t="s">
        <v>305</v>
      </c>
    </row>
    <row r="163" spans="2:6" x14ac:dyDescent="0.2">
      <c r="B163" s="231" t="e">
        <f ca="1">IF(AND(Altitude_culmi&gt;80, Altitude_culmi&lt;=350), 49, NA())</f>
        <v>#N/A</v>
      </c>
      <c r="C163" s="5">
        <v>23</v>
      </c>
      <c r="D163" s="82">
        <f t="shared" ca="1" si="0"/>
        <v>526.00378344775049</v>
      </c>
      <c r="E163" s="82"/>
      <c r="F163" s="214">
        <f t="shared" ref="F163:F178" ca="1" si="1">X_culmi-C162</f>
        <v>503.00378344775055</v>
      </c>
    </row>
    <row r="164" spans="2:6" x14ac:dyDescent="0.2">
      <c r="B164" s="231" t="e">
        <f ca="1">IF(AND(Altitude_culmi&gt;80, Altitude_culmi&lt;=350), 43, NA())</f>
        <v>#N/A</v>
      </c>
      <c r="C164" s="5">
        <v>23</v>
      </c>
      <c r="D164" s="82">
        <f t="shared" ca="1" si="0"/>
        <v>526.00378344775049</v>
      </c>
      <c r="E164" s="82"/>
      <c r="F164" s="214">
        <f t="shared" ca="1" si="1"/>
        <v>480.00378344775055</v>
      </c>
    </row>
    <row r="165" spans="2:6" x14ac:dyDescent="0.2">
      <c r="B165" s="231" t="e">
        <f ca="1">IF(AND(Altitude_culmi&gt;80, Altitude_culmi&lt;=350), 43, NA())</f>
        <v>#N/A</v>
      </c>
      <c r="C165" s="5">
        <v>0</v>
      </c>
      <c r="D165" s="82">
        <f t="shared" ca="1" si="0"/>
        <v>503.00378344775055</v>
      </c>
      <c r="E165" s="82"/>
      <c r="F165" s="214">
        <f t="shared" ca="1" si="1"/>
        <v>480.00378344775055</v>
      </c>
    </row>
    <row r="166" spans="2:6" x14ac:dyDescent="0.2">
      <c r="B166" s="231" t="e">
        <f ca="1">IF(AND(Altitude_culmi&gt;80, Altitude_culmi&lt;=350), 43, NA())</f>
        <v>#N/A</v>
      </c>
      <c r="C166" s="5">
        <v>23</v>
      </c>
      <c r="D166" s="82">
        <f t="shared" ca="1" si="0"/>
        <v>526.00378344775049</v>
      </c>
      <c r="E166" s="82"/>
      <c r="F166" s="214">
        <f t="shared" ca="1" si="1"/>
        <v>503.00378344775055</v>
      </c>
    </row>
    <row r="167" spans="2:6" x14ac:dyDescent="0.2">
      <c r="B167" s="231" t="e">
        <f ca="1">IF(AND(Altitude_culmi&gt;80, Altitude_culmi&lt;=350), 0.5, NA())</f>
        <v>#N/A</v>
      </c>
      <c r="C167" s="5">
        <v>23</v>
      </c>
      <c r="D167" s="82">
        <f t="shared" ca="1" si="0"/>
        <v>526.00378344775049</v>
      </c>
      <c r="E167" s="82"/>
      <c r="F167" s="214">
        <f t="shared" ca="1" si="1"/>
        <v>480.00378344775055</v>
      </c>
    </row>
    <row r="168" spans="2:6" x14ac:dyDescent="0.2">
      <c r="B168" s="231" t="e">
        <f ca="1">IF(AND(Altitude_culmi&gt;80, Altitude_culmi&lt;=350), 0.5, NA())</f>
        <v>#N/A</v>
      </c>
      <c r="C168" s="5">
        <v>8</v>
      </c>
      <c r="D168" s="82">
        <f t="shared" ca="1" si="0"/>
        <v>511.00378344775055</v>
      </c>
      <c r="E168" s="82"/>
      <c r="F168" s="214">
        <f t="shared" ca="1" si="1"/>
        <v>480.00378344775055</v>
      </c>
    </row>
    <row r="169" spans="2:6" x14ac:dyDescent="0.2">
      <c r="B169" s="231" t="e">
        <f ca="1">IF(AND(Altitude_culmi&gt;80, Altitude_culmi&lt;=350), 27, NA())</f>
        <v>#N/A</v>
      </c>
      <c r="C169" s="5">
        <v>8</v>
      </c>
      <c r="D169" s="82">
        <f t="shared" ca="1" si="0"/>
        <v>511.00378344775055</v>
      </c>
      <c r="E169" s="82"/>
      <c r="F169" s="214">
        <f t="shared" ca="1" si="1"/>
        <v>495.00378344775055</v>
      </c>
    </row>
    <row r="170" spans="2:6" x14ac:dyDescent="0.2">
      <c r="B170" s="231" t="e">
        <f ca="1">IF(AND(Altitude_culmi&gt;80, Altitude_culmi&lt;=350), 27, NA())</f>
        <v>#N/A</v>
      </c>
      <c r="C170" s="5">
        <v>23</v>
      </c>
      <c r="D170" s="82">
        <f t="shared" ca="1" si="0"/>
        <v>526.00378344775049</v>
      </c>
      <c r="E170" s="82"/>
      <c r="F170" s="214">
        <f t="shared" ca="1" si="1"/>
        <v>495.00378344775055</v>
      </c>
    </row>
    <row r="171" spans="2:6" x14ac:dyDescent="0.2">
      <c r="B171" s="231" t="e">
        <f ca="1">IF(AND(Altitude_culmi&gt;80, Altitude_culmi&lt;=350), 27, NA())</f>
        <v>#N/A</v>
      </c>
      <c r="C171" s="5">
        <v>8</v>
      </c>
      <c r="D171" s="82">
        <f t="shared" ca="1" si="0"/>
        <v>511.00378344775055</v>
      </c>
      <c r="E171" s="82"/>
      <c r="F171" s="214">
        <f t="shared" ca="1" si="1"/>
        <v>480.00378344775055</v>
      </c>
    </row>
    <row r="172" spans="2:6" x14ac:dyDescent="0.2">
      <c r="B172" s="231" t="e">
        <f ca="1">IF(AND(Altitude_culmi&gt;80, Altitude_culmi&lt;=350), 29, NA())</f>
        <v>#N/A</v>
      </c>
      <c r="C172" s="5">
        <v>7.6</v>
      </c>
      <c r="D172" s="82">
        <f t="shared" ca="1" si="0"/>
        <v>510.60378344775057</v>
      </c>
      <c r="E172" s="82"/>
      <c r="F172" s="214">
        <f t="shared" ca="1" si="1"/>
        <v>495.00378344775055</v>
      </c>
    </row>
    <row r="173" spans="2:6" x14ac:dyDescent="0.2">
      <c r="B173" s="231" t="e">
        <f ca="1">IF(AND(Altitude_culmi&gt;80, Altitude_culmi&lt;=350), 31, NA())</f>
        <v>#N/A</v>
      </c>
      <c r="C173" s="5">
        <v>6.8</v>
      </c>
      <c r="D173" s="82">
        <f t="shared" ca="1" si="0"/>
        <v>509.80378344775056</v>
      </c>
      <c r="E173" s="82"/>
      <c r="F173" s="214">
        <f t="shared" ca="1" si="1"/>
        <v>495.40378344775053</v>
      </c>
    </row>
    <row r="174" spans="2:6" x14ac:dyDescent="0.2">
      <c r="B174" s="231" t="e">
        <f ca="1">IF(AND(Altitude_culmi&gt;80, Altitude_culmi&lt;=350), 32, NA())</f>
        <v>#N/A</v>
      </c>
      <c r="C174" s="5">
        <v>6</v>
      </c>
      <c r="D174" s="82">
        <f t="shared" ca="1" si="0"/>
        <v>509.00378344775055</v>
      </c>
      <c r="E174" s="82"/>
      <c r="F174" s="214">
        <f t="shared" ca="1" si="1"/>
        <v>496.20378344775054</v>
      </c>
    </row>
    <row r="175" spans="2:6" x14ac:dyDescent="0.2">
      <c r="B175" s="231" t="e">
        <f ca="1">IF(AND(Altitude_culmi&gt;80, Altitude_culmi&lt;=350), 33, NA())</f>
        <v>#N/A</v>
      </c>
      <c r="C175" s="5">
        <v>5</v>
      </c>
      <c r="D175" s="82">
        <f t="shared" ca="1" si="0"/>
        <v>508.00378344775055</v>
      </c>
      <c r="E175" s="82"/>
      <c r="F175" s="214">
        <f t="shared" ca="1" si="1"/>
        <v>497.00378344775055</v>
      </c>
    </row>
    <row r="176" spans="2:6" x14ac:dyDescent="0.2">
      <c r="B176" s="231" t="e">
        <f ca="1">IF(AND(Altitude_culmi&gt;80, Altitude_culmi&lt;=350), 34, NA())</f>
        <v>#N/A</v>
      </c>
      <c r="C176" s="5">
        <v>3.8</v>
      </c>
      <c r="D176" s="82">
        <f t="shared" ca="1" si="0"/>
        <v>506.80378344775056</v>
      </c>
      <c r="E176" s="82"/>
      <c r="F176" s="214">
        <f t="shared" ca="1" si="1"/>
        <v>498.00378344775055</v>
      </c>
    </row>
    <row r="177" spans="2:6" x14ac:dyDescent="0.2">
      <c r="B177" s="229" t="e">
        <f ca="1">IF(AND(Altitude_culmi&gt;80, Altitude_culmi&lt;=350), 35, NA())</f>
        <v>#N/A</v>
      </c>
      <c r="C177" s="421">
        <v>0</v>
      </c>
      <c r="D177" s="230">
        <f t="shared" ca="1" si="0"/>
        <v>503.00378344775055</v>
      </c>
      <c r="E177" s="82"/>
      <c r="F177" s="214">
        <f t="shared" ca="1" si="1"/>
        <v>499.20378344775054</v>
      </c>
    </row>
    <row r="178" spans="2:6" x14ac:dyDescent="0.2">
      <c r="E178" s="230"/>
      <c r="F178" s="216">
        <f t="shared" ca="1" si="1"/>
        <v>503.00378344775055</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503.00378344775055</v>
      </c>
      <c r="E180" s="228"/>
      <c r="F180" s="211" t="s">
        <v>308</v>
      </c>
    </row>
    <row r="181" spans="2:6" x14ac:dyDescent="0.2">
      <c r="B181" s="231">
        <f ca="1">IF(Altitude_culmi&gt;350, 300, NA())</f>
        <v>300</v>
      </c>
      <c r="C181" s="5">
        <v>0</v>
      </c>
      <c r="D181" s="82">
        <f t="shared" ca="1" si="2"/>
        <v>503.00378344775055</v>
      </c>
      <c r="E181" s="82"/>
      <c r="F181" s="214">
        <f t="shared" ref="F181:F201" ca="1" si="3">X_culmi-C180</f>
        <v>503.00378344775055</v>
      </c>
    </row>
    <row r="182" spans="2:6" x14ac:dyDescent="0.2">
      <c r="B182" s="231">
        <f ca="1">IF(Altitude_culmi&gt;350, 280, NA())</f>
        <v>280</v>
      </c>
      <c r="C182" s="5">
        <v>10</v>
      </c>
      <c r="D182" s="82">
        <f t="shared" ca="1" si="2"/>
        <v>513.00378344775049</v>
      </c>
      <c r="E182" s="82"/>
      <c r="F182" s="214">
        <f t="shared" ca="1" si="3"/>
        <v>503.00378344775055</v>
      </c>
    </row>
    <row r="183" spans="2:6" x14ac:dyDescent="0.2">
      <c r="B183" s="231">
        <f ca="1">IF(Altitude_culmi&gt;350, 280, NA())</f>
        <v>280</v>
      </c>
      <c r="C183" s="5">
        <v>0</v>
      </c>
      <c r="D183" s="82">
        <f t="shared" ca="1" si="2"/>
        <v>503.00378344775055</v>
      </c>
      <c r="E183" s="82"/>
      <c r="F183" s="214">
        <f t="shared" ca="1" si="3"/>
        <v>493.00378344775055</v>
      </c>
    </row>
    <row r="184" spans="2:6" x14ac:dyDescent="0.2">
      <c r="B184" s="231">
        <f ca="1">IF(Altitude_culmi&gt;350, 280, NA())</f>
        <v>280</v>
      </c>
      <c r="C184" s="5">
        <v>10</v>
      </c>
      <c r="D184" s="82">
        <f t="shared" ca="1" si="2"/>
        <v>513.00378344775049</v>
      </c>
      <c r="E184" s="82"/>
      <c r="F184" s="214">
        <f t="shared" ca="1" si="3"/>
        <v>503.00378344775055</v>
      </c>
    </row>
    <row r="185" spans="2:6" x14ac:dyDescent="0.2">
      <c r="B185" s="231">
        <f ca="1">IF(Altitude_culmi&gt;350, 200, NA())</f>
        <v>200</v>
      </c>
      <c r="C185" s="5">
        <v>13</v>
      </c>
      <c r="D185" s="82">
        <f t="shared" ca="1" si="2"/>
        <v>516.00378344775049</v>
      </c>
      <c r="E185" s="82"/>
      <c r="F185" s="214">
        <f t="shared" ca="1" si="3"/>
        <v>493.00378344775055</v>
      </c>
    </row>
    <row r="186" spans="2:6" x14ac:dyDescent="0.2">
      <c r="B186" s="231">
        <f ca="1">IF(Altitude_culmi&gt;350, 160, NA())</f>
        <v>160</v>
      </c>
      <c r="C186" s="5">
        <v>17</v>
      </c>
      <c r="D186" s="82">
        <f t="shared" ca="1" si="2"/>
        <v>520.00378344775049</v>
      </c>
      <c r="E186" s="82"/>
      <c r="F186" s="214">
        <f t="shared" ca="1" si="3"/>
        <v>490.00378344775055</v>
      </c>
    </row>
    <row r="187" spans="2:6" x14ac:dyDescent="0.2">
      <c r="B187" s="231">
        <f ca="1">IF(Altitude_culmi&gt;350, 115, NA())</f>
        <v>115</v>
      </c>
      <c r="C187" s="5">
        <v>20</v>
      </c>
      <c r="D187" s="82">
        <f t="shared" ca="1" si="2"/>
        <v>523.00378344775049</v>
      </c>
      <c r="E187" s="82"/>
      <c r="F187" s="214">
        <f t="shared" ca="1" si="3"/>
        <v>486.00378344775055</v>
      </c>
    </row>
    <row r="188" spans="2:6" x14ac:dyDescent="0.2">
      <c r="B188" s="231">
        <f ca="1">IF(Altitude_culmi&gt;350, 90, NA())</f>
        <v>90</v>
      </c>
      <c r="C188" s="5">
        <v>25</v>
      </c>
      <c r="D188" s="82">
        <f t="shared" ca="1" si="2"/>
        <v>528.00378344775049</v>
      </c>
      <c r="E188" s="82"/>
      <c r="F188" s="214">
        <f t="shared" ca="1" si="3"/>
        <v>483.00378344775055</v>
      </c>
    </row>
    <row r="189" spans="2:6" x14ac:dyDescent="0.2">
      <c r="B189" s="231">
        <f ca="1">IF(Altitude_culmi&gt;350, 57, NA())</f>
        <v>57</v>
      </c>
      <c r="C189" s="5">
        <v>30</v>
      </c>
      <c r="D189" s="82">
        <f t="shared" ca="1" si="2"/>
        <v>533.00378344775049</v>
      </c>
      <c r="E189" s="82"/>
      <c r="F189" s="214">
        <f t="shared" ca="1" si="3"/>
        <v>478.00378344775055</v>
      </c>
    </row>
    <row r="190" spans="2:6" x14ac:dyDescent="0.2">
      <c r="B190" s="231">
        <f ca="1">IF(Altitude_culmi&gt;350, 40, NA())</f>
        <v>40</v>
      </c>
      <c r="C190" s="5">
        <v>36</v>
      </c>
      <c r="D190" s="82">
        <f t="shared" ca="1" si="2"/>
        <v>539.00378344775049</v>
      </c>
      <c r="E190" s="82"/>
      <c r="F190" s="214">
        <f t="shared" ca="1" si="3"/>
        <v>473.00378344775055</v>
      </c>
    </row>
    <row r="191" spans="2:6" x14ac:dyDescent="0.2">
      <c r="B191" s="231">
        <f ca="1">IF(Altitude_culmi&gt;350, 20, NA())</f>
        <v>20</v>
      </c>
      <c r="C191" s="5">
        <v>48</v>
      </c>
      <c r="D191" s="82">
        <f t="shared" ca="1" si="2"/>
        <v>551.00378344775049</v>
      </c>
      <c r="E191" s="82"/>
      <c r="F191" s="214">
        <f t="shared" ca="1" si="3"/>
        <v>467.00378344775055</v>
      </c>
    </row>
    <row r="192" spans="2:6" x14ac:dyDescent="0.2">
      <c r="B192" s="231">
        <f ca="1">IF(Altitude_culmi&gt;350, 0.5, NA())</f>
        <v>0.5</v>
      </c>
      <c r="C192" s="5">
        <v>62</v>
      </c>
      <c r="D192" s="82">
        <f t="shared" ca="1" si="2"/>
        <v>565.00378344775049</v>
      </c>
      <c r="E192" s="82"/>
      <c r="F192" s="214">
        <f t="shared" ca="1" si="3"/>
        <v>455.00378344775055</v>
      </c>
    </row>
    <row r="193" spans="2:6" x14ac:dyDescent="0.2">
      <c r="B193" s="231">
        <f ca="1">IF(Altitude_culmi&gt;350, 0.5, NA())</f>
        <v>0.5</v>
      </c>
      <c r="C193" s="5">
        <v>37</v>
      </c>
      <c r="D193" s="82">
        <f t="shared" ca="1" si="2"/>
        <v>540.00378344775049</v>
      </c>
      <c r="E193" s="82"/>
      <c r="F193" s="214">
        <f t="shared" ca="1" si="3"/>
        <v>441.00378344775055</v>
      </c>
    </row>
    <row r="194" spans="2:6" x14ac:dyDescent="0.2">
      <c r="B194" s="231">
        <f ca="1">IF(Altitude_culmi&gt;350, 15, NA())</f>
        <v>15</v>
      </c>
      <c r="C194" s="5">
        <v>30</v>
      </c>
      <c r="D194" s="82">
        <f t="shared" ca="1" si="2"/>
        <v>533.00378344775049</v>
      </c>
      <c r="E194" s="82"/>
      <c r="F194" s="214">
        <f t="shared" ca="1" si="3"/>
        <v>466.00378344775055</v>
      </c>
    </row>
    <row r="195" spans="2:6" x14ac:dyDescent="0.2">
      <c r="B195" s="231">
        <f ca="1">IF(Altitude_culmi&gt;350, 30, NA())</f>
        <v>30</v>
      </c>
      <c r="C195" s="5">
        <v>15</v>
      </c>
      <c r="D195" s="82">
        <f t="shared" ca="1" si="2"/>
        <v>518.00378344775049</v>
      </c>
      <c r="E195" s="82"/>
      <c r="F195" s="214">
        <f t="shared" ca="1" si="3"/>
        <v>473.00378344775055</v>
      </c>
    </row>
    <row r="196" spans="2:6" x14ac:dyDescent="0.2">
      <c r="B196" s="231">
        <f ca="1">IF(Altitude_culmi&gt;350, 37, NA())</f>
        <v>37</v>
      </c>
      <c r="C196" s="5">
        <v>0</v>
      </c>
      <c r="D196" s="82">
        <f t="shared" ca="1" si="2"/>
        <v>503.00378344775055</v>
      </c>
      <c r="E196" s="82"/>
      <c r="F196" s="214">
        <f t="shared" ca="1" si="3"/>
        <v>488.00378344775055</v>
      </c>
    </row>
    <row r="197" spans="2:6" x14ac:dyDescent="0.2">
      <c r="B197" s="231">
        <f ca="1">IF(Altitude_culmi&gt;350, 67, NA())</f>
        <v>67</v>
      </c>
      <c r="C197" s="5">
        <v>0</v>
      </c>
      <c r="D197" s="82">
        <f t="shared" ca="1" si="2"/>
        <v>503.00378344775055</v>
      </c>
      <c r="E197" s="82"/>
      <c r="F197" s="214">
        <f t="shared" ca="1" si="3"/>
        <v>503.00378344775055</v>
      </c>
    </row>
    <row r="198" spans="2:6" x14ac:dyDescent="0.2">
      <c r="B198" s="231">
        <f ca="1">IF(Altitude_culmi&gt;350, 67, NA())</f>
        <v>67</v>
      </c>
      <c r="C198" s="5">
        <v>17</v>
      </c>
      <c r="D198" s="82">
        <f t="shared" ca="1" si="2"/>
        <v>520.00378344775049</v>
      </c>
      <c r="E198" s="82"/>
      <c r="F198" s="214">
        <f t="shared" ca="1" si="3"/>
        <v>503.00378344775055</v>
      </c>
    </row>
    <row r="199" spans="2:6" x14ac:dyDescent="0.2">
      <c r="B199" s="231">
        <f ca="1">IF(Altitude_culmi&gt;350, 100, NA())</f>
        <v>100</v>
      </c>
      <c r="C199" s="5">
        <v>11</v>
      </c>
      <c r="D199" s="82">
        <f t="shared" ca="1" si="2"/>
        <v>514.00378344775049</v>
      </c>
      <c r="E199" s="82"/>
      <c r="F199" s="214">
        <f t="shared" ca="1" si="3"/>
        <v>486.00378344775055</v>
      </c>
    </row>
    <row r="200" spans="2:6" x14ac:dyDescent="0.2">
      <c r="B200" s="229">
        <f ca="1">IF(Altitude_culmi&gt;350, 100, NA())</f>
        <v>100</v>
      </c>
      <c r="C200" s="421">
        <v>0</v>
      </c>
      <c r="D200" s="230">
        <f t="shared" ca="1" si="2"/>
        <v>503.00378344775055</v>
      </c>
      <c r="E200" s="82"/>
      <c r="F200" s="214">
        <f t="shared" ca="1" si="3"/>
        <v>492.00378344775055</v>
      </c>
    </row>
    <row r="201" spans="2:6" x14ac:dyDescent="0.2">
      <c r="E201" s="230"/>
      <c r="F201" s="216">
        <f t="shared" ca="1" si="3"/>
        <v>503.00378344775055</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C10:D10"/>
    <mergeCell ref="C5:D5"/>
    <mergeCell ref="C2:D3"/>
    <mergeCell ref="C7:D7"/>
    <mergeCell ref="C8:D8"/>
    <mergeCell ref="C9:D9"/>
    <mergeCell ref="C6:D6"/>
    <mergeCell ref="C4:D4"/>
    <mergeCell ref="H35:I35"/>
    <mergeCell ref="H34:I34"/>
    <mergeCell ref="F29:G29"/>
    <mergeCell ref="H33:I33"/>
    <mergeCell ref="A40:D40"/>
    <mergeCell ref="H36:I36"/>
    <mergeCell ref="F36:G36"/>
    <mergeCell ref="F35:G35"/>
    <mergeCell ref="F34:G34"/>
    <mergeCell ref="F40:G40"/>
    <mergeCell ref="C23:D23"/>
    <mergeCell ref="C18:D18"/>
    <mergeCell ref="F24:G24"/>
    <mergeCell ref="F28:G28"/>
    <mergeCell ref="F27:G27"/>
    <mergeCell ref="F25:G25"/>
    <mergeCell ref="F26:G26"/>
    <mergeCell ref="C16:D16"/>
    <mergeCell ref="C11:D11"/>
    <mergeCell ref="C20:D20"/>
    <mergeCell ref="C21:D21"/>
    <mergeCell ref="C12:D12"/>
    <mergeCell ref="C14:D14"/>
    <mergeCell ref="C15:D15"/>
    <mergeCell ref="C19:D19"/>
    <mergeCell ref="F51:G51"/>
    <mergeCell ref="F42:G42"/>
    <mergeCell ref="F43:G43"/>
    <mergeCell ref="F44:G44"/>
    <mergeCell ref="F45:G45"/>
    <mergeCell ref="F50:G50"/>
    <mergeCell ref="F46:G46"/>
    <mergeCell ref="F47:G47"/>
    <mergeCell ref="F49:G49"/>
    <mergeCell ref="F48:G48"/>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zoomScale="80" zoomScaleNormal="80" workbookViewId="0">
      <selection activeCell="R15" sqref="R15"/>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Pandora (Pro24-6G BS)</v>
      </c>
      <c r="B2" s="352">
        <f>VLOOKUP(A2,A26:B314,2,FALSE)</f>
        <v>198</v>
      </c>
      <c r="C2" s="363" t="s">
        <v>115</v>
      </c>
      <c r="D2" s="353">
        <f ca="1">INDIRECT(ADDRESS(B2,4))</f>
        <v>142.44</v>
      </c>
      <c r="E2" s="363" t="s">
        <v>114</v>
      </c>
      <c r="F2" s="354">
        <f ca="1">INDIRECT(ADDRESS(B2,6))</f>
        <v>192.06187401906058</v>
      </c>
      <c r="G2" s="363" t="s">
        <v>56</v>
      </c>
      <c r="H2" s="355">
        <f ca="1">INDIRECT(ADDRESS(B2,8))</f>
        <v>0.15989999999999999</v>
      </c>
      <c r="I2" s="363" t="s">
        <v>273</v>
      </c>
      <c r="J2" s="356">
        <f ca="1">INDIRECT(ADDRESS(B2,10))</f>
        <v>7.5599999999999987E-2</v>
      </c>
      <c r="K2" s="363" t="s">
        <v>58</v>
      </c>
      <c r="L2" s="355">
        <f ca="1">INDIRECT(ADDRESS(B2,12))</f>
        <v>8.43E-2</v>
      </c>
      <c r="M2" s="363" t="s">
        <v>57</v>
      </c>
      <c r="N2" s="357">
        <f ca="1">INDIRECT(ADDRESS(B2,14))</f>
        <v>114</v>
      </c>
      <c r="O2" s="363" t="s">
        <v>59</v>
      </c>
      <c r="P2" s="357">
        <f ca="1">INDIRECT(ADDRESS(B2,16))</f>
        <v>114</v>
      </c>
      <c r="Q2" s="363" t="s">
        <v>60</v>
      </c>
      <c r="R2" s="357">
        <f ca="1">INDIRECT(ADDRESS(B2,18))</f>
        <v>228</v>
      </c>
      <c r="S2" s="363" t="s">
        <v>61</v>
      </c>
      <c r="T2" s="357">
        <f ca="1">INDIRECT(ADDRESS(B2,20))</f>
        <v>24</v>
      </c>
      <c r="U2" s="363" t="s">
        <v>54</v>
      </c>
      <c r="V2" s="358" t="str">
        <f ca="1">INDIRECT(ADDRESS(B2,22))</f>
        <v>MiniN</v>
      </c>
      <c r="W2" s="463" t="s">
        <v>394</v>
      </c>
      <c r="X2" s="464">
        <f ca="1">INDIRECT(ADDRESS(B2,24))</f>
        <v>0.97</v>
      </c>
      <c r="Y2" s="463" t="s">
        <v>393</v>
      </c>
      <c r="Z2" s="358">
        <f ca="1">INDIRECT(ADDRESS(B2,26))</f>
        <v>13</v>
      </c>
    </row>
    <row r="3" spans="1:26" x14ac:dyDescent="0.2">
      <c r="A3" s="362" t="str">
        <f>IF(Lang="Français","Temps (en s)","Time (s)")</f>
        <v>Temps (en s)</v>
      </c>
      <c r="B3" s="364">
        <f t="shared" ref="B3:Y3" ca="1" si="0">INDIRECT(ADDRESS($B2+1,COLUMN(B3)))</f>
        <v>0</v>
      </c>
      <c r="C3" s="365">
        <f t="shared" ca="1" si="0"/>
        <v>0.02</v>
      </c>
      <c r="D3" s="365">
        <f t="shared" ca="1" si="0"/>
        <v>0.04</v>
      </c>
      <c r="E3" s="365">
        <f t="shared" ca="1" si="0"/>
        <v>0.62</v>
      </c>
      <c r="F3" s="365">
        <f t="shared" ca="1" si="0"/>
        <v>0.66</v>
      </c>
      <c r="G3" s="365">
        <f t="shared" ca="1" si="0"/>
        <v>0.68</v>
      </c>
      <c r="H3" s="365">
        <f t="shared" ca="1" si="0"/>
        <v>0.8</v>
      </c>
      <c r="I3" s="365">
        <f t="shared" ca="1" si="0"/>
        <v>0.84</v>
      </c>
      <c r="J3" s="365">
        <f t="shared" ca="1" si="0"/>
        <v>0.88</v>
      </c>
      <c r="K3" s="365">
        <f t="shared" ca="1" si="0"/>
        <v>0.92</v>
      </c>
      <c r="L3" s="365">
        <f t="shared" ca="1" si="0"/>
        <v>0.96</v>
      </c>
      <c r="M3" s="365">
        <f t="shared" ca="1" si="0"/>
        <v>1</v>
      </c>
      <c r="N3" s="365">
        <f t="shared" ca="1" si="0"/>
        <v>1.08</v>
      </c>
      <c r="O3" s="365">
        <f t="shared" ca="1" si="0"/>
        <v>2</v>
      </c>
      <c r="P3" s="365">
        <f t="shared" ca="1" si="0"/>
        <v>2</v>
      </c>
      <c r="Q3" s="365">
        <f t="shared" ca="1" si="0"/>
        <v>2</v>
      </c>
      <c r="R3" s="365">
        <f t="shared" ca="1" si="0"/>
        <v>2</v>
      </c>
      <c r="S3" s="365">
        <f t="shared" ca="1" si="0"/>
        <v>2</v>
      </c>
      <c r="T3" s="365">
        <f t="shared" ca="1" si="0"/>
        <v>2</v>
      </c>
      <c r="U3" s="365">
        <f t="shared" ca="1" si="0"/>
        <v>2</v>
      </c>
      <c r="V3" s="365">
        <f t="shared" ca="1" si="0"/>
        <v>2</v>
      </c>
      <c r="W3" s="365">
        <f t="shared" ca="1" si="0"/>
        <v>2</v>
      </c>
      <c r="X3" s="365">
        <f ca="1">INDIRECT(ADDRESS($B2+1,COLUMN(X3)))</f>
        <v>2</v>
      </c>
      <c r="Y3" s="366">
        <f t="shared" ca="1" si="0"/>
        <v>1000</v>
      </c>
    </row>
    <row r="4" spans="1:26" ht="13.5" thickBot="1" x14ac:dyDescent="0.25">
      <c r="A4" s="379" t="str">
        <f>IF(Lang="Français","Poussée (en N)","Thrust (N)")</f>
        <v>Poussée (en N)</v>
      </c>
      <c r="B4" s="367">
        <f t="shared" ref="B4:Y4" ca="1" si="1">INDIRECT(ADDRESS($B2+2,COLUMN(B3)))</f>
        <v>0</v>
      </c>
      <c r="C4" s="368">
        <f t="shared" ca="1" si="1"/>
        <v>250</v>
      </c>
      <c r="D4" s="368">
        <f t="shared" ca="1" si="1"/>
        <v>210</v>
      </c>
      <c r="E4" s="368">
        <f t="shared" ca="1" si="1"/>
        <v>160</v>
      </c>
      <c r="F4" s="368">
        <f t="shared" ca="1" si="1"/>
        <v>150</v>
      </c>
      <c r="G4" s="368">
        <f t="shared" ca="1" si="1"/>
        <v>142</v>
      </c>
      <c r="H4" s="368">
        <f t="shared" ca="1" si="1"/>
        <v>62</v>
      </c>
      <c r="I4" s="368">
        <f t="shared" ca="1" si="1"/>
        <v>48</v>
      </c>
      <c r="J4" s="368">
        <f t="shared" ca="1" si="1"/>
        <v>34</v>
      </c>
      <c r="K4" s="368">
        <f t="shared" ca="1" si="1"/>
        <v>24</v>
      </c>
      <c r="L4" s="368">
        <f t="shared" ca="1" si="1"/>
        <v>15</v>
      </c>
      <c r="M4" s="368">
        <f t="shared" ca="1" si="1"/>
        <v>10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51" t="s">
        <v>276</v>
      </c>
      <c r="D316" s="652"/>
      <c r="F316" s="651" t="s">
        <v>181</v>
      </c>
      <c r="G316" s="652"/>
      <c r="H316" s="12"/>
      <c r="I316" s="651" t="s">
        <v>397</v>
      </c>
      <c r="J316" s="652"/>
      <c r="K316" s="12"/>
      <c r="L316" s="651" t="s">
        <v>182</v>
      </c>
      <c r="M316" s="652"/>
      <c r="O316" s="651" t="s">
        <v>396</v>
      </c>
      <c r="P316" s="652"/>
      <c r="R316" s="651" t="s">
        <v>118</v>
      </c>
      <c r="S316" s="652"/>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3" t="str">
        <f>A26</f>
        <v>H2O 1.5L 300g 6bar</v>
      </c>
      <c r="D317" s="644"/>
      <c r="F317" s="643" t="str">
        <f>A67</f>
        <v>µ-propu A8-3</v>
      </c>
      <c r="G317" s="644"/>
      <c r="H317" s="472"/>
      <c r="I317" s="641" t="str">
        <f>A148</f>
        <v>p29-1G 56F31</v>
      </c>
      <c r="J317" s="642"/>
      <c r="K317" s="472"/>
      <c r="L317" s="641" t="str">
        <f>A158</f>
        <v>p29-1G 57F59</v>
      </c>
      <c r="M317" s="642"/>
      <c r="O317" s="643" t="str">
        <f>A108</f>
        <v>p24-1G 24E22</v>
      </c>
      <c r="P317" s="644"/>
      <c r="R317" s="643" t="str">
        <f>A284</f>
        <v>Pro54-5G WT</v>
      </c>
      <c r="S317" s="644"/>
    </row>
    <row r="318" spans="1:25" x14ac:dyDescent="0.2">
      <c r="A318" s="398" t="str">
        <v>Barasinga (Pro54-5G C)</v>
      </c>
      <c r="C318" s="643" t="str">
        <f>A31</f>
        <v>H2O 1.5L 450g 6bar</v>
      </c>
      <c r="D318" s="644"/>
      <c r="F318" s="643" t="str">
        <f>A72</f>
        <v>µ-propu B4-4</v>
      </c>
      <c r="G318" s="644"/>
      <c r="H318" s="472"/>
      <c r="I318" s="641" t="str">
        <f>A153</f>
        <v>p29-1G 56F120</v>
      </c>
      <c r="J318" s="642"/>
      <c r="K318" s="472"/>
      <c r="L318" s="641" t="str">
        <f>A183</f>
        <v>p24-3G 74F85</v>
      </c>
      <c r="M318" s="642"/>
      <c r="O318" s="643" t="str">
        <f>A113</f>
        <v>p24-1G 25E75 (Rufina)</v>
      </c>
      <c r="P318" s="644"/>
      <c r="R318" s="643" t="str">
        <f>A279</f>
        <v>Barasinga (Pro54-5G C)</v>
      </c>
      <c r="S318" s="644"/>
    </row>
    <row r="319" spans="1:25" x14ac:dyDescent="0.2">
      <c r="A319" s="398" t="str">
        <v>Orignal (Pro75-3G C)</v>
      </c>
      <c r="C319" s="643" t="str">
        <f>A36</f>
        <v>H2O 1.5L 600g 6bar</v>
      </c>
      <c r="D319" s="644"/>
      <c r="F319" s="643" t="str">
        <f>A77</f>
        <v>µ-propu C6-3</v>
      </c>
      <c r="G319" s="644"/>
      <c r="H319" s="472"/>
      <c r="I319" s="641" t="str">
        <f>A158</f>
        <v>p29-1G 57F59</v>
      </c>
      <c r="J319" s="642"/>
      <c r="K319" s="472"/>
      <c r="L319" s="641" t="str">
        <f>A188</f>
        <v>p24-3G 75F51</v>
      </c>
      <c r="M319" s="642"/>
      <c r="O319" s="643" t="str">
        <f>A118</f>
        <v>p24-1G 26E31</v>
      </c>
      <c r="P319" s="644"/>
      <c r="R319" s="643" t="str">
        <f>A289</f>
        <v>Orignal (Pro75-3G C)</v>
      </c>
      <c r="S319" s="644"/>
    </row>
    <row r="320" spans="1:25" x14ac:dyDescent="0.2">
      <c r="A320" s="398" t="str">
        <v>Pro98-6G Green</v>
      </c>
      <c r="C320" s="643" t="str">
        <f>A41</f>
        <v>H2O 1.5L 750g 6bar</v>
      </c>
      <c r="D320" s="644"/>
      <c r="F320" s="643" t="str">
        <f>A82</f>
        <v>µ-propu C6-3 x2</v>
      </c>
      <c r="G320" s="644"/>
      <c r="H320" s="472"/>
      <c r="I320" s="641" t="str">
        <f>A183</f>
        <v>p24-3G 74F85</v>
      </c>
      <c r="J320" s="642"/>
      <c r="K320" s="472"/>
      <c r="L320" s="641" t="str">
        <f>A228</f>
        <v>p29-2G 116G126</v>
      </c>
      <c r="M320" s="642"/>
      <c r="O320" s="643" t="str">
        <f>A123</f>
        <v>p24-2G 50E51</v>
      </c>
      <c r="P320" s="644"/>
      <c r="R320" s="643" t="str">
        <f>A294</f>
        <v>Pro98-6G Green</v>
      </c>
      <c r="S320" s="644"/>
    </row>
    <row r="321" spans="1:19" x14ac:dyDescent="0.2">
      <c r="A321" s="398" t="str">
        <v xml:space="preserve"> </v>
      </c>
      <c r="C321" s="643" t="str">
        <f>A46</f>
        <v>H2O 2.0L 400g 6bar</v>
      </c>
      <c r="D321" s="644"/>
      <c r="F321" s="643" t="str">
        <f>A87</f>
        <v>µ-propu C6-3 x3</v>
      </c>
      <c r="G321" s="644"/>
      <c r="H321" s="472"/>
      <c r="I321" s="641" t="str">
        <f>A188</f>
        <v>p24-3G 75F51</v>
      </c>
      <c r="J321" s="642"/>
      <c r="K321" s="472"/>
      <c r="L321" s="641" t="str">
        <f>A198</f>
        <v>Pandora (Pro24-6G BS)</v>
      </c>
      <c r="M321" s="642"/>
      <c r="O321" s="643" t="str">
        <f>A128</f>
        <v>p24-1G 53E70</v>
      </c>
      <c r="P321" s="644"/>
      <c r="R321" s="643" t="s">
        <v>183</v>
      </c>
      <c r="S321" s="644"/>
    </row>
    <row r="322" spans="1:19" x14ac:dyDescent="0.2">
      <c r="A322" s="398" t="str">
        <v xml:space="preserve"> </v>
      </c>
      <c r="C322" s="643" t="str">
        <f>A51</f>
        <v>H2O 2.0L 600g 6bar</v>
      </c>
      <c r="D322" s="644"/>
      <c r="F322" s="643" t="s">
        <v>183</v>
      </c>
      <c r="G322" s="644"/>
      <c r="H322" s="472"/>
      <c r="I322" s="641" t="s">
        <v>183</v>
      </c>
      <c r="J322" s="642"/>
      <c r="K322" s="472"/>
      <c r="L322" s="643" t="str">
        <f>A92</f>
        <v>Klima D9-7</v>
      </c>
      <c r="M322" s="644"/>
      <c r="O322" s="643" t="str">
        <f>A133</f>
        <v>p29-1G 41F36</v>
      </c>
      <c r="P322" s="644"/>
      <c r="R322" s="643" t="s">
        <v>183</v>
      </c>
      <c r="S322" s="644"/>
    </row>
    <row r="323" spans="1:19" x14ac:dyDescent="0.2">
      <c r="A323" s="398" t="str">
        <v xml:space="preserve"> </v>
      </c>
      <c r="C323" s="643" t="str">
        <f>A56</f>
        <v>H2O 2.0L 800g 6bar</v>
      </c>
      <c r="D323" s="644"/>
      <c r="F323" s="643" t="s">
        <v>183</v>
      </c>
      <c r="G323" s="644"/>
      <c r="H323" s="472"/>
      <c r="I323" s="641" t="s">
        <v>183</v>
      </c>
      <c r="J323" s="642"/>
      <c r="K323" s="472"/>
      <c r="L323" s="643" t="str">
        <f>A97</f>
        <v>Klima D9-7 x2</v>
      </c>
      <c r="M323" s="644"/>
      <c r="O323" s="643" t="str">
        <f>A138</f>
        <v>p29-1G 51F36</v>
      </c>
      <c r="P323" s="644"/>
      <c r="R323" s="643" t="s">
        <v>183</v>
      </c>
      <c r="S323" s="644"/>
    </row>
    <row r="324" spans="1:19" x14ac:dyDescent="0.2">
      <c r="A324" s="398" t="str">
        <v xml:space="preserve"> </v>
      </c>
      <c r="C324" s="643" t="str">
        <f>A61</f>
        <v>H2O 2.0L 1000g 6bar</v>
      </c>
      <c r="D324" s="644"/>
      <c r="F324" s="643" t="s">
        <v>183</v>
      </c>
      <c r="G324" s="644"/>
      <c r="H324" s="472"/>
      <c r="I324" s="641" t="s">
        <v>183</v>
      </c>
      <c r="J324" s="642"/>
      <c r="K324" s="472"/>
      <c r="L324" s="643" t="str">
        <f>A102</f>
        <v>Klima D9-7 x3</v>
      </c>
      <c r="M324" s="644"/>
      <c r="O324" s="643" t="str">
        <f>A143</f>
        <v>p29-1G 55F29</v>
      </c>
      <c r="P324" s="644"/>
      <c r="R324" s="643" t="s">
        <v>183</v>
      </c>
      <c r="S324" s="644"/>
    </row>
    <row r="325" spans="1:19" x14ac:dyDescent="0.2">
      <c r="A325" s="398" t="str">
        <v xml:space="preserve"> </v>
      </c>
      <c r="C325" s="643" t="s">
        <v>183</v>
      </c>
      <c r="D325" s="644"/>
      <c r="F325" s="643" t="s">
        <v>183</v>
      </c>
      <c r="G325" s="644"/>
      <c r="H325" s="472"/>
      <c r="I325" s="641" t="s">
        <v>183</v>
      </c>
      <c r="J325" s="642"/>
      <c r="K325" s="472"/>
      <c r="L325" s="643" t="s">
        <v>183</v>
      </c>
      <c r="M325" s="644"/>
      <c r="O325" s="643" t="str">
        <f>A153</f>
        <v>p29-1G 56F120</v>
      </c>
      <c r="P325" s="644"/>
      <c r="R325" s="643" t="s">
        <v>183</v>
      </c>
      <c r="S325" s="644"/>
    </row>
    <row r="326" spans="1:19" x14ac:dyDescent="0.2">
      <c r="A326" s="398" t="str">
        <v xml:space="preserve"> </v>
      </c>
      <c r="C326" s="643" t="s">
        <v>183</v>
      </c>
      <c r="D326" s="644"/>
      <c r="F326" s="643" t="s">
        <v>183</v>
      </c>
      <c r="G326" s="644"/>
      <c r="H326" s="472"/>
      <c r="I326" s="641" t="s">
        <v>183</v>
      </c>
      <c r="J326" s="642"/>
      <c r="K326" s="472"/>
      <c r="L326" s="643" t="s">
        <v>183</v>
      </c>
      <c r="M326" s="644"/>
      <c r="O326" s="643" t="str">
        <f>A158</f>
        <v>p29-1G 57F59</v>
      </c>
      <c r="P326" s="644"/>
      <c r="R326" s="643" t="s">
        <v>183</v>
      </c>
      <c r="S326" s="644"/>
    </row>
    <row r="327" spans="1:19" x14ac:dyDescent="0.2">
      <c r="A327" s="398" t="str">
        <v xml:space="preserve"> </v>
      </c>
      <c r="C327" s="643" t="s">
        <v>183</v>
      </c>
      <c r="D327" s="644"/>
      <c r="F327" s="643" t="s">
        <v>183</v>
      </c>
      <c r="G327" s="644"/>
      <c r="H327" s="472"/>
      <c r="I327" s="641" t="s">
        <v>183</v>
      </c>
      <c r="J327" s="642"/>
      <c r="K327" s="472"/>
      <c r="L327" s="643" t="s">
        <v>183</v>
      </c>
      <c r="M327" s="644"/>
      <c r="O327" s="643" t="str">
        <f>A163</f>
        <v>p24-3G 60F50</v>
      </c>
      <c r="P327" s="644"/>
      <c r="R327" s="643" t="s">
        <v>183</v>
      </c>
      <c r="S327" s="644"/>
    </row>
    <row r="328" spans="1:19" x14ac:dyDescent="0.2">
      <c r="A328" s="398" t="str">
        <v xml:space="preserve"> </v>
      </c>
      <c r="C328" s="643" t="s">
        <v>183</v>
      </c>
      <c r="D328" s="644"/>
      <c r="F328" s="643" t="s">
        <v>183</v>
      </c>
      <c r="G328" s="644"/>
      <c r="H328" s="472"/>
      <c r="I328" s="641" t="s">
        <v>183</v>
      </c>
      <c r="J328" s="642"/>
      <c r="K328" s="472"/>
      <c r="L328" s="643" t="s">
        <v>183</v>
      </c>
      <c r="M328" s="644"/>
      <c r="O328" s="643" t="str">
        <f>A168</f>
        <v>p24-3G 68F79</v>
      </c>
      <c r="P328" s="644"/>
      <c r="R328" s="643" t="s">
        <v>183</v>
      </c>
      <c r="S328" s="644"/>
    </row>
    <row r="329" spans="1:19" x14ac:dyDescent="0.2">
      <c r="A329" s="398" t="str">
        <v xml:space="preserve"> </v>
      </c>
      <c r="C329" s="643" t="s">
        <v>183</v>
      </c>
      <c r="D329" s="644"/>
      <c r="F329" s="643" t="s">
        <v>183</v>
      </c>
      <c r="G329" s="644"/>
      <c r="H329" s="472"/>
      <c r="I329" s="641" t="s">
        <v>183</v>
      </c>
      <c r="J329" s="642"/>
      <c r="K329" s="472"/>
      <c r="L329" s="643" t="s">
        <v>183</v>
      </c>
      <c r="M329" s="644"/>
      <c r="O329" s="643" t="str">
        <f>A173</f>
        <v>p24-3G 68F240</v>
      </c>
      <c r="P329" s="644"/>
      <c r="R329" s="643" t="s">
        <v>183</v>
      </c>
      <c r="S329" s="644"/>
    </row>
    <row r="330" spans="1:19" x14ac:dyDescent="0.2">
      <c r="A330" s="398" t="str">
        <v xml:space="preserve"> </v>
      </c>
      <c r="C330" s="643" t="s">
        <v>183</v>
      </c>
      <c r="D330" s="644"/>
      <c r="F330" s="643" t="s">
        <v>183</v>
      </c>
      <c r="G330" s="644"/>
      <c r="H330" s="472"/>
      <c r="I330" s="641" t="s">
        <v>183</v>
      </c>
      <c r="J330" s="642"/>
      <c r="K330" s="472"/>
      <c r="L330" s="643" t="s">
        <v>183</v>
      </c>
      <c r="M330" s="644"/>
      <c r="O330" s="643" t="str">
        <f>A178</f>
        <v>p24-3G 73F30</v>
      </c>
      <c r="P330" s="644"/>
      <c r="R330" s="643" t="s">
        <v>183</v>
      </c>
      <c r="S330" s="644"/>
    </row>
    <row r="331" spans="1:19" x14ac:dyDescent="0.2">
      <c r="A331" s="398" t="str">
        <v xml:space="preserve"> </v>
      </c>
      <c r="C331" s="643" t="s">
        <v>183</v>
      </c>
      <c r="D331" s="644"/>
      <c r="F331" s="643" t="s">
        <v>183</v>
      </c>
      <c r="G331" s="644"/>
      <c r="H331" s="472"/>
      <c r="I331" s="649" t="s">
        <v>183</v>
      </c>
      <c r="J331" s="650"/>
      <c r="K331" s="472"/>
      <c r="L331" s="643" t="s">
        <v>183</v>
      </c>
      <c r="M331" s="644"/>
      <c r="O331" s="643" t="str">
        <f>A183</f>
        <v>p24-3G 74F85</v>
      </c>
      <c r="P331" s="644"/>
      <c r="R331" s="643" t="s">
        <v>183</v>
      </c>
      <c r="S331" s="644"/>
    </row>
    <row r="332" spans="1:19" x14ac:dyDescent="0.2">
      <c r="A332" s="462" t="str">
        <v xml:space="preserve"> </v>
      </c>
      <c r="C332" s="646" t="s">
        <v>183</v>
      </c>
      <c r="D332" s="647"/>
      <c r="F332" s="646" t="s">
        <v>183</v>
      </c>
      <c r="G332" s="647"/>
      <c r="H332" s="472"/>
      <c r="I332" s="646" t="s">
        <v>183</v>
      </c>
      <c r="J332" s="647"/>
      <c r="K332" s="472"/>
      <c r="L332" s="646" t="s">
        <v>183</v>
      </c>
      <c r="M332" s="647"/>
      <c r="O332" s="643" t="str">
        <f>A188</f>
        <v>p24-3G 75F51</v>
      </c>
      <c r="P332" s="644"/>
      <c r="R332" s="646" t="s">
        <v>183</v>
      </c>
      <c r="S332" s="647"/>
    </row>
    <row r="333" spans="1:19" x14ac:dyDescent="0.2">
      <c r="A333" s="398" t="str">
        <v xml:space="preserve"> </v>
      </c>
      <c r="C333" s="653" t="s">
        <v>183</v>
      </c>
      <c r="D333" s="653"/>
      <c r="F333" s="653" t="s">
        <v>183</v>
      </c>
      <c r="G333" s="653"/>
      <c r="I333" s="640" t="s">
        <v>183</v>
      </c>
      <c r="J333" s="640"/>
      <c r="L333" s="640" t="s">
        <v>183</v>
      </c>
      <c r="M333" s="640"/>
      <c r="O333" s="643" t="str">
        <f>A213</f>
        <v>p29-2G 84G88</v>
      </c>
      <c r="P333" s="644"/>
      <c r="R333" s="648" t="s">
        <v>183</v>
      </c>
      <c r="S333" s="648"/>
    </row>
    <row r="334" spans="1:19" x14ac:dyDescent="0.2">
      <c r="A334" s="398" t="str">
        <v>Isard</v>
      </c>
      <c r="C334" s="637" t="s">
        <v>183</v>
      </c>
      <c r="D334" s="637"/>
      <c r="F334" s="637" t="s">
        <v>183</v>
      </c>
      <c r="G334" s="637"/>
      <c r="I334" s="640" t="s">
        <v>183</v>
      </c>
      <c r="J334" s="640"/>
      <c r="L334" s="640" t="s">
        <v>183</v>
      </c>
      <c r="M334" s="640"/>
      <c r="O334" s="643" t="str">
        <f>A218</f>
        <v>p29-2G 93G80</v>
      </c>
      <c r="P334" s="644"/>
      <c r="R334" s="645" t="str">
        <f>A269</f>
        <v>Isard</v>
      </c>
      <c r="S334" s="645"/>
    </row>
    <row r="335" spans="1:19" x14ac:dyDescent="0.2">
      <c r="A335" s="398" t="str">
        <v>Chamois</v>
      </c>
      <c r="C335" s="637" t="s">
        <v>183</v>
      </c>
      <c r="D335" s="637"/>
      <c r="F335" s="637" t="s">
        <v>183</v>
      </c>
      <c r="G335" s="637"/>
      <c r="I335" s="640" t="s">
        <v>183</v>
      </c>
      <c r="J335" s="640"/>
      <c r="L335" s="640" t="s">
        <v>183</v>
      </c>
      <c r="M335" s="640"/>
      <c r="O335" s="643" t="str">
        <f>A223</f>
        <v>p29-2G 110G250</v>
      </c>
      <c r="P335" s="644"/>
      <c r="R335" s="645" t="str">
        <f>A274</f>
        <v>Chamois</v>
      </c>
      <c r="S335" s="645"/>
    </row>
    <row r="336" spans="1:19" x14ac:dyDescent="0.2">
      <c r="A336" s="398" t="str">
        <v>Pro54-5G WT</v>
      </c>
      <c r="C336" s="637" t="s">
        <v>183</v>
      </c>
      <c r="D336" s="637"/>
      <c r="F336" s="637" t="s">
        <v>183</v>
      </c>
      <c r="G336" s="637"/>
      <c r="I336" s="640" t="s">
        <v>183</v>
      </c>
      <c r="J336" s="640"/>
      <c r="L336" s="640" t="s">
        <v>183</v>
      </c>
      <c r="M336" s="640"/>
      <c r="O336" s="643" t="str">
        <f>A228</f>
        <v>p29-2G 116G126</v>
      </c>
      <c r="P336" s="644"/>
      <c r="R336" s="645" t="str">
        <f>A284</f>
        <v>Pro54-5G WT</v>
      </c>
      <c r="S336" s="645"/>
    </row>
    <row r="337" spans="1:19" x14ac:dyDescent="0.2">
      <c r="A337" s="398" t="str">
        <v>Pro98-6G Green</v>
      </c>
      <c r="C337" s="637" t="s">
        <v>183</v>
      </c>
      <c r="D337" s="637"/>
      <c r="F337" s="637" t="s">
        <v>183</v>
      </c>
      <c r="G337" s="637"/>
      <c r="I337" s="640" t="s">
        <v>183</v>
      </c>
      <c r="J337" s="640"/>
      <c r="L337" s="640" t="s">
        <v>183</v>
      </c>
      <c r="M337" s="640"/>
      <c r="O337" s="643" t="str">
        <f>A233</f>
        <v>p29-3G 125G131</v>
      </c>
      <c r="P337" s="644"/>
      <c r="R337" s="645" t="str">
        <f>A294</f>
        <v>Pro98-6G Green</v>
      </c>
      <c r="S337" s="645"/>
    </row>
    <row r="338" spans="1:19" x14ac:dyDescent="0.2">
      <c r="A338" s="398" t="str">
        <v>Pro98-3G WT</v>
      </c>
      <c r="C338" s="637" t="s">
        <v>183</v>
      </c>
      <c r="D338" s="637"/>
      <c r="F338" s="637" t="s">
        <v>183</v>
      </c>
      <c r="G338" s="637"/>
      <c r="I338" s="640" t="s">
        <v>183</v>
      </c>
      <c r="J338" s="640"/>
      <c r="L338" s="640" t="s">
        <v>183</v>
      </c>
      <c r="M338" s="640"/>
      <c r="O338" s="643" t="str">
        <f>A248</f>
        <v>p38-1G 128G185</v>
      </c>
      <c r="P338" s="644"/>
      <c r="R338" s="645" t="str">
        <f>A299</f>
        <v>Pro98-3G WT</v>
      </c>
      <c r="S338" s="645"/>
    </row>
    <row r="339" spans="1:19" x14ac:dyDescent="0.2">
      <c r="A339" s="398" t="str">
        <v>Aucun (2e ét. inerte)</v>
      </c>
      <c r="C339" s="637" t="s">
        <v>183</v>
      </c>
      <c r="D339" s="637"/>
      <c r="F339" s="637" t="s">
        <v>183</v>
      </c>
      <c r="G339" s="637"/>
      <c r="I339" s="640" t="s">
        <v>183</v>
      </c>
      <c r="J339" s="640"/>
      <c r="L339" s="640" t="s">
        <v>183</v>
      </c>
      <c r="M339" s="640"/>
      <c r="O339" s="643" t="str">
        <f>A243</f>
        <v>p38-1G 137G58</v>
      </c>
      <c r="P339" s="644"/>
      <c r="R339" s="645" t="str">
        <f>A309</f>
        <v>Aucun (2e ét. inerte)</v>
      </c>
      <c r="S339" s="645"/>
    </row>
    <row r="340" spans="1:19" x14ac:dyDescent="0.2">
      <c r="A340" s="398" t="str">
        <v xml:space="preserve"> </v>
      </c>
      <c r="C340" s="637" t="s">
        <v>183</v>
      </c>
      <c r="D340" s="637"/>
      <c r="F340" s="637" t="s">
        <v>183</v>
      </c>
      <c r="G340" s="637"/>
      <c r="I340" s="640" t="s">
        <v>183</v>
      </c>
      <c r="J340" s="640"/>
      <c r="L340" s="640" t="s">
        <v>183</v>
      </c>
      <c r="M340" s="640"/>
      <c r="O340" s="643" t="str">
        <f>A253</f>
        <v>p38-1G 141G78</v>
      </c>
      <c r="P340" s="644"/>
      <c r="R340" s="640" t="s">
        <v>183</v>
      </c>
      <c r="S340" s="640"/>
    </row>
    <row r="341" spans="1:19" x14ac:dyDescent="0.2">
      <c r="A341" s="398" t="str">
        <v xml:space="preserve"> </v>
      </c>
      <c r="C341" s="637" t="s">
        <v>183</v>
      </c>
      <c r="D341" s="637"/>
      <c r="F341" s="637" t="s">
        <v>183</v>
      </c>
      <c r="G341" s="637"/>
      <c r="I341" s="637" t="s">
        <v>183</v>
      </c>
      <c r="J341" s="637"/>
      <c r="L341" s="640" t="s">
        <v>183</v>
      </c>
      <c r="M341" s="640"/>
      <c r="O341" s="643" t="str">
        <f>A193</f>
        <v>p24-6G 140G145 PK</v>
      </c>
      <c r="P341" s="644"/>
      <c r="R341" s="637" t="s">
        <v>183</v>
      </c>
      <c r="S341" s="637"/>
    </row>
    <row r="342" spans="1:19" x14ac:dyDescent="0.2">
      <c r="A342" s="398" t="str">
        <v xml:space="preserve"> </v>
      </c>
      <c r="C342" s="637" t="s">
        <v>183</v>
      </c>
      <c r="D342" s="637"/>
      <c r="F342" s="637" t="s">
        <v>183</v>
      </c>
      <c r="G342" s="637"/>
      <c r="I342" s="637" t="s">
        <v>183</v>
      </c>
      <c r="J342" s="637"/>
      <c r="L342" s="640" t="s">
        <v>183</v>
      </c>
      <c r="M342" s="640"/>
      <c r="O342" s="643" t="str">
        <f>A198</f>
        <v>Pandora (Pro24-6G BS)</v>
      </c>
      <c r="P342" s="644"/>
      <c r="R342" s="637" t="s">
        <v>183</v>
      </c>
      <c r="S342" s="637"/>
    </row>
    <row r="343" spans="1:19" x14ac:dyDescent="0.2">
      <c r="A343" s="398" t="str">
        <v xml:space="preserve"> </v>
      </c>
      <c r="C343" s="637" t="s">
        <v>183</v>
      </c>
      <c r="D343" s="637"/>
      <c r="F343" s="637" t="s">
        <v>183</v>
      </c>
      <c r="G343" s="637"/>
      <c r="I343" s="637" t="s">
        <v>183</v>
      </c>
      <c r="J343" s="637"/>
      <c r="L343" s="637" t="s">
        <v>183</v>
      </c>
      <c r="M343" s="637"/>
      <c r="O343" s="641" t="str">
        <f>A203</f>
        <v>p24-6G 142G117 WT</v>
      </c>
      <c r="P343" s="642"/>
      <c r="R343" s="637" t="s">
        <v>183</v>
      </c>
      <c r="S343" s="637"/>
    </row>
    <row r="344" spans="1:19" x14ac:dyDescent="0.2">
      <c r="A344" s="398" t="str">
        <v xml:space="preserve"> </v>
      </c>
      <c r="C344" s="637" t="s">
        <v>183</v>
      </c>
      <c r="D344" s="637"/>
      <c r="F344" s="637" t="s">
        <v>183</v>
      </c>
      <c r="G344" s="637"/>
      <c r="I344" s="637" t="s">
        <v>183</v>
      </c>
      <c r="J344" s="637"/>
      <c r="L344" s="637" t="s">
        <v>183</v>
      </c>
      <c r="M344" s="637"/>
      <c r="O344" s="641" t="str">
        <f>A208</f>
        <v>p24-6G 139G107 DT</v>
      </c>
      <c r="P344" s="642"/>
      <c r="R344" s="637" t="s">
        <v>183</v>
      </c>
      <c r="S344" s="637"/>
    </row>
    <row r="345" spans="1:19" x14ac:dyDescent="0.2">
      <c r="A345" s="398" t="str">
        <v xml:space="preserve"> </v>
      </c>
      <c r="C345" s="637" t="s">
        <v>183</v>
      </c>
      <c r="D345" s="637"/>
      <c r="F345" s="637" t="s">
        <v>183</v>
      </c>
      <c r="G345" s="637"/>
      <c r="I345" s="637" t="s">
        <v>183</v>
      </c>
      <c r="J345" s="637"/>
      <c r="L345" s="637" t="s">
        <v>183</v>
      </c>
      <c r="M345" s="637"/>
      <c r="O345" s="641" t="str">
        <f>A263</f>
        <v>Cariacou</v>
      </c>
      <c r="P345" s="642"/>
      <c r="R345" s="637" t="s">
        <v>183</v>
      </c>
      <c r="S345" s="637"/>
    </row>
    <row r="346" spans="1:19" x14ac:dyDescent="0.2">
      <c r="A346" s="473" t="str">
        <v xml:space="preserve"> </v>
      </c>
      <c r="C346" s="637" t="s">
        <v>183</v>
      </c>
      <c r="D346" s="637"/>
      <c r="F346" s="637" t="s">
        <v>183</v>
      </c>
      <c r="G346" s="637"/>
      <c r="I346" s="637" t="s">
        <v>183</v>
      </c>
      <c r="J346" s="637"/>
      <c r="L346" s="637" t="s">
        <v>183</v>
      </c>
      <c r="M346" s="637"/>
      <c r="O346" s="638" t="str">
        <f>A258</f>
        <v>Wapiti</v>
      </c>
      <c r="P346" s="639"/>
      <c r="R346" s="637" t="s">
        <v>183</v>
      </c>
      <c r="S346" s="637"/>
    </row>
  </sheetData>
  <dataConsolidate/>
  <mergeCells count="186">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 ref="C345:D345"/>
    <mergeCell ref="C346:D346"/>
    <mergeCell ref="C335:D335"/>
    <mergeCell ref="C336:D336"/>
    <mergeCell ref="C337:D337"/>
    <mergeCell ref="C338:D338"/>
    <mergeCell ref="C339:D339"/>
    <mergeCell ref="C340:D340"/>
    <mergeCell ref="C334:D334"/>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128" activePane="bottomRight" state="frozen"/>
      <selection pane="topRight" activeCell="D1" sqref="D1"/>
      <selection pane="bottomLeft" activeCell="A8" sqref="A8"/>
      <selection pane="bottomRight" activeCell="B144" sqref="B144"/>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4.5999999999999996</v>
      </c>
      <c r="D4" s="292" t="s">
        <v>14</v>
      </c>
      <c r="E4" s="293" t="s">
        <v>14</v>
      </c>
      <c r="F4" s="294" t="s">
        <v>14</v>
      </c>
      <c r="G4" s="292">
        <f>vit_xz*COS(Beta)</f>
        <v>38.529356904449145</v>
      </c>
      <c r="H4" s="293">
        <f>vit_xz*SIN(Beta)</f>
        <v>148.2027230971448</v>
      </c>
      <c r="I4" s="349">
        <f>V_ini</f>
        <v>153.12922149896602</v>
      </c>
      <c r="J4" s="350">
        <f>X_ini</f>
        <v>131.1551130355156</v>
      </c>
      <c r="K4" s="351">
        <f>Z_ini</f>
        <v>564.96320263534824</v>
      </c>
      <c r="L4" s="327">
        <f t="shared" ref="L4:L67" si="0">SQRT(pos_x^2+pos_z^2)</f>
        <v>579.98714124310413</v>
      </c>
      <c r="M4" s="292">
        <f>RADIANS(N4)</f>
        <v>1.3164494482016245</v>
      </c>
      <c r="N4" s="349">
        <f>Beta_rampe</f>
        <v>75.426997324279156</v>
      </c>
      <c r="P4" s="292" t="s">
        <v>14</v>
      </c>
      <c r="Q4" s="294" t="s">
        <v>14</v>
      </c>
      <c r="R4" s="292" t="s">
        <v>14</v>
      </c>
      <c r="S4" s="351">
        <f ca="1">m_tot</f>
        <v>3.0118999999999998</v>
      </c>
      <c r="T4" s="327">
        <f t="shared" ref="T4:T67" ca="1" si="1">m*g</f>
        <v>29.546738999999999</v>
      </c>
      <c r="U4" s="328">
        <f t="shared" ref="U4:U67" si="2">IF(pos_xz&lt;L_rampe,Poids*COS(Beta),0)</f>
        <v>0</v>
      </c>
      <c r="V4" s="329">
        <f t="shared" ref="V4:V67" si="3">Rho_moyen*(20000-Alt_rampe-pos_z)/(20000+Alt_rampe+pos_z)</f>
        <v>1.1576932981684489</v>
      </c>
      <c r="W4" s="327">
        <f t="shared" ref="W4:W67" si="4">1/2*Rho*Sref*Cx*vit_xz^2</f>
        <v>55.392737660738632</v>
      </c>
      <c r="Y4" s="295" t="s">
        <v>14</v>
      </c>
      <c r="Z4" s="296" t="s">
        <v>14</v>
      </c>
      <c r="AA4" s="297" t="s">
        <v>14</v>
      </c>
      <c r="AC4" s="320">
        <f>IF(ABS(t-ROUND(t,0))&lt;0.001,t,-1)</f>
        <v>-1</v>
      </c>
      <c r="AD4" s="321">
        <f>IF(ABS(t-ROUND(t,0))&lt;0.001,pos_x,-1)</f>
        <v>-1</v>
      </c>
      <c r="AE4" s="322">
        <f t="shared" ref="AE4:AE67" si="5">IF(t&lt;T_para, pos_z, NA())</f>
        <v>564.96320263534824</v>
      </c>
      <c r="AG4" s="292" t="s">
        <v>14</v>
      </c>
      <c r="AH4" s="294" t="s">
        <v>14</v>
      </c>
    </row>
    <row r="5" spans="1:248" x14ac:dyDescent="0.2">
      <c r="A5" s="347">
        <f t="shared" ref="A5:A68" ca="1" si="6">IF(B4+0.01&lt;=T_ini+ROUNDUP(Temps_fin_propu,0), 0.01, IF(K4&gt;0, 0.1, 0.0001))</f>
        <v>0.01</v>
      </c>
      <c r="B5" s="304">
        <f t="shared" ref="B5:B68" ca="1" si="7">B4+pas</f>
        <v>4.6099999999999994</v>
      </c>
      <c r="D5" s="306">
        <f t="shared" ref="D5:D68" ca="1" si="8">IF(AND(L4&lt;L_rampe,Poussee&lt;Poids*SIN(M4)),0,(-W4+Poussee)/m*COS(M4)-U4/m*SIN(M4))</f>
        <v>0.59380427160886717</v>
      </c>
      <c r="E5" s="307">
        <f t="shared" ref="E5:E68" ca="1" si="9">IF(AND(L4&lt;L_rampe,Poussee&lt;Poids*SIN(M4)),0,(-W4+Poussee)/m*SIN(M4)+U4/m*COS(M4)-Poids/m)</f>
        <v>-7.5259387773485376</v>
      </c>
      <c r="F5" s="304">
        <f t="shared" ref="F5:F68" ca="1" si="10">SQRT(acc_x^2+acc_z^2)</f>
        <v>7.5493283140541276</v>
      </c>
      <c r="G5" s="306">
        <f t="shared" ref="G5:G68" ca="1" si="11">G4+acc_x*pas</f>
        <v>38.535294947165234</v>
      </c>
      <c r="H5" s="307">
        <f t="shared" ref="H5:H68" ca="1" si="12">H4+acc_z*pas</f>
        <v>148.12746370937131</v>
      </c>
      <c r="I5" s="304">
        <f t="shared" ref="I5:I68" ca="1" si="13">SQRT(vit_x^2+vit_z^2)</f>
        <v>153.05787944969097</v>
      </c>
      <c r="J5" s="306">
        <f t="shared" ref="J5:J68" ca="1" si="14">J4+0.5*(vit_x+G4)*pas*(K4&gt;=0)</f>
        <v>131.54043629477366</v>
      </c>
      <c r="K5" s="307">
        <f t="shared" ref="K5:K68" ca="1" si="15">K4+0.5*(vit_z+H4)*pas</f>
        <v>566.44485356938083</v>
      </c>
      <c r="L5" s="304">
        <f t="shared" ca="1" si="0"/>
        <v>581.51754790019595</v>
      </c>
      <c r="M5" s="306">
        <f t="shared" ref="M5:M68" ca="1" si="16">IF(AND(L4&gt;L_rampe,G5&gt;0),ATAN2(G5,H5),$M$4)</f>
        <v>1.3162881806461664</v>
      </c>
      <c r="N5" s="304">
        <f t="shared" ref="N5:N68" ca="1" si="17">DEGREES(Beta)</f>
        <v>75.417757373979029</v>
      </c>
      <c r="P5" s="310">
        <f t="shared" ref="P5:P68" ca="1" si="18">MATCH(t-pas/2-T_ini,CdP_t)</f>
        <v>1</v>
      </c>
      <c r="Q5" s="304">
        <f t="shared" ref="Q5:Q68" ca="1" si="19">(INDEX(CdP,2,i_P+1)-INDEX(CdP,2,i_P+0))/(INDEX(CdP,1,i_P+1)-INDEX(CdP,1,i_P+0))*(t-pas/2-T_ini-INDEX(CdP,1,i_P+0))+INDEX(CdP,2,i_P+0)</f>
        <v>62.499999999998664</v>
      </c>
      <c r="R5" s="306">
        <f t="shared" ref="R5:R68" ca="1" si="20">Poussee/(g*ISP)</f>
        <v>3.3171861836562053E-2</v>
      </c>
      <c r="S5" s="307">
        <f t="shared" ref="S5:S68" ca="1" si="21">S4-Débit*pas</f>
        <v>3.011568281381634</v>
      </c>
      <c r="T5" s="304">
        <f t="shared" ca="1" si="1"/>
        <v>29.54348484035383</v>
      </c>
      <c r="U5" s="311">
        <f t="shared" ca="1" si="2"/>
        <v>0</v>
      </c>
      <c r="V5" s="306">
        <f t="shared" ca="1" si="3"/>
        <v>1.157521643817107</v>
      </c>
      <c r="W5" s="304">
        <f t="shared" ca="1" si="4"/>
        <v>55.332929768306258</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566.44485356938083</v>
      </c>
      <c r="AG5" s="306">
        <f t="shared" ref="AG5:AG68" ca="1" si="27">IF(AND(L4&lt;L_rampe,Poussee&lt;Poids*SIN(M4)),0,(-W4+Poussee)/m-Poids*SIN(M4)/m)</f>
        <v>-7.134403958036331</v>
      </c>
      <c r="AH5" s="304">
        <f t="shared" ref="AH5:AH68" ca="1" si="28">IF(AND(L4&lt;L_rampe,Poussee&lt;Poids*SIN(M4)), g*SIN(M4), (-W4+Poussee)/m)</f>
        <v>2.3599871147531788</v>
      </c>
    </row>
    <row r="6" spans="1:248" x14ac:dyDescent="0.2">
      <c r="A6" s="347">
        <f t="shared" ca="1" si="6"/>
        <v>0.01</v>
      </c>
      <c r="B6" s="304">
        <f t="shared" ca="1" si="7"/>
        <v>4.6199999999999992</v>
      </c>
      <c r="D6" s="306">
        <f t="shared" ca="1" si="8"/>
        <v>11.052921303320973</v>
      </c>
      <c r="E6" s="307">
        <f t="shared" ca="1" si="9"/>
        <v>32.676795585319745</v>
      </c>
      <c r="F6" s="304">
        <f t="shared" ca="1" si="10"/>
        <v>34.495507519997133</v>
      </c>
      <c r="G6" s="306">
        <f t="shared" ca="1" si="11"/>
        <v>38.645824160198444</v>
      </c>
      <c r="H6" s="307">
        <f t="shared" ca="1" si="12"/>
        <v>148.45423166522451</v>
      </c>
      <c r="I6" s="304">
        <f t="shared" ca="1" si="13"/>
        <v>153.40195117511749</v>
      </c>
      <c r="J6" s="306">
        <f t="shared" ca="1" si="14"/>
        <v>131.92634189031048</v>
      </c>
      <c r="K6" s="307">
        <f t="shared" ca="1" si="15"/>
        <v>567.92776204625386</v>
      </c>
      <c r="L6" s="304">
        <f t="shared" ca="1" si="0"/>
        <v>583.04931402706018</v>
      </c>
      <c r="M6" s="306">
        <f t="shared" ca="1" si="16"/>
        <v>1.3161271749945154</v>
      </c>
      <c r="N6" s="304">
        <f t="shared" ca="1" si="17"/>
        <v>75.408532429661662</v>
      </c>
      <c r="P6" s="310">
        <f t="shared" ca="1" si="18"/>
        <v>1</v>
      </c>
      <c r="Q6" s="304">
        <f t="shared" ca="1" si="19"/>
        <v>187.49999999999599</v>
      </c>
      <c r="R6" s="306">
        <f t="shared" ca="1" si="20"/>
        <v>9.9515585509686158E-2</v>
      </c>
      <c r="S6" s="307">
        <f t="shared" ca="1" si="21"/>
        <v>3.0105731255265371</v>
      </c>
      <c r="T6" s="304">
        <f t="shared" ca="1" si="1"/>
        <v>29.533722361415329</v>
      </c>
      <c r="U6" s="311">
        <f t="shared" ca="1" si="2"/>
        <v>0</v>
      </c>
      <c r="V6" s="306">
        <f t="shared" ca="1" si="3"/>
        <v>1.1573498685375152</v>
      </c>
      <c r="W6" s="304">
        <f t="shared" ca="1" si="4"/>
        <v>55.573736193817446</v>
      </c>
      <c r="Y6" s="314" t="str">
        <f t="shared" ca="1" si="22"/>
        <v/>
      </c>
      <c r="Z6" s="315" t="str">
        <f t="shared" ca="1" si="23"/>
        <v/>
      </c>
      <c r="AA6" s="316" t="str">
        <f t="shared" ca="1" si="24"/>
        <v/>
      </c>
      <c r="AC6" s="310" t="e">
        <f t="shared" ca="1" si="25"/>
        <v>#N/A</v>
      </c>
      <c r="AD6" s="323" t="e">
        <f t="shared" ca="1" si="26"/>
        <v>#N/A</v>
      </c>
      <c r="AE6" s="324">
        <f t="shared" ca="1" si="5"/>
        <v>567.92776204625386</v>
      </c>
      <c r="AG6" s="306">
        <f t="shared" ca="1" si="27"/>
        <v>34.406973712093382</v>
      </c>
      <c r="AH6" s="304">
        <f t="shared" ca="1" si="28"/>
        <v>43.900966600362594</v>
      </c>
    </row>
    <row r="7" spans="1:248" x14ac:dyDescent="0.2">
      <c r="A7" s="347">
        <f t="shared" ca="1" si="6"/>
        <v>0.01</v>
      </c>
      <c r="B7" s="304">
        <f t="shared" ca="1" si="7"/>
        <v>4.629999999999999</v>
      </c>
      <c r="D7" s="306">
        <f t="shared" ca="1" si="8"/>
        <v>15.439352052574206</v>
      </c>
      <c r="E7" s="307">
        <f t="shared" ca="1" si="9"/>
        <v>49.498791989339779</v>
      </c>
      <c r="F7" s="304">
        <f t="shared" ca="1" si="10"/>
        <v>51.850785916968078</v>
      </c>
      <c r="G7" s="306">
        <f t="shared" ca="1" si="11"/>
        <v>38.800217680724188</v>
      </c>
      <c r="H7" s="307">
        <f t="shared" ca="1" si="12"/>
        <v>148.9492195851179</v>
      </c>
      <c r="I7" s="304">
        <f t="shared" ca="1" si="13"/>
        <v>153.91987170955949</v>
      </c>
      <c r="J7" s="306">
        <f t="shared" ca="1" si="14"/>
        <v>132.31357209951508</v>
      </c>
      <c r="K7" s="307">
        <f t="shared" ca="1" si="15"/>
        <v>569.41477930250562</v>
      </c>
      <c r="L7" s="304">
        <f t="shared" ca="1" si="0"/>
        <v>584.58538490955686</v>
      </c>
      <c r="M7" s="306">
        <f t="shared" ca="1" si="16"/>
        <v>1.3159666117976816</v>
      </c>
      <c r="N7" s="304">
        <f t="shared" ca="1" si="17"/>
        <v>75.399332836137958</v>
      </c>
      <c r="P7" s="310">
        <f t="shared" ca="1" si="18"/>
        <v>2</v>
      </c>
      <c r="Q7" s="304">
        <f t="shared" ca="1" si="19"/>
        <v>240.00000000000108</v>
      </c>
      <c r="R7" s="306">
        <f t="shared" ca="1" si="20"/>
        <v>0.12737994945240158</v>
      </c>
      <c r="S7" s="307">
        <f t="shared" ca="1" si="21"/>
        <v>3.0092993260320129</v>
      </c>
      <c r="T7" s="304">
        <f t="shared" ca="1" si="1"/>
        <v>29.521226388374046</v>
      </c>
      <c r="U7" s="311">
        <f t="shared" ca="1" si="2"/>
        <v>0</v>
      </c>
      <c r="V7" s="306">
        <f t="shared" ca="1" si="3"/>
        <v>1.1571776421809099</v>
      </c>
      <c r="W7" s="304">
        <f t="shared" ca="1" si="4"/>
        <v>55.941303379509428</v>
      </c>
      <c r="Y7" s="314" t="str">
        <f t="shared" ca="1" si="22"/>
        <v/>
      </c>
      <c r="Z7" s="315" t="str">
        <f t="shared" ca="1" si="23"/>
        <v/>
      </c>
      <c r="AA7" s="316" t="str">
        <f t="shared" ca="1" si="24"/>
        <v/>
      </c>
      <c r="AC7" s="310" t="e">
        <f t="shared" ca="1" si="25"/>
        <v>#N/A</v>
      </c>
      <c r="AD7" s="323" t="e">
        <f t="shared" ca="1" si="26"/>
        <v>#N/A</v>
      </c>
      <c r="AE7" s="324">
        <f t="shared" ca="1" si="5"/>
        <v>569.41477930250562</v>
      </c>
      <c r="AG7" s="306">
        <f t="shared" ca="1" si="27"/>
        <v>51.791855037330848</v>
      </c>
      <c r="AH7" s="304">
        <f t="shared" ca="1" si="28"/>
        <v>61.285450141433259</v>
      </c>
    </row>
    <row r="8" spans="1:248" x14ac:dyDescent="0.2">
      <c r="A8" s="347">
        <f t="shared" ca="1" si="6"/>
        <v>0.01</v>
      </c>
      <c r="B8" s="304">
        <f t="shared" ca="1" si="7"/>
        <v>4.6399999999999988</v>
      </c>
      <c r="D8" s="306">
        <f t="shared" ca="1" si="8"/>
        <v>13.748074706532869</v>
      </c>
      <c r="E8" s="307">
        <f t="shared" ca="1" si="9"/>
        <v>42.967152313588471</v>
      </c>
      <c r="F8" s="304">
        <f t="shared" ca="1" si="10"/>
        <v>45.11303288491608</v>
      </c>
      <c r="G8" s="306">
        <f t="shared" ca="1" si="11"/>
        <v>38.937698427789513</v>
      </c>
      <c r="H8" s="307">
        <f t="shared" ca="1" si="12"/>
        <v>149.37889110825378</v>
      </c>
      <c r="I8" s="304">
        <f t="shared" ca="1" si="13"/>
        <v>154.3703257351782</v>
      </c>
      <c r="J8" s="306">
        <f t="shared" ca="1" si="14"/>
        <v>132.70226168005766</v>
      </c>
      <c r="K8" s="307">
        <f t="shared" ca="1" si="15"/>
        <v>570.90641985597244</v>
      </c>
      <c r="L8" s="304">
        <f t="shared" ca="1" si="0"/>
        <v>586.1262922679432</v>
      </c>
      <c r="M8" s="306">
        <f t="shared" ca="1" si="16"/>
        <v>1.3158064183833005</v>
      </c>
      <c r="N8" s="304">
        <f t="shared" ca="1" si="17"/>
        <v>75.390154429588137</v>
      </c>
      <c r="P8" s="310">
        <f t="shared" ca="1" si="18"/>
        <v>2</v>
      </c>
      <c r="Q8" s="304">
        <f t="shared" ca="1" si="19"/>
        <v>220.00000000000148</v>
      </c>
      <c r="R8" s="306">
        <f t="shared" ca="1" si="20"/>
        <v>0.1167649536647017</v>
      </c>
      <c r="S8" s="307">
        <f t="shared" ca="1" si="21"/>
        <v>3.0081316764953661</v>
      </c>
      <c r="T8" s="304">
        <f t="shared" ca="1" si="1"/>
        <v>29.509771746419542</v>
      </c>
      <c r="U8" s="311">
        <f t="shared" ca="1" si="2"/>
        <v>0</v>
      </c>
      <c r="V8" s="306">
        <f t="shared" ca="1" si="3"/>
        <v>1.1570049053697984</v>
      </c>
      <c r="W8" s="304">
        <f t="shared" ca="1" si="4"/>
        <v>56.260812871164205</v>
      </c>
      <c r="Y8" s="314" t="str">
        <f t="shared" ca="1" si="22"/>
        <v/>
      </c>
      <c r="Z8" s="315" t="str">
        <f t="shared" ca="1" si="23"/>
        <v/>
      </c>
      <c r="AA8" s="316" t="str">
        <f t="shared" ca="1" si="24"/>
        <v/>
      </c>
      <c r="AC8" s="310" t="e">
        <f t="shared" ca="1" si="25"/>
        <v>#N/A</v>
      </c>
      <c r="AD8" s="323" t="e">
        <f t="shared" ca="1" si="26"/>
        <v>#N/A</v>
      </c>
      <c r="AE8" s="324">
        <f t="shared" ca="1" si="5"/>
        <v>570.90641985597244</v>
      </c>
      <c r="AG8" s="306">
        <f t="shared" ca="1" si="27"/>
        <v>45.045204489847691</v>
      </c>
      <c r="AH8" s="304">
        <f t="shared" ca="1" si="28"/>
        <v>54.538402657834837</v>
      </c>
    </row>
    <row r="9" spans="1:248" x14ac:dyDescent="0.2">
      <c r="A9" s="347">
        <f t="shared" ca="1" si="6"/>
        <v>0.01</v>
      </c>
      <c r="B9" s="304">
        <f t="shared" ca="1" si="7"/>
        <v>4.6499999999999986</v>
      </c>
      <c r="D9" s="306">
        <f t="shared" ca="1" si="8"/>
        <v>12.859837435158772</v>
      </c>
      <c r="E9" s="307">
        <f t="shared" ca="1" si="9"/>
        <v>39.524920487376164</v>
      </c>
      <c r="F9" s="304">
        <f t="shared" ca="1" si="10"/>
        <v>41.564344796858265</v>
      </c>
      <c r="G9" s="306">
        <f t="shared" ca="1" si="11"/>
        <v>39.066296802141103</v>
      </c>
      <c r="H9" s="307">
        <f t="shared" ca="1" si="12"/>
        <v>149.77414031312753</v>
      </c>
      <c r="I9" s="304">
        <f t="shared" ca="1" si="13"/>
        <v>154.78523396102548</v>
      </c>
      <c r="J9" s="306">
        <f t="shared" ca="1" si="14"/>
        <v>133.09228165620732</v>
      </c>
      <c r="K9" s="307">
        <f t="shared" ca="1" si="15"/>
        <v>572.40218501307936</v>
      </c>
      <c r="L9" s="304">
        <f t="shared" ca="1" si="0"/>
        <v>587.67152121249057</v>
      </c>
      <c r="M9" s="306">
        <f t="shared" ca="1" si="16"/>
        <v>1.315646556127154</v>
      </c>
      <c r="N9" s="304">
        <f t="shared" ca="1" si="17"/>
        <v>75.380994997007505</v>
      </c>
      <c r="P9" s="310">
        <f t="shared" ca="1" si="18"/>
        <v>3</v>
      </c>
      <c r="Q9" s="304">
        <f t="shared" ca="1" si="19"/>
        <v>209.56896551724145</v>
      </c>
      <c r="R9" s="306">
        <f t="shared" ca="1" si="20"/>
        <v>0.11122868430990909</v>
      </c>
      <c r="S9" s="307">
        <f t="shared" ca="1" si="21"/>
        <v>3.007019389652267</v>
      </c>
      <c r="T9" s="304">
        <f t="shared" ca="1" si="1"/>
        <v>29.49886021248874</v>
      </c>
      <c r="U9" s="311">
        <f t="shared" ca="1" si="2"/>
        <v>0</v>
      </c>
      <c r="V9" s="306">
        <f t="shared" ca="1" si="3"/>
        <v>1.1568317160694206</v>
      </c>
      <c r="W9" s="304">
        <f t="shared" ca="1" si="4"/>
        <v>56.555181970342474</v>
      </c>
      <c r="Y9" s="314" t="str">
        <f t="shared" ca="1" si="22"/>
        <v/>
      </c>
      <c r="Z9" s="315" t="str">
        <f t="shared" ca="1" si="23"/>
        <v/>
      </c>
      <c r="AA9" s="316" t="str">
        <f t="shared" ca="1" si="24"/>
        <v/>
      </c>
      <c r="AC9" s="310" t="e">
        <f t="shared" ca="1" si="25"/>
        <v>#N/A</v>
      </c>
      <c r="AD9" s="323" t="e">
        <f t="shared" ca="1" si="26"/>
        <v>#N/A</v>
      </c>
      <c r="AE9" s="324">
        <f t="shared" ca="1" si="5"/>
        <v>572.40218501307936</v>
      </c>
      <c r="AG9" s="306">
        <f t="shared" ca="1" si="27"/>
        <v>41.49062480061346</v>
      </c>
      <c r="AH9" s="304">
        <f t="shared" ca="1" si="28"/>
        <v>50.983426702747622</v>
      </c>
    </row>
    <row r="10" spans="1:248" x14ac:dyDescent="0.2">
      <c r="A10" s="347">
        <f t="shared" ca="1" si="6"/>
        <v>0.01</v>
      </c>
      <c r="B10" s="304">
        <f t="shared" ca="1" si="7"/>
        <v>4.6599999999999984</v>
      </c>
      <c r="D10" s="306">
        <f t="shared" ca="1" si="8"/>
        <v>12.775366038182565</v>
      </c>
      <c r="E10" s="307">
        <f t="shared" ca="1" si="9"/>
        <v>39.168777672355461</v>
      </c>
      <c r="F10" s="304">
        <f t="shared" ca="1" si="10"/>
        <v>41.199552446063777</v>
      </c>
      <c r="G10" s="306">
        <f t="shared" ca="1" si="11"/>
        <v>39.194050462522931</v>
      </c>
      <c r="H10" s="307">
        <f t="shared" ca="1" si="12"/>
        <v>150.16582808985109</v>
      </c>
      <c r="I10" s="304">
        <f t="shared" ca="1" si="13"/>
        <v>155.19648680807663</v>
      </c>
      <c r="J10" s="306">
        <f t="shared" ca="1" si="14"/>
        <v>133.48358339253065</v>
      </c>
      <c r="K10" s="307">
        <f t="shared" ca="1" si="15"/>
        <v>573.90188485509429</v>
      </c>
      <c r="L10" s="304">
        <f t="shared" ca="1" si="0"/>
        <v>589.22087579747256</v>
      </c>
      <c r="M10" s="306">
        <f t="shared" ca="1" si="16"/>
        <v>1.3154870197077471</v>
      </c>
      <c r="N10" s="304">
        <f t="shared" ca="1" si="17"/>
        <v>75.371854233496862</v>
      </c>
      <c r="P10" s="310">
        <f t="shared" ca="1" si="18"/>
        <v>3</v>
      </c>
      <c r="Q10" s="304">
        <f t="shared" ca="1" si="19"/>
        <v>208.70689655172424</v>
      </c>
      <c r="R10" s="306">
        <f t="shared" ca="1" si="20"/>
        <v>0.11077114138802549</v>
      </c>
      <c r="S10" s="307">
        <f t="shared" ca="1" si="21"/>
        <v>3.0059116782383866</v>
      </c>
      <c r="T10" s="304">
        <f t="shared" ca="1" si="1"/>
        <v>29.487993563518575</v>
      </c>
      <c r="U10" s="311">
        <f t="shared" ca="1" si="2"/>
        <v>0</v>
      </c>
      <c r="V10" s="306">
        <f t="shared" ca="1" si="3"/>
        <v>1.1566580964678357</v>
      </c>
      <c r="W10" s="304">
        <f t="shared" ca="1" si="4"/>
        <v>56.847573949219289</v>
      </c>
      <c r="Y10" s="314" t="str">
        <f t="shared" ca="1" si="22"/>
        <v/>
      </c>
      <c r="Z10" s="315" t="str">
        <f t="shared" ca="1" si="23"/>
        <v/>
      </c>
      <c r="AA10" s="316" t="str">
        <f t="shared" ca="1" si="24"/>
        <v/>
      </c>
      <c r="AC10" s="310" t="e">
        <f t="shared" ca="1" si="25"/>
        <v>#N/A</v>
      </c>
      <c r="AD10" s="323" t="e">
        <f t="shared" ca="1" si="26"/>
        <v>#N/A</v>
      </c>
      <c r="AE10" s="324">
        <f t="shared" ca="1" si="5"/>
        <v>573.90188485509429</v>
      </c>
      <c r="AG10" s="306">
        <f t="shared" ca="1" si="27"/>
        <v>41.125087203082487</v>
      </c>
      <c r="AH10" s="304">
        <f t="shared" ca="1" si="28"/>
        <v>50.61749341569152</v>
      </c>
    </row>
    <row r="11" spans="1:248" x14ac:dyDescent="0.2">
      <c r="A11" s="347">
        <f t="shared" ca="1" si="6"/>
        <v>0.01</v>
      </c>
      <c r="B11" s="304">
        <f t="shared" ca="1" si="7"/>
        <v>4.6699999999999982</v>
      </c>
      <c r="D11" s="306">
        <f t="shared" ca="1" si="8"/>
        <v>12.690843971526201</v>
      </c>
      <c r="E11" s="307">
        <f t="shared" ca="1" si="9"/>
        <v>38.812968834659557</v>
      </c>
      <c r="F11" s="304">
        <f t="shared" ca="1" si="10"/>
        <v>40.835083818572933</v>
      </c>
      <c r="G11" s="306">
        <f t="shared" ca="1" si="11"/>
        <v>39.320958902238196</v>
      </c>
      <c r="H11" s="307">
        <f t="shared" ca="1" si="12"/>
        <v>150.55395777819768</v>
      </c>
      <c r="I11" s="304">
        <f t="shared" ca="1" si="13"/>
        <v>155.60408738741677</v>
      </c>
      <c r="J11" s="306">
        <f t="shared" ca="1" si="14"/>
        <v>133.87615843935444</v>
      </c>
      <c r="K11" s="307">
        <f t="shared" ca="1" si="15"/>
        <v>575.40548378443452</v>
      </c>
      <c r="L11" s="304">
        <f t="shared" ca="1" si="0"/>
        <v>590.77431948898925</v>
      </c>
      <c r="M11" s="306">
        <f t="shared" ca="1" si="16"/>
        <v>1.3153278038686562</v>
      </c>
      <c r="N11" s="304">
        <f t="shared" ca="1" si="17"/>
        <v>75.36273183788532</v>
      </c>
      <c r="P11" s="310">
        <f t="shared" ca="1" si="18"/>
        <v>3</v>
      </c>
      <c r="Q11" s="304">
        <f t="shared" ca="1" si="19"/>
        <v>207.844827586207</v>
      </c>
      <c r="R11" s="306">
        <f t="shared" ca="1" si="20"/>
        <v>0.11031359846614187</v>
      </c>
      <c r="S11" s="307">
        <f t="shared" ca="1" si="21"/>
        <v>3.0048085422537252</v>
      </c>
      <c r="T11" s="304">
        <f t="shared" ca="1" si="1"/>
        <v>29.477171799509044</v>
      </c>
      <c r="U11" s="311">
        <f t="shared" ca="1" si="2"/>
        <v>0</v>
      </c>
      <c r="V11" s="306">
        <f t="shared" ca="1" si="3"/>
        <v>1.156484050878954</v>
      </c>
      <c r="W11" s="304">
        <f t="shared" ca="1" si="4"/>
        <v>57.137970524806647</v>
      </c>
      <c r="Y11" s="314" t="str">
        <f t="shared" ca="1" si="22"/>
        <v/>
      </c>
      <c r="Z11" s="315" t="str">
        <f t="shared" ca="1" si="23"/>
        <v/>
      </c>
      <c r="AA11" s="316" t="str">
        <f t="shared" ca="1" si="24"/>
        <v/>
      </c>
      <c r="AC11" s="310" t="e">
        <f t="shared" ca="1" si="25"/>
        <v>#N/A</v>
      </c>
      <c r="AD11" s="323" t="e">
        <f t="shared" ca="1" si="26"/>
        <v>#N/A</v>
      </c>
      <c r="AE11" s="324">
        <f t="shared" ca="1" si="5"/>
        <v>575.40548378443452</v>
      </c>
      <c r="AG11" s="306">
        <f t="shared" ca="1" si="27"/>
        <v>40.759860708296877</v>
      </c>
      <c r="AH11" s="304">
        <f t="shared" ca="1" si="28"/>
        <v>50.251871796042558</v>
      </c>
    </row>
    <row r="12" spans="1:248" x14ac:dyDescent="0.2">
      <c r="A12" s="347">
        <f t="shared" ca="1" si="6"/>
        <v>0.01</v>
      </c>
      <c r="B12" s="304">
        <f t="shared" ca="1" si="7"/>
        <v>4.6799999999999979</v>
      </c>
      <c r="D12" s="306">
        <f t="shared" ca="1" si="8"/>
        <v>12.606274035007848</v>
      </c>
      <c r="E12" s="307">
        <f t="shared" ca="1" si="9"/>
        <v>38.457501652888951</v>
      </c>
      <c r="F12" s="304">
        <f t="shared" ca="1" si="10"/>
        <v>40.47094733790734</v>
      </c>
      <c r="G12" s="306">
        <f t="shared" ca="1" si="11"/>
        <v>39.447021642588275</v>
      </c>
      <c r="H12" s="307">
        <f t="shared" ca="1" si="12"/>
        <v>150.93853279472657</v>
      </c>
      <c r="I12" s="304">
        <f t="shared" ca="1" si="13"/>
        <v>156.00803889125578</v>
      </c>
      <c r="J12" s="306">
        <f t="shared" ca="1" si="14"/>
        <v>134.26999834207857</v>
      </c>
      <c r="K12" s="307">
        <f t="shared" ca="1" si="15"/>
        <v>576.91294623729914</v>
      </c>
      <c r="L12" s="304">
        <f t="shared" ca="1" si="0"/>
        <v>592.33181578485426</v>
      </c>
      <c r="M12" s="306">
        <f t="shared" ca="1" si="16"/>
        <v>1.3151689034172038</v>
      </c>
      <c r="N12" s="304">
        <f t="shared" ca="1" si="17"/>
        <v>75.35362751265437</v>
      </c>
      <c r="P12" s="310">
        <f t="shared" ca="1" si="18"/>
        <v>3</v>
      </c>
      <c r="Q12" s="304">
        <f t="shared" ca="1" si="19"/>
        <v>206.98275862068979</v>
      </c>
      <c r="R12" s="306">
        <f t="shared" ca="1" si="20"/>
        <v>0.10985605554425826</v>
      </c>
      <c r="S12" s="307">
        <f t="shared" ca="1" si="21"/>
        <v>3.0037099816982824</v>
      </c>
      <c r="T12" s="304">
        <f t="shared" ca="1" si="1"/>
        <v>29.466394920460154</v>
      </c>
      <c r="U12" s="311">
        <f t="shared" ca="1" si="2"/>
        <v>0</v>
      </c>
      <c r="V12" s="306">
        <f t="shared" ca="1" si="3"/>
        <v>1.1563095836107991</v>
      </c>
      <c r="W12" s="304">
        <f t="shared" ca="1" si="4"/>
        <v>57.426353706493472</v>
      </c>
      <c r="Y12" s="314" t="str">
        <f t="shared" ca="1" si="22"/>
        <v/>
      </c>
      <c r="Z12" s="315" t="str">
        <f t="shared" ca="1" si="23"/>
        <v/>
      </c>
      <c r="AA12" s="316" t="str">
        <f t="shared" ca="1" si="24"/>
        <v/>
      </c>
      <c r="AC12" s="310" t="e">
        <f t="shared" ca="1" si="25"/>
        <v>#N/A</v>
      </c>
      <c r="AD12" s="323" t="e">
        <f t="shared" ca="1" si="26"/>
        <v>#N/A</v>
      </c>
      <c r="AE12" s="324">
        <f t="shared" ca="1" si="5"/>
        <v>576.91294623729914</v>
      </c>
      <c r="AG12" s="306">
        <f t="shared" ca="1" si="27"/>
        <v>40.394953428795382</v>
      </c>
      <c r="AH12" s="304">
        <f t="shared" ca="1" si="28"/>
        <v>49.886569944799284</v>
      </c>
    </row>
    <row r="13" spans="1:248" x14ac:dyDescent="0.2">
      <c r="A13" s="347">
        <f t="shared" ca="1" si="6"/>
        <v>0.01</v>
      </c>
      <c r="B13" s="304">
        <f t="shared" ca="1" si="7"/>
        <v>4.6899999999999977</v>
      </c>
      <c r="D13" s="306">
        <f t="shared" ca="1" si="8"/>
        <v>12.521658999894607</v>
      </c>
      <c r="E13" s="307">
        <f t="shared" ca="1" si="9"/>
        <v>38.102383721245744</v>
      </c>
      <c r="F13" s="304">
        <f t="shared" ca="1" si="10"/>
        <v>40.107151349238137</v>
      </c>
      <c r="G13" s="306">
        <f t="shared" ca="1" si="11"/>
        <v>39.572238232587225</v>
      </c>
      <c r="H13" s="307">
        <f t="shared" ca="1" si="12"/>
        <v>151.31955663193904</v>
      </c>
      <c r="I13" s="304">
        <f t="shared" ca="1" si="13"/>
        <v>156.40834459204294</v>
      </c>
      <c r="J13" s="306">
        <f t="shared" ca="1" si="14"/>
        <v>134.66509464145443</v>
      </c>
      <c r="K13" s="307">
        <f t="shared" ca="1" si="15"/>
        <v>578.42423668443246</v>
      </c>
      <c r="L13" s="304">
        <f t="shared" ca="1" si="0"/>
        <v>593.89332821539608</v>
      </c>
      <c r="M13" s="306">
        <f t="shared" ca="1" si="16"/>
        <v>1.315010313223165</v>
      </c>
      <c r="N13" s="304">
        <f t="shared" ca="1" si="17"/>
        <v>75.344540963863778</v>
      </c>
      <c r="P13" s="310">
        <f t="shared" ca="1" si="18"/>
        <v>3</v>
      </c>
      <c r="Q13" s="304">
        <f t="shared" ca="1" si="19"/>
        <v>206.12068965517258</v>
      </c>
      <c r="R13" s="306">
        <f t="shared" ca="1" si="20"/>
        <v>0.10939851262237466</v>
      </c>
      <c r="S13" s="307">
        <f t="shared" ca="1" si="21"/>
        <v>3.0026159965720587</v>
      </c>
      <c r="T13" s="304">
        <f t="shared" ca="1" si="1"/>
        <v>29.455662926371897</v>
      </c>
      <c r="U13" s="311">
        <f t="shared" ca="1" si="2"/>
        <v>0</v>
      </c>
      <c r="V13" s="306">
        <f t="shared" ca="1" si="3"/>
        <v>1.1561346989654058</v>
      </c>
      <c r="W13" s="304">
        <f t="shared" ca="1" si="4"/>
        <v>57.71270579540279</v>
      </c>
      <c r="Y13" s="314" t="str">
        <f t="shared" ca="1" si="22"/>
        <v/>
      </c>
      <c r="Z13" s="315" t="str">
        <f t="shared" ca="1" si="23"/>
        <v/>
      </c>
      <c r="AA13" s="316" t="str">
        <f t="shared" ca="1" si="24"/>
        <v/>
      </c>
      <c r="AC13" s="310" t="e">
        <f t="shared" ca="1" si="25"/>
        <v>#N/A</v>
      </c>
      <c r="AD13" s="323" t="e">
        <f t="shared" ca="1" si="26"/>
        <v>#N/A</v>
      </c>
      <c r="AE13" s="324">
        <f t="shared" ca="1" si="5"/>
        <v>578.42423668443246</v>
      </c>
      <c r="AG13" s="306">
        <f t="shared" ca="1" si="27"/>
        <v>40.030373388576024</v>
      </c>
      <c r="AH13" s="304">
        <f t="shared" ca="1" si="28"/>
        <v>49.521595874542811</v>
      </c>
    </row>
    <row r="14" spans="1:248" x14ac:dyDescent="0.2">
      <c r="A14" s="347">
        <f t="shared" ca="1" si="6"/>
        <v>0.01</v>
      </c>
      <c r="B14" s="304">
        <f t="shared" ca="1" si="7"/>
        <v>4.6999999999999975</v>
      </c>
      <c r="D14" s="306">
        <f t="shared" ca="1" si="8"/>
        <v>12.437001608984509</v>
      </c>
      <c r="E14" s="307">
        <f t="shared" ca="1" si="9"/>
        <v>37.747622549448735</v>
      </c>
      <c r="F14" s="304">
        <f t="shared" ca="1" si="10"/>
        <v>39.743704119741203</v>
      </c>
      <c r="G14" s="306">
        <f t="shared" ca="1" si="11"/>
        <v>39.696608248677073</v>
      </c>
      <c r="H14" s="307">
        <f t="shared" ca="1" si="12"/>
        <v>151.69703285743353</v>
      </c>
      <c r="I14" s="304">
        <f t="shared" ca="1" si="13"/>
        <v>156.80500784158076</v>
      </c>
      <c r="J14" s="306">
        <f t="shared" ca="1" si="14"/>
        <v>135.06143887386077</v>
      </c>
      <c r="K14" s="307">
        <f t="shared" ca="1" si="15"/>
        <v>579.93931963187936</v>
      </c>
      <c r="L14" s="304">
        <f t="shared" ca="1" si="0"/>
        <v>595.45882034424915</v>
      </c>
      <c r="M14" s="306">
        <f t="shared" ca="1" si="16"/>
        <v>1.3148520282175034</v>
      </c>
      <c r="N14" s="304">
        <f t="shared" ca="1" si="17"/>
        <v>75.335471901079174</v>
      </c>
      <c r="P14" s="310">
        <f t="shared" ca="1" si="18"/>
        <v>3</v>
      </c>
      <c r="Q14" s="304">
        <f t="shared" ca="1" si="19"/>
        <v>205.25862068965534</v>
      </c>
      <c r="R14" s="306">
        <f t="shared" ca="1" si="20"/>
        <v>0.10894096970049102</v>
      </c>
      <c r="S14" s="307">
        <f t="shared" ca="1" si="21"/>
        <v>3.0015265868750536</v>
      </c>
      <c r="T14" s="304">
        <f t="shared" ca="1" si="1"/>
        <v>29.444975817244277</v>
      </c>
      <c r="U14" s="311">
        <f t="shared" ca="1" si="2"/>
        <v>0</v>
      </c>
      <c r="V14" s="306">
        <f t="shared" ca="1" si="3"/>
        <v>1.1559594012387246</v>
      </c>
      <c r="W14" s="304">
        <f t="shared" ca="1" si="4"/>
        <v>57.997009383715657</v>
      </c>
      <c r="Y14" s="314" t="str">
        <f t="shared" ca="1" si="22"/>
        <v/>
      </c>
      <c r="Z14" s="315" t="str">
        <f t="shared" ca="1" si="23"/>
        <v/>
      </c>
      <c r="AA14" s="316" t="str">
        <f t="shared" ca="1" si="24"/>
        <v>Satellite</v>
      </c>
      <c r="AC14" s="310" t="e">
        <f t="shared" ca="1" si="25"/>
        <v>#N/A</v>
      </c>
      <c r="AD14" s="323" t="e">
        <f t="shared" ca="1" si="26"/>
        <v>#N/A</v>
      </c>
      <c r="AE14" s="324">
        <f t="shared" ca="1" si="5"/>
        <v>579.93931963187936</v>
      </c>
      <c r="AG14" s="306">
        <f t="shared" ca="1" si="27"/>
        <v>39.666128523028945</v>
      </c>
      <c r="AH14" s="304">
        <f t="shared" ca="1" si="28"/>
        <v>49.156957509367061</v>
      </c>
    </row>
    <row r="15" spans="1:248" x14ac:dyDescent="0.2">
      <c r="A15" s="347">
        <f t="shared" ca="1" si="6"/>
        <v>0.01</v>
      </c>
      <c r="B15" s="304">
        <f t="shared" ca="1" si="7"/>
        <v>4.7099999999999973</v>
      </c>
      <c r="D15" s="306">
        <f t="shared" ca="1" si="8"/>
        <v>12.352304576688427</v>
      </c>
      <c r="E15" s="307">
        <f t="shared" ca="1" si="9"/>
        <v>37.393225562661932</v>
      </c>
      <c r="F15" s="304">
        <f t="shared" ca="1" si="10"/>
        <v>39.380613838986712</v>
      </c>
      <c r="G15" s="306">
        <f t="shared" ca="1" si="11"/>
        <v>39.820131294443961</v>
      </c>
      <c r="H15" s="307">
        <f t="shared" ca="1" si="12"/>
        <v>152.07096511306014</v>
      </c>
      <c r="I15" s="304">
        <f t="shared" ca="1" si="13"/>
        <v>157.19803207013857</v>
      </c>
      <c r="J15" s="306">
        <f t="shared" ca="1" si="14"/>
        <v>135.45902257157638</v>
      </c>
      <c r="K15" s="307">
        <f t="shared" ca="1" si="15"/>
        <v>581.45815962173185</v>
      </c>
      <c r="L15" s="304">
        <f t="shared" ca="1" si="0"/>
        <v>597.0282557691371</v>
      </c>
      <c r="M15" s="306">
        <f t="shared" ca="1" si="16"/>
        <v>1.3146940433911363</v>
      </c>
      <c r="N15" s="304">
        <f t="shared" ca="1" si="17"/>
        <v>75.326420037301233</v>
      </c>
      <c r="P15" s="310">
        <f t="shared" ca="1" si="18"/>
        <v>3</v>
      </c>
      <c r="Q15" s="304">
        <f t="shared" ca="1" si="19"/>
        <v>204.39655172413813</v>
      </c>
      <c r="R15" s="306">
        <f t="shared" ca="1" si="20"/>
        <v>0.10848342677860742</v>
      </c>
      <c r="S15" s="307">
        <f t="shared" ca="1" si="21"/>
        <v>3.0004417526072675</v>
      </c>
      <c r="T15" s="304">
        <f t="shared" ca="1" si="1"/>
        <v>29.434333593077294</v>
      </c>
      <c r="U15" s="311">
        <f t="shared" ca="1" si="2"/>
        <v>0</v>
      </c>
      <c r="V15" s="306">
        <f t="shared" ca="1" si="3"/>
        <v>1.1557836947205191</v>
      </c>
      <c r="W15" s="304">
        <f t="shared" ca="1" si="4"/>
        <v>58.279247353962056</v>
      </c>
      <c r="Y15" s="314" t="str">
        <f t="shared" ca="1" si="22"/>
        <v/>
      </c>
      <c r="Z15" s="315" t="str">
        <f t="shared" ca="1" si="23"/>
        <v/>
      </c>
      <c r="AA15" s="316" t="str">
        <f t="shared" ca="1" si="24"/>
        <v/>
      </c>
      <c r="AC15" s="310" t="e">
        <f t="shared" ca="1" si="25"/>
        <v>#N/A</v>
      </c>
      <c r="AD15" s="323" t="e">
        <f t="shared" ca="1" si="26"/>
        <v>#N/A</v>
      </c>
      <c r="AE15" s="324">
        <f t="shared" ca="1" si="5"/>
        <v>581.45815962173185</v>
      </c>
      <c r="AG15" s="306">
        <f t="shared" ca="1" si="27"/>
        <v>39.3022266788821</v>
      </c>
      <c r="AH15" s="304">
        <f t="shared" ca="1" si="28"/>
        <v>48.792662684821977</v>
      </c>
    </row>
    <row r="16" spans="1:248" x14ac:dyDescent="0.2">
      <c r="A16" s="347">
        <f t="shared" ca="1" si="6"/>
        <v>0.01</v>
      </c>
      <c r="B16" s="304">
        <f t="shared" ca="1" si="7"/>
        <v>4.7199999999999971</v>
      </c>
      <c r="D16" s="306">
        <f t="shared" ca="1" si="8"/>
        <v>12.267570589112005</v>
      </c>
      <c r="E16" s="307">
        <f t="shared" ca="1" si="9"/>
        <v>37.039200101435881</v>
      </c>
      <c r="F16" s="304">
        <f t="shared" ca="1" si="10"/>
        <v>39.017888619363475</v>
      </c>
      <c r="G16" s="306">
        <f t="shared" ca="1" si="11"/>
        <v>39.94280700033508</v>
      </c>
      <c r="H16" s="307">
        <f t="shared" ca="1" si="12"/>
        <v>152.44135711407449</v>
      </c>
      <c r="I16" s="304">
        <f t="shared" ca="1" si="13"/>
        <v>157.58742078556526</v>
      </c>
      <c r="J16" s="306">
        <f t="shared" ca="1" si="14"/>
        <v>135.85783726305027</v>
      </c>
      <c r="K16" s="307">
        <f t="shared" ca="1" si="15"/>
        <v>582.9807212328675</v>
      </c>
      <c r="L16" s="304">
        <f t="shared" ca="1" si="0"/>
        <v>598.60159812264772</v>
      </c>
      <c r="M16" s="306">
        <f t="shared" ca="1" si="16"/>
        <v>1.3145363537937274</v>
      </c>
      <c r="N16" s="304">
        <f t="shared" ca="1" si="17"/>
        <v>75.317385088896586</v>
      </c>
      <c r="P16" s="310">
        <f t="shared" ca="1" si="18"/>
        <v>3</v>
      </c>
      <c r="Q16" s="304">
        <f t="shared" ca="1" si="19"/>
        <v>203.5344827586209</v>
      </c>
      <c r="R16" s="306">
        <f t="shared" ca="1" si="20"/>
        <v>0.10802588385672381</v>
      </c>
      <c r="S16" s="307">
        <f t="shared" ca="1" si="21"/>
        <v>2.9993614937687001</v>
      </c>
      <c r="T16" s="304">
        <f t="shared" ca="1" si="1"/>
        <v>29.423736253870949</v>
      </c>
      <c r="U16" s="311">
        <f t="shared" ca="1" si="2"/>
        <v>0</v>
      </c>
      <c r="V16" s="306">
        <f t="shared" ca="1" si="3"/>
        <v>1.1556075836942741</v>
      </c>
      <c r="W16" s="304">
        <f t="shared" ca="1" si="4"/>
        <v>58.559402878279791</v>
      </c>
      <c r="Y16" s="314" t="str">
        <f t="shared" ca="1" si="22"/>
        <v/>
      </c>
      <c r="Z16" s="315" t="str">
        <f t="shared" ca="1" si="23"/>
        <v/>
      </c>
      <c r="AA16" s="316" t="str">
        <f t="shared" ca="1" si="24"/>
        <v/>
      </c>
      <c r="AC16" s="310" t="e">
        <f t="shared" ca="1" si="25"/>
        <v>#N/A</v>
      </c>
      <c r="AD16" s="323" t="e">
        <f t="shared" ca="1" si="26"/>
        <v>#N/A</v>
      </c>
      <c r="AE16" s="324">
        <f t="shared" ca="1" si="5"/>
        <v>582.9807212328675</v>
      </c>
      <c r="AG16" s="306">
        <f t="shared" ca="1" si="27"/>
        <v>38.93867561415977</v>
      </c>
      <c r="AH16" s="304">
        <f t="shared" ca="1" si="28"/>
        <v>48.428719147869543</v>
      </c>
    </row>
    <row r="17" spans="1:34" x14ac:dyDescent="0.2">
      <c r="A17" s="347">
        <f t="shared" ca="1" si="6"/>
        <v>0.01</v>
      </c>
      <c r="B17" s="304">
        <f t="shared" ca="1" si="7"/>
        <v>4.7299999999999969</v>
      </c>
      <c r="D17" s="306">
        <f t="shared" ca="1" si="8"/>
        <v>12.182802304137672</v>
      </c>
      <c r="E17" s="307">
        <f t="shared" ca="1" si="9"/>
        <v>36.685553421662135</v>
      </c>
      <c r="F17" s="304">
        <f t="shared" ca="1" si="10"/>
        <v>38.655536496539902</v>
      </c>
      <c r="G17" s="306">
        <f t="shared" ca="1" si="11"/>
        <v>40.064635023376454</v>
      </c>
      <c r="H17" s="307">
        <f t="shared" ca="1" si="12"/>
        <v>152.80821264829112</v>
      </c>
      <c r="I17" s="304">
        <f t="shared" ca="1" si="13"/>
        <v>157.97317757240222</v>
      </c>
      <c r="J17" s="306">
        <f t="shared" ca="1" si="14"/>
        <v>136.25787447316884</v>
      </c>
      <c r="K17" s="307">
        <f t="shared" ca="1" si="15"/>
        <v>584.50696908167936</v>
      </c>
      <c r="L17" s="304">
        <f t="shared" ca="1" si="0"/>
        <v>600.17881107299775</v>
      </c>
      <c r="M17" s="306">
        <f t="shared" ca="1" si="16"/>
        <v>1.3143789545325073</v>
      </c>
      <c r="N17" s="304">
        <f t="shared" ca="1" si="17"/>
        <v>75.308366775530189</v>
      </c>
      <c r="P17" s="310">
        <f t="shared" ca="1" si="18"/>
        <v>3</v>
      </c>
      <c r="Q17" s="304">
        <f t="shared" ca="1" si="19"/>
        <v>202.67241379310369</v>
      </c>
      <c r="R17" s="306">
        <f t="shared" ca="1" si="20"/>
        <v>0.10756834093484019</v>
      </c>
      <c r="S17" s="307">
        <f t="shared" ca="1" si="21"/>
        <v>2.9982858103593517</v>
      </c>
      <c r="T17" s="304">
        <f t="shared" ca="1" si="1"/>
        <v>29.413183799625241</v>
      </c>
      <c r="U17" s="311">
        <f t="shared" ca="1" si="2"/>
        <v>0</v>
      </c>
      <c r="V17" s="306">
        <f t="shared" ca="1" si="3"/>
        <v>1.1554310724370973</v>
      </c>
      <c r="W17" s="304">
        <f t="shared" ca="1" si="4"/>
        <v>58.83745941764154</v>
      </c>
      <c r="Y17" s="314" t="str">
        <f t="shared" ca="1" si="22"/>
        <v/>
      </c>
      <c r="Z17" s="315" t="str">
        <f t="shared" ca="1" si="23"/>
        <v/>
      </c>
      <c r="AA17" s="316" t="str">
        <f t="shared" ca="1" si="24"/>
        <v/>
      </c>
      <c r="AC17" s="310" t="e">
        <f t="shared" ca="1" si="25"/>
        <v>#N/A</v>
      </c>
      <c r="AD17" s="323" t="e">
        <f t="shared" ca="1" si="26"/>
        <v>#N/A</v>
      </c>
      <c r="AE17" s="324">
        <f t="shared" ca="1" si="5"/>
        <v>584.50696908167936</v>
      </c>
      <c r="AG17" s="306">
        <f t="shared" ca="1" si="27"/>
        <v>38.575482998153689</v>
      </c>
      <c r="AH17" s="304">
        <f t="shared" ca="1" si="28"/>
        <v>48.065134556852534</v>
      </c>
    </row>
    <row r="18" spans="1:34" x14ac:dyDescent="0.2">
      <c r="A18" s="347">
        <f t="shared" ca="1" si="6"/>
        <v>0.01</v>
      </c>
      <c r="B18" s="304">
        <f t="shared" ca="1" si="7"/>
        <v>4.7399999999999967</v>
      </c>
      <c r="D18" s="306">
        <f t="shared" ca="1" si="8"/>
        <v>12.098002351506734</v>
      </c>
      <c r="E18" s="307">
        <f t="shared" ca="1" si="9"/>
        <v>36.332292694540307</v>
      </c>
      <c r="F18" s="304">
        <f t="shared" ca="1" si="10"/>
        <v>38.293565429962371</v>
      </c>
      <c r="G18" s="306">
        <f t="shared" ca="1" si="11"/>
        <v>40.18561504689152</v>
      </c>
      <c r="H18" s="307">
        <f t="shared" ca="1" si="12"/>
        <v>153.17153557523653</v>
      </c>
      <c r="I18" s="304">
        <f t="shared" ca="1" si="13"/>
        <v>158.35530609099558</v>
      </c>
      <c r="J18" s="306">
        <f t="shared" ca="1" si="14"/>
        <v>136.65912572352019</v>
      </c>
      <c r="K18" s="307">
        <f t="shared" ca="1" si="15"/>
        <v>586.03686782279703</v>
      </c>
      <c r="L18" s="304">
        <f t="shared" ca="1" si="0"/>
        <v>601.75985832479</v>
      </c>
      <c r="M18" s="306">
        <f t="shared" ca="1" si="16"/>
        <v>1.3142218407711204</v>
      </c>
      <c r="N18" s="304">
        <f t="shared" ca="1" si="17"/>
        <v>75.299364820099299</v>
      </c>
      <c r="P18" s="310">
        <f t="shared" ca="1" si="18"/>
        <v>3</v>
      </c>
      <c r="Q18" s="304">
        <f t="shared" ca="1" si="19"/>
        <v>201.81034482758645</v>
      </c>
      <c r="R18" s="306">
        <f t="shared" ca="1" si="20"/>
        <v>0.10711079801295657</v>
      </c>
      <c r="S18" s="307">
        <f t="shared" ca="1" si="21"/>
        <v>2.9972147023792219</v>
      </c>
      <c r="T18" s="304">
        <f t="shared" ca="1" si="1"/>
        <v>29.40267623034017</v>
      </c>
      <c r="U18" s="311">
        <f t="shared" ca="1" si="2"/>
        <v>0</v>
      </c>
      <c r="V18" s="306">
        <f t="shared" ca="1" si="3"/>
        <v>1.1552541652196262</v>
      </c>
      <c r="W18" s="304">
        <f t="shared" ca="1" si="4"/>
        <v>59.113400721050567</v>
      </c>
      <c r="Y18" s="314" t="str">
        <f t="shared" ca="1" si="22"/>
        <v/>
      </c>
      <c r="Z18" s="315" t="str">
        <f t="shared" ca="1" si="23"/>
        <v/>
      </c>
      <c r="AA18" s="316" t="str">
        <f t="shared" ca="1" si="24"/>
        <v/>
      </c>
      <c r="AC18" s="310" t="e">
        <f t="shared" ca="1" si="25"/>
        <v>#N/A</v>
      </c>
      <c r="AD18" s="323" t="e">
        <f t="shared" ca="1" si="26"/>
        <v>#N/A</v>
      </c>
      <c r="AE18" s="324">
        <f t="shared" ca="1" si="5"/>
        <v>586.03686782279703</v>
      </c>
      <c r="AG18" s="306">
        <f t="shared" ca="1" si="27"/>
        <v>38.212656411406648</v>
      </c>
      <c r="AH18" s="304">
        <f t="shared" ca="1" si="28"/>
        <v>47.701916481475777</v>
      </c>
    </row>
    <row r="19" spans="1:34" x14ac:dyDescent="0.2">
      <c r="A19" s="347">
        <f t="shared" ca="1" si="6"/>
        <v>0.01</v>
      </c>
      <c r="B19" s="304">
        <f t="shared" ca="1" si="7"/>
        <v>4.7499999999999964</v>
      </c>
      <c r="D19" s="306">
        <f t="shared" ca="1" si="8"/>
        <v>12.013173332901735</v>
      </c>
      <c r="E19" s="307">
        <f t="shared" ca="1" si="9"/>
        <v>35.97942500655784</v>
      </c>
      <c r="F19" s="304">
        <f t="shared" ca="1" si="10"/>
        <v>37.931983303392677</v>
      </c>
      <c r="G19" s="306">
        <f t="shared" ca="1" si="11"/>
        <v>40.305746780220538</v>
      </c>
      <c r="H19" s="307">
        <f t="shared" ca="1" si="12"/>
        <v>153.53132982530212</v>
      </c>
      <c r="I19" s="304">
        <f t="shared" ca="1" si="13"/>
        <v>158.73381007660896</v>
      </c>
      <c r="J19" s="306">
        <f t="shared" ca="1" si="14"/>
        <v>137.06158253265576</v>
      </c>
      <c r="K19" s="307">
        <f t="shared" ca="1" si="15"/>
        <v>587.57038214979968</v>
      </c>
      <c r="L19" s="304">
        <f t="shared" ca="1" si="0"/>
        <v>603.34470361976128</v>
      </c>
      <c r="M19" s="306">
        <f t="shared" ca="1" si="16"/>
        <v>1.3140650077284968</v>
      </c>
      <c r="N19" s="304">
        <f t="shared" ca="1" si="17"/>
        <v>75.290378948668774</v>
      </c>
      <c r="P19" s="310">
        <f t="shared" ca="1" si="18"/>
        <v>3</v>
      </c>
      <c r="Q19" s="304">
        <f t="shared" ca="1" si="19"/>
        <v>200.94827586206924</v>
      </c>
      <c r="R19" s="306">
        <f t="shared" ca="1" si="20"/>
        <v>0.10665325509107296</v>
      </c>
      <c r="S19" s="307">
        <f t="shared" ca="1" si="21"/>
        <v>2.9961481698283112</v>
      </c>
      <c r="T19" s="304">
        <f t="shared" ca="1" si="1"/>
        <v>29.392213546015736</v>
      </c>
      <c r="U19" s="311">
        <f t="shared" ca="1" si="2"/>
        <v>0</v>
      </c>
      <c r="V19" s="306">
        <f t="shared" ca="1" si="3"/>
        <v>1.1550768663059363</v>
      </c>
      <c r="W19" s="304">
        <f t="shared" ca="1" si="4"/>
        <v>59.387210824706102</v>
      </c>
      <c r="Y19" s="314" t="str">
        <f t="shared" ca="1" si="22"/>
        <v/>
      </c>
      <c r="Z19" s="315" t="str">
        <f t="shared" ca="1" si="23"/>
        <v/>
      </c>
      <c r="AA19" s="316" t="str">
        <f t="shared" ca="1" si="24"/>
        <v/>
      </c>
      <c r="AC19" s="310" t="e">
        <f t="shared" ca="1" si="25"/>
        <v>#N/A</v>
      </c>
      <c r="AD19" s="323" t="e">
        <f t="shared" ca="1" si="26"/>
        <v>#N/A</v>
      </c>
      <c r="AE19" s="324">
        <f t="shared" ca="1" si="5"/>
        <v>587.57038214979968</v>
      </c>
      <c r="AG19" s="306">
        <f t="shared" ca="1" si="27"/>
        <v>37.850203345708536</v>
      </c>
      <c r="AH19" s="304">
        <f t="shared" ca="1" si="28"/>
        <v>47.339072402799843</v>
      </c>
    </row>
    <row r="20" spans="1:34" x14ac:dyDescent="0.2">
      <c r="A20" s="347">
        <f t="shared" ca="1" si="6"/>
        <v>0.01</v>
      </c>
      <c r="B20" s="304">
        <f t="shared" ca="1" si="7"/>
        <v>4.7599999999999962</v>
      </c>
      <c r="D20" s="306">
        <f t="shared" ca="1" si="8"/>
        <v>11.928317822029001</v>
      </c>
      <c r="E20" s="307">
        <f t="shared" ca="1" si="9"/>
        <v>35.62695735948212</v>
      </c>
      <c r="F20" s="304">
        <f t="shared" ca="1" si="10"/>
        <v>37.570797925485849</v>
      </c>
      <c r="G20" s="306">
        <f t="shared" ca="1" si="11"/>
        <v>40.425029958440831</v>
      </c>
      <c r="H20" s="307">
        <f t="shared" ca="1" si="12"/>
        <v>153.88759939889695</v>
      </c>
      <c r="I20" s="304">
        <f t="shared" ca="1" si="13"/>
        <v>159.1086933385358</v>
      </c>
      <c r="J20" s="306">
        <f t="shared" ca="1" si="14"/>
        <v>137.46523641634906</v>
      </c>
      <c r="K20" s="307">
        <f t="shared" ca="1" si="15"/>
        <v>589.10747679592066</v>
      </c>
      <c r="L20" s="304">
        <f t="shared" ca="1" si="0"/>
        <v>604.93331073752165</v>
      </c>
      <c r="M20" s="306">
        <f t="shared" ca="1" si="16"/>
        <v>1.3139084506777512</v>
      </c>
      <c r="N20" s="304">
        <f t="shared" ca="1" si="17"/>
        <v>75.281408890408031</v>
      </c>
      <c r="P20" s="310">
        <f t="shared" ca="1" si="18"/>
        <v>3</v>
      </c>
      <c r="Q20" s="304">
        <f t="shared" ca="1" si="19"/>
        <v>200.086206896552</v>
      </c>
      <c r="R20" s="306">
        <f t="shared" ca="1" si="20"/>
        <v>0.10619571216918934</v>
      </c>
      <c r="S20" s="307">
        <f t="shared" ca="1" si="21"/>
        <v>2.9950862127066191</v>
      </c>
      <c r="T20" s="304">
        <f t="shared" ca="1" si="1"/>
        <v>29.381795746651935</v>
      </c>
      <c r="U20" s="311">
        <f t="shared" ca="1" si="2"/>
        <v>0</v>
      </c>
      <c r="V20" s="306">
        <f t="shared" ca="1" si="3"/>
        <v>1.1548991799534472</v>
      </c>
      <c r="W20" s="304">
        <f t="shared" ca="1" si="4"/>
        <v>59.65887405113812</v>
      </c>
      <c r="Y20" s="314" t="str">
        <f t="shared" ca="1" si="22"/>
        <v/>
      </c>
      <c r="Z20" s="315" t="str">
        <f t="shared" ca="1" si="23"/>
        <v/>
      </c>
      <c r="AA20" s="316" t="str">
        <f t="shared" ca="1" si="24"/>
        <v/>
      </c>
      <c r="AC20" s="310" t="e">
        <f t="shared" ca="1" si="25"/>
        <v>#N/A</v>
      </c>
      <c r="AD20" s="323" t="e">
        <f t="shared" ca="1" si="26"/>
        <v>#N/A</v>
      </c>
      <c r="AE20" s="324">
        <f t="shared" ca="1" si="5"/>
        <v>589.10747679592066</v>
      </c>
      <c r="AG20" s="306">
        <f t="shared" ca="1" si="27"/>
        <v>37.488131204104469</v>
      </c>
      <c r="AH20" s="304">
        <f t="shared" ca="1" si="28"/>
        <v>46.976609713246987</v>
      </c>
    </row>
    <row r="21" spans="1:34" x14ac:dyDescent="0.2">
      <c r="A21" s="347">
        <f t="shared" ca="1" si="6"/>
        <v>0.01</v>
      </c>
      <c r="B21" s="304">
        <f t="shared" ca="1" si="7"/>
        <v>4.769999999999996</v>
      </c>
      <c r="D21" s="306">
        <f t="shared" ca="1" si="8"/>
        <v>11.843438364701511</v>
      </c>
      <c r="E21" s="307">
        <f t="shared" ca="1" si="9"/>
        <v>35.274896670364974</v>
      </c>
      <c r="F21" s="304">
        <f t="shared" ca="1" si="10"/>
        <v>37.2100170304101</v>
      </c>
      <c r="G21" s="306">
        <f t="shared" ca="1" si="11"/>
        <v>40.543464342087844</v>
      </c>
      <c r="H21" s="307">
        <f t="shared" ca="1" si="12"/>
        <v>154.2403483656006</v>
      </c>
      <c r="I21" s="304">
        <f t="shared" ca="1" si="13"/>
        <v>159.47995975921231</v>
      </c>
      <c r="J21" s="306">
        <f t="shared" ca="1" si="14"/>
        <v>137.87007888785169</v>
      </c>
      <c r="K21" s="307">
        <f t="shared" ca="1" si="15"/>
        <v>590.64811653474317</v>
      </c>
      <c r="L21" s="304">
        <f t="shared" ca="1" si="0"/>
        <v>606.52564349628449</v>
      </c>
      <c r="M21" s="306">
        <f t="shared" ca="1" si="16"/>
        <v>1.3137521649451036</v>
      </c>
      <c r="N21" s="304">
        <f t="shared" ca="1" si="17"/>
        <v>75.272454377529215</v>
      </c>
      <c r="P21" s="310">
        <f t="shared" ca="1" si="18"/>
        <v>3</v>
      </c>
      <c r="Q21" s="304">
        <f t="shared" ca="1" si="19"/>
        <v>199.22413793103479</v>
      </c>
      <c r="R21" s="306">
        <f t="shared" ca="1" si="20"/>
        <v>0.10573816924730574</v>
      </c>
      <c r="S21" s="307">
        <f t="shared" ca="1" si="21"/>
        <v>2.9940288310141461</v>
      </c>
      <c r="T21" s="304">
        <f t="shared" ca="1" si="1"/>
        <v>29.371422832248776</v>
      </c>
      <c r="U21" s="311">
        <f t="shared" ca="1" si="2"/>
        <v>0</v>
      </c>
      <c r="V21" s="306">
        <f t="shared" ca="1" si="3"/>
        <v>1.1547211104128345</v>
      </c>
      <c r="W21" s="304">
        <f t="shared" ca="1" si="4"/>
        <v>59.928375008313083</v>
      </c>
      <c r="Y21" s="314" t="str">
        <f t="shared" ca="1" si="22"/>
        <v/>
      </c>
      <c r="Z21" s="315" t="str">
        <f t="shared" ca="1" si="23"/>
        <v/>
      </c>
      <c r="AA21" s="316" t="str">
        <f t="shared" ca="1" si="24"/>
        <v/>
      </c>
      <c r="AC21" s="310" t="e">
        <f t="shared" ca="1" si="25"/>
        <v>#N/A</v>
      </c>
      <c r="AD21" s="323" t="e">
        <f t="shared" ca="1" si="26"/>
        <v>#N/A</v>
      </c>
      <c r="AE21" s="324">
        <f t="shared" ca="1" si="5"/>
        <v>590.64811653474317</v>
      </c>
      <c r="AG21" s="306">
        <f t="shared" ca="1" si="27"/>
        <v>37.126447300915125</v>
      </c>
      <c r="AH21" s="304">
        <f t="shared" ca="1" si="28"/>
        <v>46.614535716619237</v>
      </c>
    </row>
    <row r="22" spans="1:34" x14ac:dyDescent="0.2">
      <c r="A22" s="347">
        <f t="shared" ca="1" si="6"/>
        <v>0.01</v>
      </c>
      <c r="B22" s="304">
        <f t="shared" ca="1" si="7"/>
        <v>4.7799999999999958</v>
      </c>
      <c r="D22" s="306">
        <f t="shared" ca="1" si="8"/>
        <v>11.758537478922102</v>
      </c>
      <c r="E22" s="307">
        <f t="shared" ca="1" si="9"/>
        <v>34.923249771559107</v>
      </c>
      <c r="F22" s="304">
        <f t="shared" ca="1" si="10"/>
        <v>36.849648278510323</v>
      </c>
      <c r="G22" s="306">
        <f t="shared" ca="1" si="11"/>
        <v>40.661049716877066</v>
      </c>
      <c r="H22" s="307">
        <f t="shared" ca="1" si="12"/>
        <v>154.5895808633162</v>
      </c>
      <c r="I22" s="304">
        <f t="shared" ca="1" si="13"/>
        <v>159.84761329333048</v>
      </c>
      <c r="J22" s="306">
        <f t="shared" ca="1" si="14"/>
        <v>138.27610145814651</v>
      </c>
      <c r="K22" s="307">
        <f t="shared" ca="1" si="15"/>
        <v>592.19226618088771</v>
      </c>
      <c r="L22" s="304">
        <f t="shared" ca="1" si="0"/>
        <v>608.12166575358833</v>
      </c>
      <c r="M22" s="306">
        <f t="shared" ca="1" si="16"/>
        <v>1.3135961459088259</v>
      </c>
      <c r="N22" s="304">
        <f t="shared" ca="1" si="17"/>
        <v>75.263515145226805</v>
      </c>
      <c r="P22" s="310">
        <f t="shared" ca="1" si="18"/>
        <v>3</v>
      </c>
      <c r="Q22" s="304">
        <f t="shared" ca="1" si="19"/>
        <v>198.36206896551755</v>
      </c>
      <c r="R22" s="306">
        <f t="shared" ca="1" si="20"/>
        <v>0.10528062632542211</v>
      </c>
      <c r="S22" s="307">
        <f t="shared" ca="1" si="21"/>
        <v>2.9929760247508916</v>
      </c>
      <c r="T22" s="304">
        <f t="shared" ca="1" si="1"/>
        <v>29.36109480280625</v>
      </c>
      <c r="U22" s="311">
        <f t="shared" ca="1" si="2"/>
        <v>0</v>
      </c>
      <c r="V22" s="306">
        <f t="shared" ca="1" si="3"/>
        <v>1.1545426619279393</v>
      </c>
      <c r="W22" s="304">
        <f t="shared" ca="1" si="4"/>
        <v>60.195698588710094</v>
      </c>
      <c r="Y22" s="314" t="str">
        <f t="shared" ca="1" si="22"/>
        <v/>
      </c>
      <c r="Z22" s="315" t="str">
        <f t="shared" ca="1" si="23"/>
        <v/>
      </c>
      <c r="AA22" s="316" t="str">
        <f t="shared" ca="1" si="24"/>
        <v/>
      </c>
      <c r="AC22" s="310" t="e">
        <f t="shared" ca="1" si="25"/>
        <v>#N/A</v>
      </c>
      <c r="AD22" s="323" t="e">
        <f t="shared" ca="1" si="26"/>
        <v>#N/A</v>
      </c>
      <c r="AE22" s="324">
        <f t="shared" ca="1" si="5"/>
        <v>592.19226618088771</v>
      </c>
      <c r="AG22" s="306">
        <f t="shared" ca="1" si="27"/>
        <v>36.765158861768825</v>
      </c>
      <c r="AH22" s="304">
        <f t="shared" ca="1" si="28"/>
        <v>46.252857628128325</v>
      </c>
    </row>
    <row r="23" spans="1:34" x14ac:dyDescent="0.2">
      <c r="A23" s="347">
        <f t="shared" ca="1" si="6"/>
        <v>0.01</v>
      </c>
      <c r="B23" s="304">
        <f t="shared" ca="1" si="7"/>
        <v>4.7899999999999956</v>
      </c>
      <c r="D23" s="306">
        <f t="shared" ca="1" si="8"/>
        <v>11.673617654967096</v>
      </c>
      <c r="E23" s="307">
        <f t="shared" ca="1" si="9"/>
        <v>34.572023410746638</v>
      </c>
      <c r="F23" s="304">
        <f t="shared" ca="1" si="10"/>
        <v>36.489699257017357</v>
      </c>
      <c r="G23" s="306">
        <f t="shared" ca="1" si="11"/>
        <v>40.777785893426739</v>
      </c>
      <c r="H23" s="307">
        <f t="shared" ca="1" si="12"/>
        <v>154.93530109742366</v>
      </c>
      <c r="I23" s="304">
        <f t="shared" ca="1" si="13"/>
        <v>160.21165796695158</v>
      </c>
      <c r="J23" s="306">
        <f t="shared" ca="1" si="14"/>
        <v>138.68329563619804</v>
      </c>
      <c r="K23" s="307">
        <f t="shared" ca="1" si="15"/>
        <v>593.7398905906914</v>
      </c>
      <c r="L23" s="304">
        <f t="shared" ca="1" si="0"/>
        <v>609.72134140700973</v>
      </c>
      <c r="M23" s="306">
        <f t="shared" ca="1" si="16"/>
        <v>1.3134403889982098</v>
      </c>
      <c r="N23" s="304">
        <f t="shared" ca="1" si="17"/>
        <v>75.254590931618509</v>
      </c>
      <c r="P23" s="310">
        <f t="shared" ca="1" si="18"/>
        <v>3</v>
      </c>
      <c r="Q23" s="304">
        <f t="shared" ca="1" si="19"/>
        <v>197.50000000000034</v>
      </c>
      <c r="R23" s="306">
        <f t="shared" ca="1" si="20"/>
        <v>0.10482308340353851</v>
      </c>
      <c r="S23" s="307">
        <f t="shared" ca="1" si="21"/>
        <v>2.9919277939168563</v>
      </c>
      <c r="T23" s="304">
        <f t="shared" ca="1" si="1"/>
        <v>29.350811658324361</v>
      </c>
      <c r="U23" s="311">
        <f t="shared" ca="1" si="2"/>
        <v>0</v>
      </c>
      <c r="V23" s="306">
        <f t="shared" ca="1" si="3"/>
        <v>1.1543638387356814</v>
      </c>
      <c r="W23" s="304">
        <f t="shared" ca="1" si="4"/>
        <v>60.460829968368856</v>
      </c>
      <c r="Y23" s="314" t="str">
        <f t="shared" ca="1" si="22"/>
        <v/>
      </c>
      <c r="Z23" s="315" t="str">
        <f t="shared" ca="1" si="23"/>
        <v/>
      </c>
      <c r="AA23" s="316" t="str">
        <f t="shared" ca="1" si="24"/>
        <v/>
      </c>
      <c r="AC23" s="310" t="e">
        <f t="shared" ca="1" si="25"/>
        <v>#N/A</v>
      </c>
      <c r="AD23" s="323" t="e">
        <f t="shared" ca="1" si="26"/>
        <v>#N/A</v>
      </c>
      <c r="AE23" s="324">
        <f t="shared" ca="1" si="5"/>
        <v>593.7398905906914</v>
      </c>
      <c r="AG23" s="306">
        <f t="shared" ca="1" si="27"/>
        <v>36.404273023645501</v>
      </c>
      <c r="AH23" s="304">
        <f t="shared" ca="1" si="28"/>
        <v>45.891582574437571</v>
      </c>
    </row>
    <row r="24" spans="1:34" x14ac:dyDescent="0.2">
      <c r="A24" s="347">
        <f t="shared" ca="1" si="6"/>
        <v>0.01</v>
      </c>
      <c r="B24" s="304">
        <f t="shared" ca="1" si="7"/>
        <v>4.7999999999999954</v>
      </c>
      <c r="D24" s="306">
        <f t="shared" ca="1" si="8"/>
        <v>11.588681355470337</v>
      </c>
      <c r="E24" s="307">
        <f t="shared" ca="1" si="9"/>
        <v>34.221224250979375</v>
      </c>
      <c r="F24" s="304">
        <f t="shared" ca="1" si="10"/>
        <v>36.130177480804669</v>
      </c>
      <c r="G24" s="306">
        <f t="shared" ca="1" si="11"/>
        <v>40.893672706981441</v>
      </c>
      <c r="H24" s="307">
        <f t="shared" ca="1" si="12"/>
        <v>155.27751333993345</v>
      </c>
      <c r="I24" s="304">
        <f t="shared" ca="1" si="13"/>
        <v>160.57209787662029</v>
      </c>
      <c r="J24" s="306">
        <f t="shared" ca="1" si="14"/>
        <v>139.09165292920008</v>
      </c>
      <c r="K24" s="307">
        <f t="shared" ca="1" si="15"/>
        <v>595.29095466287822</v>
      </c>
      <c r="L24" s="304">
        <f t="shared" ca="1" si="0"/>
        <v>611.32463439486719</v>
      </c>
      <c r="M24" s="306">
        <f t="shared" ca="1" si="16"/>
        <v>1.3132848896925582</v>
      </c>
      <c r="N24" s="304">
        <f t="shared" ca="1" si="17"/>
        <v>75.245681477687455</v>
      </c>
      <c r="P24" s="310">
        <f t="shared" ca="1" si="18"/>
        <v>3</v>
      </c>
      <c r="Q24" s="304">
        <f t="shared" ca="1" si="19"/>
        <v>196.63793103448313</v>
      </c>
      <c r="R24" s="306">
        <f t="shared" ca="1" si="20"/>
        <v>0.10436554048165489</v>
      </c>
      <c r="S24" s="307">
        <f t="shared" ca="1" si="21"/>
        <v>2.9908841385120395</v>
      </c>
      <c r="T24" s="304">
        <f t="shared" ca="1" si="1"/>
        <v>29.340573398803109</v>
      </c>
      <c r="U24" s="311">
        <f t="shared" ca="1" si="2"/>
        <v>0</v>
      </c>
      <c r="V24" s="306">
        <f t="shared" ca="1" si="3"/>
        <v>1.1541846450659707</v>
      </c>
      <c r="W24" s="304">
        <f t="shared" ca="1" si="4"/>
        <v>60.723754605909441</v>
      </c>
      <c r="Y24" s="314" t="str">
        <f t="shared" ca="1" si="22"/>
        <v/>
      </c>
      <c r="Z24" s="315" t="str">
        <f t="shared" ca="1" si="23"/>
        <v/>
      </c>
      <c r="AA24" s="316" t="str">
        <f t="shared" ca="1" si="24"/>
        <v/>
      </c>
      <c r="AC24" s="310" t="e">
        <f t="shared" ca="1" si="25"/>
        <v>#N/A</v>
      </c>
      <c r="AD24" s="323" t="e">
        <f t="shared" ca="1" si="26"/>
        <v>#N/A</v>
      </c>
      <c r="AE24" s="324">
        <f t="shared" ca="1" si="5"/>
        <v>595.29095466287822</v>
      </c>
      <c r="AG24" s="306">
        <f t="shared" ca="1" si="27"/>
        <v>36.04379683493228</v>
      </c>
      <c r="AH24" s="304">
        <f t="shared" ca="1" si="28"/>
        <v>45.530717593715352</v>
      </c>
    </row>
    <row r="25" spans="1:34" x14ac:dyDescent="0.2">
      <c r="A25" s="347">
        <f t="shared" ca="1" si="6"/>
        <v>0.01</v>
      </c>
      <c r="B25" s="304">
        <f t="shared" ca="1" si="7"/>
        <v>4.8099999999999952</v>
      </c>
      <c r="D25" s="306">
        <f t="shared" ca="1" si="8"/>
        <v>11.503731015507721</v>
      </c>
      <c r="E25" s="307">
        <f t="shared" ca="1" si="9"/>
        <v>33.870858870730665</v>
      </c>
      <c r="F25" s="304">
        <f t="shared" ca="1" si="10"/>
        <v>35.771090393194733</v>
      </c>
      <c r="G25" s="306">
        <f t="shared" ca="1" si="11"/>
        <v>41.008710017136515</v>
      </c>
      <c r="H25" s="307">
        <f t="shared" ca="1" si="12"/>
        <v>155.61622192864075</v>
      </c>
      <c r="I25" s="304">
        <f t="shared" ca="1" si="13"/>
        <v>160.92893718847947</v>
      </c>
      <c r="J25" s="306">
        <f t="shared" ca="1" si="14"/>
        <v>139.50116484282066</v>
      </c>
      <c r="K25" s="307">
        <f t="shared" ca="1" si="15"/>
        <v>596.84542333922104</v>
      </c>
      <c r="L25" s="304">
        <f t="shared" ca="1" si="0"/>
        <v>612.93150869691613</v>
      </c>
      <c r="M25" s="306">
        <f t="shared" ca="1" si="16"/>
        <v>1.3131296435201976</v>
      </c>
      <c r="N25" s="304">
        <f t="shared" ca="1" si="17"/>
        <v>75.236786527225632</v>
      </c>
      <c r="P25" s="310">
        <f t="shared" ca="1" si="18"/>
        <v>3</v>
      </c>
      <c r="Q25" s="304">
        <f t="shared" ca="1" si="19"/>
        <v>195.77586206896589</v>
      </c>
      <c r="R25" s="306">
        <f t="shared" ca="1" si="20"/>
        <v>0.10390799755977127</v>
      </c>
      <c r="S25" s="307">
        <f t="shared" ca="1" si="21"/>
        <v>2.9898450585364418</v>
      </c>
      <c r="T25" s="304">
        <f t="shared" ca="1" si="1"/>
        <v>29.330380024242494</v>
      </c>
      <c r="U25" s="311">
        <f t="shared" ca="1" si="2"/>
        <v>0</v>
      </c>
      <c r="V25" s="306">
        <f t="shared" ca="1" si="3"/>
        <v>1.1540050851416241</v>
      </c>
      <c r="W25" s="304">
        <f t="shared" ca="1" si="4"/>
        <v>60.984458241524834</v>
      </c>
      <c r="Y25" s="314" t="str">
        <f t="shared" ca="1" si="22"/>
        <v/>
      </c>
      <c r="Z25" s="315" t="str">
        <f t="shared" ca="1" si="23"/>
        <v/>
      </c>
      <c r="AA25" s="316" t="str">
        <f t="shared" ca="1" si="24"/>
        <v/>
      </c>
      <c r="AC25" s="310" t="e">
        <f t="shared" ca="1" si="25"/>
        <v>#N/A</v>
      </c>
      <c r="AD25" s="323" t="e">
        <f t="shared" ca="1" si="26"/>
        <v>#N/A</v>
      </c>
      <c r="AE25" s="324">
        <f t="shared" ca="1" si="5"/>
        <v>596.84542333922104</v>
      </c>
      <c r="AG25" s="306">
        <f t="shared" ca="1" si="27"/>
        <v>35.683737255490414</v>
      </c>
      <c r="AH25" s="304">
        <f t="shared" ca="1" si="28"/>
        <v>45.170269635700038</v>
      </c>
    </row>
    <row r="26" spans="1:34" x14ac:dyDescent="0.2">
      <c r="A26" s="347">
        <f t="shared" ca="1" si="6"/>
        <v>0.01</v>
      </c>
      <c r="B26" s="304">
        <f t="shared" ca="1" si="7"/>
        <v>4.819999999999995</v>
      </c>
      <c r="D26" s="306">
        <f t="shared" ca="1" si="8"/>
        <v>11.418769042682275</v>
      </c>
      <c r="E26" s="307">
        <f t="shared" ca="1" si="9"/>
        <v>33.52093376395883</v>
      </c>
      <c r="F26" s="304">
        <f t="shared" ca="1" si="10"/>
        <v>35.412445366817501</v>
      </c>
      <c r="G26" s="306">
        <f t="shared" ca="1" si="11"/>
        <v>41.12289770756334</v>
      </c>
      <c r="H26" s="307">
        <f t="shared" ca="1" si="12"/>
        <v>155.95143126628034</v>
      </c>
      <c r="I26" s="304">
        <f t="shared" ca="1" si="13"/>
        <v>161.28218013738552</v>
      </c>
      <c r="J26" s="306">
        <f t="shared" ca="1" si="14"/>
        <v>139.91182288144415</v>
      </c>
      <c r="K26" s="307">
        <f t="shared" ca="1" si="15"/>
        <v>598.40326160519567</v>
      </c>
      <c r="L26" s="304">
        <f t="shared" ca="1" si="0"/>
        <v>614.54192833503623</v>
      </c>
      <c r="M26" s="306">
        <f t="shared" ca="1" si="16"/>
        <v>1.3129746460575127</v>
      </c>
      <c r="N26" s="304">
        <f t="shared" ca="1" si="17"/>
        <v>75.227905826778553</v>
      </c>
      <c r="P26" s="310">
        <f t="shared" ca="1" si="18"/>
        <v>3</v>
      </c>
      <c r="Q26" s="304">
        <f t="shared" ca="1" si="19"/>
        <v>194.91379310344868</v>
      </c>
      <c r="R26" s="306">
        <f t="shared" ca="1" si="20"/>
        <v>0.10345045463788767</v>
      </c>
      <c r="S26" s="307">
        <f t="shared" ca="1" si="21"/>
        <v>2.9888105539900631</v>
      </c>
      <c r="T26" s="304">
        <f t="shared" ca="1" si="1"/>
        <v>29.32023153464252</v>
      </c>
      <c r="U26" s="311">
        <f t="shared" ca="1" si="2"/>
        <v>0</v>
      </c>
      <c r="V26" s="306">
        <f t="shared" ca="1" si="3"/>
        <v>1.1538251631782803</v>
      </c>
      <c r="W26" s="304">
        <f t="shared" ca="1" si="4"/>
        <v>61.242926895946162</v>
      </c>
      <c r="Y26" s="314" t="str">
        <f t="shared" ca="1" si="22"/>
        <v/>
      </c>
      <c r="Z26" s="315" t="str">
        <f t="shared" ca="1" si="23"/>
        <v/>
      </c>
      <c r="AA26" s="316" t="str">
        <f t="shared" ca="1" si="24"/>
        <v/>
      </c>
      <c r="AC26" s="310" t="e">
        <f t="shared" ca="1" si="25"/>
        <v>#N/A</v>
      </c>
      <c r="AD26" s="323" t="e">
        <f t="shared" ca="1" si="26"/>
        <v>#N/A</v>
      </c>
      <c r="AE26" s="324">
        <f t="shared" ca="1" si="5"/>
        <v>598.40326160519567</v>
      </c>
      <c r="AG26" s="306">
        <f t="shared" ca="1" si="27"/>
        <v>35.324101156733732</v>
      </c>
      <c r="AH26" s="304">
        <f t="shared" ca="1" si="28"/>
        <v>44.810245561776455</v>
      </c>
    </row>
    <row r="27" spans="1:34" x14ac:dyDescent="0.2">
      <c r="A27" s="347">
        <f t="shared" ca="1" si="6"/>
        <v>0.01</v>
      </c>
      <c r="B27" s="304">
        <f t="shared" ca="1" si="7"/>
        <v>4.8299999999999947</v>
      </c>
      <c r="D27" s="306">
        <f t="shared" ca="1" si="8"/>
        <v>11.333797817209685</v>
      </c>
      <c r="E27" s="307">
        <f t="shared" ca="1" si="9"/>
        <v>33.171455340181694</v>
      </c>
      <c r="F27" s="304">
        <f t="shared" ca="1" si="10"/>
        <v>35.054249704523066</v>
      </c>
      <c r="G27" s="306">
        <f t="shared" ca="1" si="11"/>
        <v>41.236235685735437</v>
      </c>
      <c r="H27" s="307">
        <f t="shared" ca="1" si="12"/>
        <v>156.28314581968215</v>
      </c>
      <c r="I27" s="304">
        <f t="shared" ca="1" si="13"/>
        <v>161.63183102602517</v>
      </c>
      <c r="J27" s="306">
        <f t="shared" ca="1" si="14"/>
        <v>140.32361854841065</v>
      </c>
      <c r="K27" s="307">
        <f t="shared" ca="1" si="15"/>
        <v>599.96443449062554</v>
      </c>
      <c r="L27" s="304">
        <f t="shared" ca="1" si="0"/>
        <v>616.15585737390825</v>
      </c>
      <c r="M27" s="306">
        <f t="shared" ca="1" si="16"/>
        <v>1.3128198929280002</v>
      </c>
      <c r="N27" s="304">
        <f t="shared" ca="1" si="17"/>
        <v>75.219039125591038</v>
      </c>
      <c r="P27" s="310">
        <f t="shared" ca="1" si="18"/>
        <v>3</v>
      </c>
      <c r="Q27" s="304">
        <f t="shared" ca="1" si="19"/>
        <v>194.05172413793144</v>
      </c>
      <c r="R27" s="306">
        <f t="shared" ca="1" si="20"/>
        <v>0.10299291171600404</v>
      </c>
      <c r="S27" s="307">
        <f t="shared" ca="1" si="21"/>
        <v>2.9877806248729031</v>
      </c>
      <c r="T27" s="304">
        <f t="shared" ca="1" si="1"/>
        <v>29.31012793000318</v>
      </c>
      <c r="U27" s="311">
        <f t="shared" ca="1" si="2"/>
        <v>0</v>
      </c>
      <c r="V27" s="306">
        <f t="shared" ca="1" si="3"/>
        <v>1.1536448833843154</v>
      </c>
      <c r="W27" s="304">
        <f t="shared" ca="1" si="4"/>
        <v>61.499146869381988</v>
      </c>
      <c r="Y27" s="314" t="str">
        <f t="shared" ca="1" si="22"/>
        <v/>
      </c>
      <c r="Z27" s="315" t="str">
        <f t="shared" ca="1" si="23"/>
        <v/>
      </c>
      <c r="AA27" s="316" t="str">
        <f t="shared" ca="1" si="24"/>
        <v/>
      </c>
      <c r="AC27" s="310" t="e">
        <f t="shared" ca="1" si="25"/>
        <v>#N/A</v>
      </c>
      <c r="AD27" s="323" t="e">
        <f t="shared" ca="1" si="26"/>
        <v>#N/A</v>
      </c>
      <c r="AE27" s="324">
        <f t="shared" ca="1" si="5"/>
        <v>599.96443449062554</v>
      </c>
      <c r="AG27" s="306">
        <f t="shared" ca="1" si="27"/>
        <v>34.964895321718004</v>
      </c>
      <c r="AH27" s="304">
        <f t="shared" ca="1" si="28"/>
        <v>44.450652145063302</v>
      </c>
    </row>
    <row r="28" spans="1:34" x14ac:dyDescent="0.2">
      <c r="A28" s="347">
        <f t="shared" ca="1" si="6"/>
        <v>0.01</v>
      </c>
      <c r="B28" s="304">
        <f t="shared" ca="1" si="7"/>
        <v>4.8399999999999945</v>
      </c>
      <c r="D28" s="306">
        <f t="shared" ca="1" si="8"/>
        <v>11.248819692004551</v>
      </c>
      <c r="E28" s="307">
        <f t="shared" ca="1" si="9"/>
        <v>32.822429924562478</v>
      </c>
      <c r="F28" s="304">
        <f t="shared" ca="1" si="10"/>
        <v>34.696510640351768</v>
      </c>
      <c r="G28" s="306">
        <f t="shared" ca="1" si="11"/>
        <v>41.348723882655484</v>
      </c>
      <c r="H28" s="307">
        <f t="shared" ca="1" si="12"/>
        <v>156.61137011892777</v>
      </c>
      <c r="I28" s="304">
        <f t="shared" ca="1" si="13"/>
        <v>161.97789422403253</v>
      </c>
      <c r="J28" s="306">
        <f t="shared" ca="1" si="14"/>
        <v>140.7365433462526</v>
      </c>
      <c r="K28" s="307">
        <f t="shared" ca="1" si="15"/>
        <v>601.52890707031861</v>
      </c>
      <c r="L28" s="304">
        <f t="shared" ca="1" si="0"/>
        <v>617.77325992168335</v>
      </c>
      <c r="M28" s="306">
        <f t="shared" ca="1" si="16"/>
        <v>1.3126653798013435</v>
      </c>
      <c r="N28" s="304">
        <f t="shared" ca="1" si="17"/>
        <v>75.210186175554242</v>
      </c>
      <c r="P28" s="310">
        <f t="shared" ca="1" si="18"/>
        <v>3</v>
      </c>
      <c r="Q28" s="304">
        <f t="shared" ca="1" si="19"/>
        <v>193.18965517241423</v>
      </c>
      <c r="R28" s="306">
        <f t="shared" ca="1" si="20"/>
        <v>0.10253536879412044</v>
      </c>
      <c r="S28" s="307">
        <f t="shared" ca="1" si="21"/>
        <v>2.9867552711849621</v>
      </c>
      <c r="T28" s="304">
        <f t="shared" ca="1" si="1"/>
        <v>29.30006921032448</v>
      </c>
      <c r="U28" s="311">
        <f t="shared" ca="1" si="2"/>
        <v>0</v>
      </c>
      <c r="V28" s="306">
        <f t="shared" ca="1" si="3"/>
        <v>1.1534642499607639</v>
      </c>
      <c r="W28" s="304">
        <f t="shared" ca="1" si="4"/>
        <v>61.75310474043139</v>
      </c>
      <c r="Y28" s="314" t="str">
        <f t="shared" ca="1" si="22"/>
        <v/>
      </c>
      <c r="Z28" s="315" t="str">
        <f t="shared" ca="1" si="23"/>
        <v/>
      </c>
      <c r="AA28" s="316" t="str">
        <f t="shared" ca="1" si="24"/>
        <v/>
      </c>
      <c r="AC28" s="310" t="e">
        <f t="shared" ca="1" si="25"/>
        <v>#N/A</v>
      </c>
      <c r="AD28" s="323" t="e">
        <f t="shared" ca="1" si="26"/>
        <v>#N/A</v>
      </c>
      <c r="AE28" s="324">
        <f t="shared" ca="1" si="5"/>
        <v>601.52890707031861</v>
      </c>
      <c r="AG28" s="306">
        <f t="shared" ca="1" si="27"/>
        <v>34.606126445241514</v>
      </c>
      <c r="AH28" s="304">
        <f t="shared" ca="1" si="28"/>
        <v>44.091496070511823</v>
      </c>
    </row>
    <row r="29" spans="1:34" x14ac:dyDescent="0.2">
      <c r="A29" s="347">
        <f t="shared" ca="1" si="6"/>
        <v>0.01</v>
      </c>
      <c r="B29" s="304">
        <f t="shared" ca="1" si="7"/>
        <v>4.8499999999999943</v>
      </c>
      <c r="D29" s="306">
        <f t="shared" ca="1" si="8"/>
        <v>11.163836992767147</v>
      </c>
      <c r="E29" s="307">
        <f t="shared" ca="1" si="9"/>
        <v>32.473863758006473</v>
      </c>
      <c r="F29" s="304">
        <f t="shared" ca="1" si="10"/>
        <v>34.339235340564045</v>
      </c>
      <c r="G29" s="306">
        <f t="shared" ca="1" si="11"/>
        <v>41.460362252583153</v>
      </c>
      <c r="H29" s="307">
        <f t="shared" ca="1" si="12"/>
        <v>156.93610875650782</v>
      </c>
      <c r="I29" s="304">
        <f t="shared" ca="1" si="13"/>
        <v>162.32037416710779</v>
      </c>
      <c r="J29" s="306">
        <f t="shared" ca="1" si="14"/>
        <v>141.1505887769288</v>
      </c>
      <c r="K29" s="307">
        <f t="shared" ca="1" si="15"/>
        <v>603.09664446469583</v>
      </c>
      <c r="L29" s="304">
        <f t="shared" ca="1" si="0"/>
        <v>619.39410013064332</v>
      </c>
      <c r="M29" s="306">
        <f t="shared" ca="1" si="16"/>
        <v>1.3125111023925065</v>
      </c>
      <c r="N29" s="304">
        <f t="shared" ca="1" si="17"/>
        <v>75.201346731153663</v>
      </c>
      <c r="P29" s="310">
        <f t="shared" ca="1" si="18"/>
        <v>3</v>
      </c>
      <c r="Q29" s="304">
        <f t="shared" ca="1" si="19"/>
        <v>192.327586206897</v>
      </c>
      <c r="R29" s="306">
        <f t="shared" ca="1" si="20"/>
        <v>0.10207782587223681</v>
      </c>
      <c r="S29" s="307">
        <f t="shared" ca="1" si="21"/>
        <v>2.9857344929262397</v>
      </c>
      <c r="T29" s="304">
        <f t="shared" ca="1" si="1"/>
        <v>29.290055375606414</v>
      </c>
      <c r="U29" s="311">
        <f t="shared" ca="1" si="2"/>
        <v>0</v>
      </c>
      <c r="V29" s="306">
        <f t="shared" ca="1" si="3"/>
        <v>1.1532832671012356</v>
      </c>
      <c r="W29" s="304">
        <f t="shared" ca="1" si="4"/>
        <v>62.004787364971698</v>
      </c>
      <c r="Y29" s="314" t="str">
        <f t="shared" ca="1" si="22"/>
        <v/>
      </c>
      <c r="Z29" s="315" t="str">
        <f t="shared" ca="1" si="23"/>
        <v/>
      </c>
      <c r="AA29" s="316" t="str">
        <f t="shared" ca="1" si="24"/>
        <v/>
      </c>
      <c r="AC29" s="310" t="e">
        <f t="shared" ca="1" si="25"/>
        <v>#N/A</v>
      </c>
      <c r="AD29" s="323" t="e">
        <f t="shared" ca="1" si="26"/>
        <v>#N/A</v>
      </c>
      <c r="AE29" s="324">
        <f t="shared" ca="1" si="5"/>
        <v>603.09664446469583</v>
      </c>
      <c r="AG29" s="306">
        <f t="shared" ca="1" si="27"/>
        <v>34.247801133956401</v>
      </c>
      <c r="AH29" s="304">
        <f t="shared" ca="1" si="28"/>
        <v>43.73278393501527</v>
      </c>
    </row>
    <row r="30" spans="1:34" x14ac:dyDescent="0.2">
      <c r="A30" s="347">
        <f t="shared" ca="1" si="6"/>
        <v>0.01</v>
      </c>
      <c r="B30" s="304">
        <f t="shared" ca="1" si="7"/>
        <v>4.8599999999999941</v>
      </c>
      <c r="D30" s="306">
        <f t="shared" ca="1" si="8"/>
        <v>11.078852018070906</v>
      </c>
      <c r="E30" s="307">
        <f t="shared" ca="1" si="9"/>
        <v>32.125762997268673</v>
      </c>
      <c r="F30" s="304">
        <f t="shared" ca="1" si="10"/>
        <v>33.982430904733562</v>
      </c>
      <c r="G30" s="306">
        <f t="shared" ca="1" si="11"/>
        <v>41.571150772763865</v>
      </c>
      <c r="H30" s="307">
        <f t="shared" ca="1" si="12"/>
        <v>157.2573663864805</v>
      </c>
      <c r="I30" s="304">
        <f t="shared" ca="1" si="13"/>
        <v>162.6592753561371</v>
      </c>
      <c r="J30" s="306">
        <f t="shared" ca="1" si="14"/>
        <v>141.56574634205555</v>
      </c>
      <c r="K30" s="307">
        <f t="shared" ca="1" si="15"/>
        <v>604.66761184041081</v>
      </c>
      <c r="L30" s="304">
        <f t="shared" ca="1" si="0"/>
        <v>621.01834219785246</v>
      </c>
      <c r="M30" s="306">
        <f t="shared" ca="1" si="16"/>
        <v>1.3123570564608467</v>
      </c>
      <c r="N30" s="304">
        <f t="shared" ca="1" si="17"/>
        <v>75.192520549418404</v>
      </c>
      <c r="P30" s="310">
        <f t="shared" ca="1" si="18"/>
        <v>3</v>
      </c>
      <c r="Q30" s="304">
        <f t="shared" ca="1" si="19"/>
        <v>191.46551724137979</v>
      </c>
      <c r="R30" s="306">
        <f t="shared" ca="1" si="20"/>
        <v>0.10162028295035321</v>
      </c>
      <c r="S30" s="307">
        <f t="shared" ca="1" si="21"/>
        <v>2.9847182900967364</v>
      </c>
      <c r="T30" s="304">
        <f t="shared" ca="1" si="1"/>
        <v>29.280086425848985</v>
      </c>
      <c r="U30" s="311">
        <f t="shared" ca="1" si="2"/>
        <v>0</v>
      </c>
      <c r="V30" s="306">
        <f t="shared" ca="1" si="3"/>
        <v>1.153101938991838</v>
      </c>
      <c r="W30" s="304">
        <f t="shared" ca="1" si="4"/>
        <v>62.254181875021821</v>
      </c>
      <c r="Y30" s="314" t="str">
        <f t="shared" ca="1" si="22"/>
        <v/>
      </c>
      <c r="Z30" s="315" t="str">
        <f t="shared" ca="1" si="23"/>
        <v/>
      </c>
      <c r="AA30" s="316" t="str">
        <f t="shared" ca="1" si="24"/>
        <v/>
      </c>
      <c r="AC30" s="310" t="e">
        <f t="shared" ca="1" si="25"/>
        <v>#N/A</v>
      </c>
      <c r="AD30" s="323" t="e">
        <f t="shared" ca="1" si="26"/>
        <v>#N/A</v>
      </c>
      <c r="AE30" s="324">
        <f t="shared" ca="1" si="5"/>
        <v>604.66761184041081</v>
      </c>
      <c r="AG30" s="306">
        <f t="shared" ca="1" si="27"/>
        <v>33.889925906490717</v>
      </c>
      <c r="AH30" s="304">
        <f t="shared" ca="1" si="28"/>
        <v>43.374522247529164</v>
      </c>
    </row>
    <row r="31" spans="1:34" x14ac:dyDescent="0.2">
      <c r="A31" s="347">
        <f t="shared" ca="1" si="6"/>
        <v>0.01</v>
      </c>
      <c r="B31" s="304">
        <f t="shared" ca="1" si="7"/>
        <v>4.8699999999999939</v>
      </c>
      <c r="D31" s="306">
        <f t="shared" ca="1" si="8"/>
        <v>10.993867039450496</v>
      </c>
      <c r="E31" s="307">
        <f t="shared" ca="1" si="9"/>
        <v>31.778133715071888</v>
      </c>
      <c r="F31" s="304">
        <f t="shared" ca="1" si="10"/>
        <v>33.626104366906745</v>
      </c>
      <c r="G31" s="306">
        <f t="shared" ca="1" si="11"/>
        <v>41.68108944315837</v>
      </c>
      <c r="H31" s="307">
        <f t="shared" ca="1" si="12"/>
        <v>157.5751477236312</v>
      </c>
      <c r="I31" s="304">
        <f t="shared" ca="1" si="13"/>
        <v>162.99460235631352</v>
      </c>
      <c r="J31" s="306">
        <f t="shared" ca="1" si="14"/>
        <v>141.98200754313515</v>
      </c>
      <c r="K31" s="307">
        <f t="shared" ca="1" si="15"/>
        <v>606.2417744109614</v>
      </c>
      <c r="L31" s="304">
        <f t="shared" ca="1" si="0"/>
        <v>622.64595036579965</v>
      </c>
      <c r="M31" s="306">
        <f t="shared" ca="1" si="16"/>
        <v>1.3122032378092467</v>
      </c>
      <c r="N31" s="304">
        <f t="shared" ca="1" si="17"/>
        <v>75.18370738987133</v>
      </c>
      <c r="P31" s="310">
        <f t="shared" ca="1" si="18"/>
        <v>3</v>
      </c>
      <c r="Q31" s="304">
        <f t="shared" ca="1" si="19"/>
        <v>190.60344827586255</v>
      </c>
      <c r="R31" s="306">
        <f t="shared" ca="1" si="20"/>
        <v>0.10116274002846957</v>
      </c>
      <c r="S31" s="307">
        <f t="shared" ca="1" si="21"/>
        <v>2.9837066626964517</v>
      </c>
      <c r="T31" s="304">
        <f t="shared" ca="1" si="1"/>
        <v>29.270162361052193</v>
      </c>
      <c r="U31" s="311">
        <f t="shared" ca="1" si="2"/>
        <v>0</v>
      </c>
      <c r="V31" s="306">
        <f t="shared" ca="1" si="3"/>
        <v>1.1529202698110965</v>
      </c>
      <c r="W31" s="304">
        <f t="shared" ca="1" si="4"/>
        <v>62.501275677580736</v>
      </c>
      <c r="Y31" s="314" t="str">
        <f t="shared" ca="1" si="22"/>
        <v/>
      </c>
      <c r="Z31" s="315" t="str">
        <f t="shared" ca="1" si="23"/>
        <v/>
      </c>
      <c r="AA31" s="316" t="str">
        <f t="shared" ca="1" si="24"/>
        <v/>
      </c>
      <c r="AC31" s="310" t="e">
        <f t="shared" ca="1" si="25"/>
        <v>#N/A</v>
      </c>
      <c r="AD31" s="323" t="e">
        <f t="shared" ca="1" si="26"/>
        <v>#N/A</v>
      </c>
      <c r="AE31" s="324">
        <f t="shared" ca="1" si="5"/>
        <v>606.2417744109614</v>
      </c>
      <c r="AG31" s="306">
        <f t="shared" ca="1" si="27"/>
        <v>33.532507193581026</v>
      </c>
      <c r="AH31" s="304">
        <f t="shared" ca="1" si="28"/>
        <v>43.016717429202046</v>
      </c>
    </row>
    <row r="32" spans="1:34" x14ac:dyDescent="0.2">
      <c r="A32" s="347">
        <f t="shared" ca="1" si="6"/>
        <v>0.01</v>
      </c>
      <c r="B32" s="304">
        <f t="shared" ca="1" si="7"/>
        <v>4.8799999999999937</v>
      </c>
      <c r="D32" s="306">
        <f t="shared" ca="1" si="8"/>
        <v>10.908884301490664</v>
      </c>
      <c r="E32" s="307">
        <f t="shared" ca="1" si="9"/>
        <v>31.430981900235537</v>
      </c>
      <c r="F32" s="304">
        <f t="shared" ca="1" si="10"/>
        <v>33.270262696832489</v>
      </c>
      <c r="G32" s="306">
        <f t="shared" ca="1" si="11"/>
        <v>41.79017828617328</v>
      </c>
      <c r="H32" s="307">
        <f t="shared" ca="1" si="12"/>
        <v>157.88945754263355</v>
      </c>
      <c r="I32" s="304">
        <f t="shared" ca="1" si="13"/>
        <v>163.32635979625957</v>
      </c>
      <c r="J32" s="306">
        <f t="shared" ca="1" si="14"/>
        <v>142.39936388178182</v>
      </c>
      <c r="K32" s="307">
        <f t="shared" ca="1" si="15"/>
        <v>607.81909743729273</v>
      </c>
      <c r="L32" s="304">
        <f t="shared" ca="1" si="0"/>
        <v>624.27688892303331</v>
      </c>
      <c r="M32" s="306">
        <f t="shared" ca="1" si="16"/>
        <v>1.3120496422832628</v>
      </c>
      <c r="N32" s="304">
        <f t="shared" ca="1" si="17"/>
        <v>75.174907014480354</v>
      </c>
      <c r="P32" s="310">
        <f t="shared" ca="1" si="18"/>
        <v>3</v>
      </c>
      <c r="Q32" s="304">
        <f t="shared" ca="1" si="19"/>
        <v>189.74137931034534</v>
      </c>
      <c r="R32" s="306">
        <f t="shared" ca="1" si="20"/>
        <v>0.10070519710658597</v>
      </c>
      <c r="S32" s="307">
        <f t="shared" ca="1" si="21"/>
        <v>2.982699610725386</v>
      </c>
      <c r="T32" s="304">
        <f t="shared" ca="1" si="1"/>
        <v>29.260283181216039</v>
      </c>
      <c r="U32" s="311">
        <f t="shared" ca="1" si="2"/>
        <v>0</v>
      </c>
      <c r="V32" s="306">
        <f t="shared" ca="1" si="3"/>
        <v>1.1527382637298798</v>
      </c>
      <c r="W32" s="304">
        <f t="shared" ca="1" si="4"/>
        <v>62.746056453442677</v>
      </c>
      <c r="Y32" s="314" t="str">
        <f t="shared" ca="1" si="22"/>
        <v/>
      </c>
      <c r="Z32" s="315" t="str">
        <f t="shared" ca="1" si="23"/>
        <v/>
      </c>
      <c r="AA32" s="316" t="str">
        <f t="shared" ca="1" si="24"/>
        <v/>
      </c>
      <c r="AC32" s="310" t="e">
        <f t="shared" ca="1" si="25"/>
        <v>#N/A</v>
      </c>
      <c r="AD32" s="323" t="e">
        <f t="shared" ca="1" si="26"/>
        <v>#N/A</v>
      </c>
      <c r="AE32" s="324">
        <f t="shared" ca="1" si="5"/>
        <v>607.81909743729273</v>
      </c>
      <c r="AG32" s="306">
        <f t="shared" ca="1" si="27"/>
        <v>33.175551338215449</v>
      </c>
      <c r="AH32" s="304">
        <f t="shared" ca="1" si="28"/>
        <v>42.659375813516831</v>
      </c>
    </row>
    <row r="33" spans="1:34" x14ac:dyDescent="0.2">
      <c r="A33" s="347">
        <f t="shared" ca="1" si="6"/>
        <v>0.01</v>
      </c>
      <c r="B33" s="304">
        <f t="shared" ca="1" si="7"/>
        <v>4.8899999999999935</v>
      </c>
      <c r="D33" s="306">
        <f t="shared" ca="1" si="8"/>
        <v>10.823906021915766</v>
      </c>
      <c r="E33" s="307">
        <f t="shared" ca="1" si="9"/>
        <v>31.084313457814538</v>
      </c>
      <c r="F33" s="304">
        <f t="shared" ca="1" si="10"/>
        <v>32.914912801265849</v>
      </c>
      <c r="G33" s="306">
        <f t="shared" ca="1" si="11"/>
        <v>41.898417346392435</v>
      </c>
      <c r="H33" s="307">
        <f t="shared" ca="1" si="12"/>
        <v>158.20030067721169</v>
      </c>
      <c r="I33" s="304">
        <f t="shared" ca="1" si="13"/>
        <v>163.6545523671513</v>
      </c>
      <c r="J33" s="306">
        <f t="shared" ca="1" si="14"/>
        <v>142.81780685994465</v>
      </c>
      <c r="K33" s="307">
        <f t="shared" ca="1" si="15"/>
        <v>609.39954622839196</v>
      </c>
      <c r="L33" s="304">
        <f t="shared" ca="1" si="0"/>
        <v>625.9111222047859</v>
      </c>
      <c r="M33" s="306">
        <f t="shared" ca="1" si="16"/>
        <v>1.3118962657702922</v>
      </c>
      <c r="N33" s="304">
        <f t="shared" ca="1" si="17"/>
        <v>75.166119187610704</v>
      </c>
      <c r="P33" s="310">
        <f t="shared" ca="1" si="18"/>
        <v>3</v>
      </c>
      <c r="Q33" s="304">
        <f t="shared" ca="1" si="19"/>
        <v>188.8793103448281</v>
      </c>
      <c r="R33" s="306">
        <f t="shared" ca="1" si="20"/>
        <v>0.10024765418470236</v>
      </c>
      <c r="S33" s="307">
        <f t="shared" ca="1" si="21"/>
        <v>2.981697134183539</v>
      </c>
      <c r="T33" s="304">
        <f t="shared" ca="1" si="1"/>
        <v>29.250448886340518</v>
      </c>
      <c r="U33" s="311">
        <f t="shared" ca="1" si="2"/>
        <v>0</v>
      </c>
      <c r="V33" s="306">
        <f t="shared" ca="1" si="3"/>
        <v>1.1525559249113209</v>
      </c>
      <c r="W33" s="304">
        <f t="shared" ca="1" si="4"/>
        <v>62.988512155988751</v>
      </c>
      <c r="Y33" s="314" t="str">
        <f t="shared" ca="1" si="22"/>
        <v/>
      </c>
      <c r="Z33" s="315" t="str">
        <f t="shared" ca="1" si="23"/>
        <v/>
      </c>
      <c r="AA33" s="316" t="str">
        <f t="shared" ca="1" si="24"/>
        <v/>
      </c>
      <c r="AC33" s="310" t="e">
        <f t="shared" ca="1" si="25"/>
        <v>#N/A</v>
      </c>
      <c r="AD33" s="323" t="e">
        <f t="shared" ca="1" si="26"/>
        <v>#N/A</v>
      </c>
      <c r="AE33" s="324">
        <f t="shared" ca="1" si="5"/>
        <v>609.39954622839196</v>
      </c>
      <c r="AG33" s="306">
        <f t="shared" ca="1" si="27"/>
        <v>32.819064595786848</v>
      </c>
      <c r="AH33" s="304">
        <f t="shared" ca="1" si="28"/>
        <v>42.302503646442204</v>
      </c>
    </row>
    <row r="34" spans="1:34" x14ac:dyDescent="0.2">
      <c r="A34" s="347">
        <f t="shared" ca="1" si="6"/>
        <v>0.01</v>
      </c>
      <c r="B34" s="304">
        <f t="shared" ca="1" si="7"/>
        <v>4.8999999999999932</v>
      </c>
      <c r="D34" s="306">
        <f t="shared" ca="1" si="8"/>
        <v>10.738934391680024</v>
      </c>
      <c r="E34" s="307">
        <f t="shared" ca="1" si="9"/>
        <v>30.738134209248571</v>
      </c>
      <c r="F34" s="304">
        <f t="shared" ca="1" si="10"/>
        <v>32.560061525350122</v>
      </c>
      <c r="G34" s="306">
        <f t="shared" ca="1" si="11"/>
        <v>42.005806690309235</v>
      </c>
      <c r="H34" s="307">
        <f t="shared" ca="1" si="12"/>
        <v>158.50768201930418</v>
      </c>
      <c r="I34" s="304">
        <f t="shared" ca="1" si="13"/>
        <v>163.979184821844</v>
      </c>
      <c r="J34" s="306">
        <f t="shared" ca="1" si="14"/>
        <v>143.23732798012816</v>
      </c>
      <c r="K34" s="307">
        <f t="shared" ca="1" si="15"/>
        <v>610.98308614187454</v>
      </c>
      <c r="L34" s="304">
        <f t="shared" ca="1" si="0"/>
        <v>627.54861459359154</v>
      </c>
      <c r="M34" s="306">
        <f t="shared" ca="1" si="16"/>
        <v>1.3117431041987566</v>
      </c>
      <c r="N34" s="304">
        <f t="shared" ca="1" si="17"/>
        <v>75.157343675978126</v>
      </c>
      <c r="P34" s="310">
        <f t="shared" ca="1" si="18"/>
        <v>3</v>
      </c>
      <c r="Q34" s="304">
        <f t="shared" ca="1" si="19"/>
        <v>188.01724137931089</v>
      </c>
      <c r="R34" s="306">
        <f t="shared" ca="1" si="20"/>
        <v>9.979011126281874E-2</v>
      </c>
      <c r="S34" s="307">
        <f t="shared" ca="1" si="21"/>
        <v>2.980699233070911</v>
      </c>
      <c r="T34" s="304">
        <f t="shared" ca="1" si="1"/>
        <v>29.240659476425638</v>
      </c>
      <c r="U34" s="311">
        <f t="shared" ca="1" si="2"/>
        <v>0</v>
      </c>
      <c r="V34" s="306">
        <f t="shared" ca="1" si="3"/>
        <v>1.1523732575107464</v>
      </c>
      <c r="W34" s="304">
        <f t="shared" ca="1" si="4"/>
        <v>63.228631009956175</v>
      </c>
      <c r="Y34" s="314" t="str">
        <f t="shared" ca="1" si="22"/>
        <v/>
      </c>
      <c r="Z34" s="315" t="str">
        <f t="shared" ca="1" si="23"/>
        <v/>
      </c>
      <c r="AA34" s="316" t="str">
        <f t="shared" ca="1" si="24"/>
        <v/>
      </c>
      <c r="AC34" s="310" t="e">
        <f t="shared" ca="1" si="25"/>
        <v>#N/A</v>
      </c>
      <c r="AD34" s="323" t="e">
        <f t="shared" ca="1" si="26"/>
        <v>#N/A</v>
      </c>
      <c r="AE34" s="324">
        <f t="shared" ca="1" si="5"/>
        <v>610.98308614187454</v>
      </c>
      <c r="AG34" s="306">
        <f t="shared" ca="1" si="27"/>
        <v>32.463053134256207</v>
      </c>
      <c r="AH34" s="304">
        <f t="shared" ca="1" si="28"/>
        <v>41.946107086594367</v>
      </c>
    </row>
    <row r="35" spans="1:34" x14ac:dyDescent="0.2">
      <c r="A35" s="347">
        <f t="shared" ca="1" si="6"/>
        <v>0.01</v>
      </c>
      <c r="B35" s="304">
        <f t="shared" ca="1" si="7"/>
        <v>4.909999999999993</v>
      </c>
      <c r="D35" s="306">
        <f t="shared" ca="1" si="8"/>
        <v>10.653971575058545</v>
      </c>
      <c r="E35" s="307">
        <f t="shared" ca="1" si="9"/>
        <v>30.392449892521107</v>
      </c>
      <c r="F35" s="304">
        <f t="shared" ca="1" si="10"/>
        <v>32.205715654081679</v>
      </c>
      <c r="G35" s="306">
        <f t="shared" ca="1" si="11"/>
        <v>42.112346406059821</v>
      </c>
      <c r="H35" s="307">
        <f t="shared" ca="1" si="12"/>
        <v>158.81160651822938</v>
      </c>
      <c r="I35" s="304">
        <f t="shared" ca="1" si="13"/>
        <v>164.3002619739996</v>
      </c>
      <c r="J35" s="306">
        <f t="shared" ca="1" si="14"/>
        <v>143.65791874561</v>
      </c>
      <c r="K35" s="307">
        <f t="shared" ca="1" si="15"/>
        <v>612.5696825845622</v>
      </c>
      <c r="L35" s="304">
        <f t="shared" ca="1" si="0"/>
        <v>629.18933051989336</v>
      </c>
      <c r="M35" s="306">
        <f t="shared" ca="1" si="16"/>
        <v>1.3115901535373022</v>
      </c>
      <c r="N35" s="304">
        <f t="shared" ca="1" si="17"/>
        <v>75.148580248603054</v>
      </c>
      <c r="P35" s="310">
        <f t="shared" ca="1" si="18"/>
        <v>3</v>
      </c>
      <c r="Q35" s="304">
        <f t="shared" ca="1" si="19"/>
        <v>187.15517241379365</v>
      </c>
      <c r="R35" s="306">
        <f t="shared" ca="1" si="20"/>
        <v>9.9332568340935123E-2</v>
      </c>
      <c r="S35" s="307">
        <f t="shared" ca="1" si="21"/>
        <v>2.9797059073875016</v>
      </c>
      <c r="T35" s="304">
        <f t="shared" ca="1" si="1"/>
        <v>29.230914951471391</v>
      </c>
      <c r="U35" s="311">
        <f t="shared" ca="1" si="2"/>
        <v>0</v>
      </c>
      <c r="V35" s="306">
        <f t="shared" ca="1" si="3"/>
        <v>1.1521902656755996</v>
      </c>
      <c r="W35" s="304">
        <f t="shared" ca="1" si="4"/>
        <v>63.466401510184959</v>
      </c>
      <c r="Y35" s="314" t="str">
        <f t="shared" ca="1" si="22"/>
        <v/>
      </c>
      <c r="Z35" s="315" t="str">
        <f t="shared" ca="1" si="23"/>
        <v/>
      </c>
      <c r="AA35" s="316" t="str">
        <f t="shared" ca="1" si="24"/>
        <v/>
      </c>
      <c r="AC35" s="310" t="e">
        <f t="shared" ca="1" si="25"/>
        <v>#N/A</v>
      </c>
      <c r="AD35" s="323" t="e">
        <f t="shared" ca="1" si="26"/>
        <v>#N/A</v>
      </c>
      <c r="AE35" s="324">
        <f t="shared" ca="1" si="5"/>
        <v>612.5696825845622</v>
      </c>
      <c r="AG35" s="306">
        <f t="shared" ca="1" si="27"/>
        <v>32.107523034325837</v>
      </c>
      <c r="AH35" s="304">
        <f t="shared" ca="1" si="28"/>
        <v>41.590192205408549</v>
      </c>
    </row>
    <row r="36" spans="1:34" x14ac:dyDescent="0.2">
      <c r="A36" s="347">
        <f t="shared" ca="1" si="6"/>
        <v>0.01</v>
      </c>
      <c r="B36" s="304">
        <f t="shared" ca="1" si="7"/>
        <v>4.9199999999999928</v>
      </c>
      <c r="D36" s="306">
        <f t="shared" ca="1" si="8"/>
        <v>10.569019709739147</v>
      </c>
      <c r="E36" s="307">
        <f t="shared" ca="1" si="9"/>
        <v>30.047266162328498</v>
      </c>
      <c r="F36" s="304">
        <f t="shared" ca="1" si="10"/>
        <v>31.851881913862886</v>
      </c>
      <c r="G36" s="306">
        <f t="shared" ca="1" si="11"/>
        <v>42.218036603157209</v>
      </c>
      <c r="H36" s="307">
        <f t="shared" ca="1" si="12"/>
        <v>159.11207917985266</v>
      </c>
      <c r="I36" s="304">
        <f t="shared" ca="1" si="13"/>
        <v>164.6177886972159</v>
      </c>
      <c r="J36" s="306">
        <f t="shared" ca="1" si="14"/>
        <v>144.07957066065609</v>
      </c>
      <c r="K36" s="307">
        <f t="shared" ca="1" si="15"/>
        <v>614.15930101305264</v>
      </c>
      <c r="L36" s="304">
        <f t="shared" ca="1" si="0"/>
        <v>630.83323446264342</v>
      </c>
      <c r="M36" s="306">
        <f t="shared" ca="1" si="16"/>
        <v>1.3114374097940162</v>
      </c>
      <c r="N36" s="304">
        <f t="shared" ca="1" si="17"/>
        <v>75.139828676765745</v>
      </c>
      <c r="P36" s="310">
        <f t="shared" ca="1" si="18"/>
        <v>3</v>
      </c>
      <c r="Q36" s="304">
        <f t="shared" ca="1" si="19"/>
        <v>186.29310344827644</v>
      </c>
      <c r="R36" s="306">
        <f t="shared" ca="1" si="20"/>
        <v>9.8875025419051507E-2</v>
      </c>
      <c r="S36" s="307">
        <f t="shared" ca="1" si="21"/>
        <v>2.9787171571333113</v>
      </c>
      <c r="T36" s="304">
        <f t="shared" ca="1" si="1"/>
        <v>29.221215311477785</v>
      </c>
      <c r="U36" s="311">
        <f t="shared" ca="1" si="2"/>
        <v>0</v>
      </c>
      <c r="V36" s="306">
        <f t="shared" ca="1" si="3"/>
        <v>1.1520069535453705</v>
      </c>
      <c r="W36" s="304">
        <f t="shared" ca="1" si="4"/>
        <v>63.701812420343266</v>
      </c>
      <c r="Y36" s="314" t="str">
        <f t="shared" ca="1" si="22"/>
        <v/>
      </c>
      <c r="Z36" s="315" t="str">
        <f t="shared" ca="1" si="23"/>
        <v/>
      </c>
      <c r="AA36" s="316" t="str">
        <f t="shared" ca="1" si="24"/>
        <v/>
      </c>
      <c r="AC36" s="310" t="e">
        <f t="shared" ca="1" si="25"/>
        <v>#N/A</v>
      </c>
      <c r="AD36" s="323" t="e">
        <f t="shared" ca="1" si="26"/>
        <v>#N/A</v>
      </c>
      <c r="AE36" s="324">
        <f t="shared" ca="1" si="5"/>
        <v>614.15930101305264</v>
      </c>
      <c r="AG36" s="306">
        <f t="shared" ca="1" si="27"/>
        <v>31.752480289622476</v>
      </c>
      <c r="AH36" s="304">
        <f t="shared" ca="1" si="28"/>
        <v>41.234764987320482</v>
      </c>
    </row>
    <row r="37" spans="1:34" x14ac:dyDescent="0.2">
      <c r="A37" s="347">
        <f t="shared" ca="1" si="6"/>
        <v>0.01</v>
      </c>
      <c r="B37" s="304">
        <f t="shared" ca="1" si="7"/>
        <v>4.9299999999999926</v>
      </c>
      <c r="D37" s="306">
        <f t="shared" ca="1" si="8"/>
        <v>10.484080906914915</v>
      </c>
      <c r="E37" s="307">
        <f t="shared" ca="1" si="9"/>
        <v>29.702588590258543</v>
      </c>
      <c r="F37" s="304">
        <f t="shared" ca="1" si="10"/>
        <v>31.498566974148122</v>
      </c>
      <c r="G37" s="306">
        <f t="shared" ca="1" si="11"/>
        <v>42.322877412226362</v>
      </c>
      <c r="H37" s="307">
        <f t="shared" ca="1" si="12"/>
        <v>159.40910506575526</v>
      </c>
      <c r="I37" s="304">
        <f t="shared" ca="1" si="13"/>
        <v>164.93176992415783</v>
      </c>
      <c r="J37" s="306">
        <f t="shared" ca="1" si="14"/>
        <v>144.50227523073301</v>
      </c>
      <c r="K37" s="307">
        <f t="shared" ca="1" si="15"/>
        <v>615.75190693428067</v>
      </c>
      <c r="L37" s="304">
        <f t="shared" ca="1" si="0"/>
        <v>632.48029094989317</v>
      </c>
      <c r="M37" s="306">
        <f t="shared" ca="1" si="16"/>
        <v>1.3112848690156589</v>
      </c>
      <c r="N37" s="304">
        <f t="shared" ca="1" si="17"/>
        <v>75.13108873396223</v>
      </c>
      <c r="P37" s="310">
        <f t="shared" ca="1" si="18"/>
        <v>3</v>
      </c>
      <c r="Q37" s="304">
        <f t="shared" ca="1" si="19"/>
        <v>185.43103448275923</v>
      </c>
      <c r="R37" s="306">
        <f t="shared" ca="1" si="20"/>
        <v>9.8417482497167905E-2</v>
      </c>
      <c r="S37" s="307">
        <f t="shared" ca="1" si="21"/>
        <v>2.9777329823083396</v>
      </c>
      <c r="T37" s="304">
        <f t="shared" ca="1" si="1"/>
        <v>29.211560556444812</v>
      </c>
      <c r="U37" s="311">
        <f t="shared" ca="1" si="2"/>
        <v>0</v>
      </c>
      <c r="V37" s="306">
        <f t="shared" ca="1" si="3"/>
        <v>1.1518233252515246</v>
      </c>
      <c r="W37" s="304">
        <f t="shared" ca="1" si="4"/>
        <v>63.934852771631419</v>
      </c>
      <c r="Y37" s="314" t="str">
        <f t="shared" ca="1" si="22"/>
        <v/>
      </c>
      <c r="Z37" s="315" t="str">
        <f t="shared" ca="1" si="23"/>
        <v/>
      </c>
      <c r="AA37" s="316" t="str">
        <f t="shared" ca="1" si="24"/>
        <v/>
      </c>
      <c r="AC37" s="310" t="e">
        <f t="shared" ca="1" si="25"/>
        <v>#N/A</v>
      </c>
      <c r="AD37" s="323" t="e">
        <f t="shared" ca="1" si="26"/>
        <v>#N/A</v>
      </c>
      <c r="AE37" s="324">
        <f t="shared" ca="1" si="5"/>
        <v>615.75190693428067</v>
      </c>
      <c r="AG37" s="306">
        <f t="shared" ca="1" si="27"/>
        <v>31.397930806889864</v>
      </c>
      <c r="AH37" s="304">
        <f t="shared" ca="1" si="28"/>
        <v>40.879831329957412</v>
      </c>
    </row>
    <row r="38" spans="1:34" x14ac:dyDescent="0.2">
      <c r="A38" s="347">
        <f t="shared" ca="1" si="6"/>
        <v>0.01</v>
      </c>
      <c r="B38" s="304">
        <f t="shared" ca="1" si="7"/>
        <v>4.9399999999999924</v>
      </c>
      <c r="D38" s="306">
        <f t="shared" ca="1" si="8"/>
        <v>10.399157251377565</v>
      </c>
      <c r="E38" s="307">
        <f t="shared" ca="1" si="9"/>
        <v>29.358422664978555</v>
      </c>
      <c r="F38" s="304">
        <f t="shared" ca="1" si="10"/>
        <v>31.14577744918892</v>
      </c>
      <c r="G38" s="306">
        <f t="shared" ca="1" si="11"/>
        <v>42.426868984740139</v>
      </c>
      <c r="H38" s="307">
        <f t="shared" ca="1" si="12"/>
        <v>159.70268929240504</v>
      </c>
      <c r="I38" s="304">
        <f t="shared" ca="1" si="13"/>
        <v>165.24221064569056</v>
      </c>
      <c r="J38" s="306">
        <f t="shared" ca="1" si="14"/>
        <v>144.92602396271784</v>
      </c>
      <c r="K38" s="307">
        <f t="shared" ca="1" si="15"/>
        <v>617.34746590607142</v>
      </c>
      <c r="L38" s="304">
        <f t="shared" ca="1" si="0"/>
        <v>634.13046455937615</v>
      </c>
      <c r="M38" s="306">
        <f t="shared" ca="1" si="16"/>
        <v>1.3111325272869105</v>
      </c>
      <c r="N38" s="304">
        <f t="shared" ca="1" si="17"/>
        <v>75.122360195861219</v>
      </c>
      <c r="P38" s="310">
        <f t="shared" ca="1" si="18"/>
        <v>3</v>
      </c>
      <c r="Q38" s="304">
        <f t="shared" ca="1" si="19"/>
        <v>184.56896551724199</v>
      </c>
      <c r="R38" s="306">
        <f t="shared" ca="1" si="20"/>
        <v>9.7959939575284288E-2</v>
      </c>
      <c r="S38" s="307">
        <f t="shared" ca="1" si="21"/>
        <v>2.976753382912587</v>
      </c>
      <c r="T38" s="304">
        <f t="shared" ca="1" si="1"/>
        <v>29.201950686372481</v>
      </c>
      <c r="U38" s="311">
        <f t="shared" ca="1" si="2"/>
        <v>0</v>
      </c>
      <c r="V38" s="306">
        <f t="shared" ca="1" si="3"/>
        <v>1.1516393849174331</v>
      </c>
      <c r="W38" s="304">
        <f t="shared" ca="1" si="4"/>
        <v>64.165511861465333</v>
      </c>
      <c r="Y38" s="314" t="str">
        <f t="shared" ca="1" si="22"/>
        <v/>
      </c>
      <c r="Z38" s="315" t="str">
        <f t="shared" ca="1" si="23"/>
        <v/>
      </c>
      <c r="AA38" s="316" t="str">
        <f t="shared" ca="1" si="24"/>
        <v/>
      </c>
      <c r="AC38" s="310" t="e">
        <f t="shared" ca="1" si="25"/>
        <v>#N/A</v>
      </c>
      <c r="AD38" s="323" t="e">
        <f t="shared" ca="1" si="26"/>
        <v>#N/A</v>
      </c>
      <c r="AE38" s="324">
        <f t="shared" ca="1" si="5"/>
        <v>617.34746590607142</v>
      </c>
      <c r="AG38" s="306">
        <f t="shared" ca="1" si="27"/>
        <v>31.043880406190812</v>
      </c>
      <c r="AH38" s="304">
        <f t="shared" ca="1" si="28"/>
        <v>40.525397044338561</v>
      </c>
    </row>
    <row r="39" spans="1:34" x14ac:dyDescent="0.2">
      <c r="A39" s="347">
        <f t="shared" ca="1" si="6"/>
        <v>0.01</v>
      </c>
      <c r="B39" s="304">
        <f t="shared" ca="1" si="7"/>
        <v>4.9499999999999922</v>
      </c>
      <c r="D39" s="306">
        <f t="shared" ca="1" si="8"/>
        <v>10.314250801611665</v>
      </c>
      <c r="E39" s="307">
        <f t="shared" ca="1" si="9"/>
        <v>29.014773792433004</v>
      </c>
      <c r="F39" s="304">
        <f t="shared" ca="1" si="10"/>
        <v>30.793519899884846</v>
      </c>
      <c r="G39" s="306">
        <f t="shared" ca="1" si="11"/>
        <v>42.530011492756259</v>
      </c>
      <c r="H39" s="307">
        <f t="shared" ca="1" si="12"/>
        <v>159.99283703032938</v>
      </c>
      <c r="I39" s="304">
        <f t="shared" ca="1" si="13"/>
        <v>165.54911591001482</v>
      </c>
      <c r="J39" s="306">
        <f t="shared" ca="1" si="14"/>
        <v>145.35080836510531</v>
      </c>
      <c r="K39" s="307">
        <f t="shared" ca="1" si="15"/>
        <v>618.94594353768514</v>
      </c>
      <c r="L39" s="304">
        <f t="shared" ca="1" si="0"/>
        <v>635.78371991908136</v>
      </c>
      <c r="M39" s="306">
        <f t="shared" ca="1" si="16"/>
        <v>1.3109803807296334</v>
      </c>
      <c r="N39" s="304">
        <f t="shared" ca="1" si="17"/>
        <v>75.11364284026179</v>
      </c>
      <c r="P39" s="310">
        <f t="shared" ca="1" si="18"/>
        <v>3</v>
      </c>
      <c r="Q39" s="304">
        <f t="shared" ca="1" si="19"/>
        <v>183.70689655172475</v>
      </c>
      <c r="R39" s="306">
        <f t="shared" ca="1" si="20"/>
        <v>9.7502396653400658E-2</v>
      </c>
      <c r="S39" s="307">
        <f t="shared" ca="1" si="21"/>
        <v>2.9757783589460529</v>
      </c>
      <c r="T39" s="304">
        <f t="shared" ca="1" si="1"/>
        <v>29.192385701260779</v>
      </c>
      <c r="U39" s="311">
        <f t="shared" ca="1" si="2"/>
        <v>0</v>
      </c>
      <c r="V39" s="306">
        <f t="shared" ca="1" si="3"/>
        <v>1.1514551366583026</v>
      </c>
      <c r="W39" s="304">
        <f t="shared" ca="1" si="4"/>
        <v>64.393779252139595</v>
      </c>
      <c r="Y39" s="314" t="str">
        <f t="shared" ca="1" si="22"/>
        <v/>
      </c>
      <c r="Z39" s="315" t="str">
        <f t="shared" ca="1" si="23"/>
        <v/>
      </c>
      <c r="AA39" s="316" t="str">
        <f t="shared" ca="1" si="24"/>
        <v/>
      </c>
      <c r="AC39" s="310" t="e">
        <f t="shared" ca="1" si="25"/>
        <v>#N/A</v>
      </c>
      <c r="AD39" s="323" t="e">
        <f t="shared" ca="1" si="26"/>
        <v>#N/A</v>
      </c>
      <c r="AE39" s="324">
        <f t="shared" ca="1" si="5"/>
        <v>618.94594353768514</v>
      </c>
      <c r="AG39" s="306">
        <f t="shared" ca="1" si="27"/>
        <v>30.690334821118739</v>
      </c>
      <c r="AH39" s="304">
        <f t="shared" ca="1" si="28"/>
        <v>40.171467855085154</v>
      </c>
    </row>
    <row r="40" spans="1:34" x14ac:dyDescent="0.2">
      <c r="A40" s="347">
        <f t="shared" ca="1" si="6"/>
        <v>0.01</v>
      </c>
      <c r="B40" s="304">
        <f t="shared" ca="1" si="7"/>
        <v>4.959999999999992</v>
      </c>
      <c r="D40" s="306">
        <f t="shared" ca="1" si="8"/>
        <v>10.229363589889664</v>
      </c>
      <c r="E40" s="307">
        <f t="shared" ca="1" si="9"/>
        <v>28.671647296050068</v>
      </c>
      <c r="F40" s="304">
        <f t="shared" ca="1" si="10"/>
        <v>30.441800835746488</v>
      </c>
      <c r="G40" s="306">
        <f t="shared" ca="1" si="11"/>
        <v>42.632305128655155</v>
      </c>
      <c r="H40" s="307">
        <f t="shared" ca="1" si="12"/>
        <v>160.27955350328989</v>
      </c>
      <c r="I40" s="304">
        <f t="shared" ca="1" si="13"/>
        <v>165.85249082180442</v>
      </c>
      <c r="J40" s="306">
        <f t="shared" ca="1" si="14"/>
        <v>145.77661994821236</v>
      </c>
      <c r="K40" s="307">
        <f t="shared" ca="1" si="15"/>
        <v>620.54730549035321</v>
      </c>
      <c r="L40" s="304">
        <f t="shared" ca="1" si="0"/>
        <v>637.44002170781789</v>
      </c>
      <c r="M40" s="306">
        <f t="shared" ca="1" si="16"/>
        <v>1.3108284255021487</v>
      </c>
      <c r="N40" s="304">
        <f t="shared" ca="1" si="17"/>
        <v>75.104936447051969</v>
      </c>
      <c r="P40" s="310">
        <f t="shared" ca="1" si="18"/>
        <v>3</v>
      </c>
      <c r="Q40" s="304">
        <f t="shared" ca="1" si="19"/>
        <v>182.84482758620754</v>
      </c>
      <c r="R40" s="306">
        <f t="shared" ca="1" si="20"/>
        <v>9.7044853731517056E-2</v>
      </c>
      <c r="S40" s="307">
        <f t="shared" ca="1" si="21"/>
        <v>2.9748079104087379</v>
      </c>
      <c r="T40" s="304">
        <f t="shared" ca="1" si="1"/>
        <v>29.182865601109722</v>
      </c>
      <c r="U40" s="311">
        <f t="shared" ca="1" si="2"/>
        <v>0</v>
      </c>
      <c r="V40" s="306">
        <f t="shared" ca="1" si="3"/>
        <v>1.1512705845811104</v>
      </c>
      <c r="W40" s="304">
        <f t="shared" ca="1" si="4"/>
        <v>64.619644769471378</v>
      </c>
      <c r="Y40" s="314" t="str">
        <f t="shared" ca="1" si="22"/>
        <v/>
      </c>
      <c r="Z40" s="315" t="str">
        <f t="shared" ca="1" si="23"/>
        <v/>
      </c>
      <c r="AA40" s="316" t="str">
        <f t="shared" ca="1" si="24"/>
        <v/>
      </c>
      <c r="AC40" s="310" t="e">
        <f t="shared" ca="1" si="25"/>
        <v>#N/A</v>
      </c>
      <c r="AD40" s="323" t="e">
        <f t="shared" ca="1" si="26"/>
        <v>#N/A</v>
      </c>
      <c r="AE40" s="324">
        <f t="shared" ca="1" si="5"/>
        <v>620.54730549035321</v>
      </c>
      <c r="AG40" s="306">
        <f t="shared" ca="1" si="27"/>
        <v>30.33729969901815</v>
      </c>
      <c r="AH40" s="304">
        <f t="shared" ca="1" si="28"/>
        <v>39.818049400639381</v>
      </c>
    </row>
    <row r="41" spans="1:34" x14ac:dyDescent="0.2">
      <c r="A41" s="347">
        <f t="shared" ca="1" si="6"/>
        <v>0.01</v>
      </c>
      <c r="B41" s="304">
        <f t="shared" ca="1" si="7"/>
        <v>4.9699999999999918</v>
      </c>
      <c r="D41" s="306">
        <f t="shared" ca="1" si="8"/>
        <v>10.14449762236767</v>
      </c>
      <c r="E41" s="307">
        <f t="shared" ca="1" si="9"/>
        <v>28.329048416957299</v>
      </c>
      <c r="F41" s="304">
        <f t="shared" ca="1" si="10"/>
        <v>30.090626716978399</v>
      </c>
      <c r="G41" s="306">
        <f t="shared" ca="1" si="11"/>
        <v>42.73375010487883</v>
      </c>
      <c r="H41" s="307">
        <f t="shared" ca="1" si="12"/>
        <v>160.56284398745947</v>
      </c>
      <c r="I41" s="304">
        <f t="shared" ca="1" si="13"/>
        <v>166.15234054134623</v>
      </c>
      <c r="J41" s="306">
        <f t="shared" ca="1" si="14"/>
        <v>146.20345022438002</v>
      </c>
      <c r="K41" s="307">
        <f t="shared" ca="1" si="15"/>
        <v>622.15151747780692</v>
      </c>
      <c r="L41" s="304">
        <f t="shared" ca="1" si="0"/>
        <v>639.09933465577217</v>
      </c>
      <c r="M41" s="306">
        <f t="shared" ca="1" si="16"/>
        <v>1.3106766577985274</v>
      </c>
      <c r="N41" s="304">
        <f t="shared" ca="1" si="17"/>
        <v>75.096240798168068</v>
      </c>
      <c r="P41" s="310">
        <f t="shared" ca="1" si="18"/>
        <v>3</v>
      </c>
      <c r="Q41" s="304">
        <f t="shared" ca="1" si="19"/>
        <v>181.98275862069033</v>
      </c>
      <c r="R41" s="306">
        <f t="shared" ca="1" si="20"/>
        <v>9.6587310809633439E-2</v>
      </c>
      <c r="S41" s="307">
        <f t="shared" ca="1" si="21"/>
        <v>2.9738420373006416</v>
      </c>
      <c r="T41" s="304">
        <f t="shared" ca="1" si="1"/>
        <v>29.173390385919294</v>
      </c>
      <c r="U41" s="311">
        <f t="shared" ca="1" si="2"/>
        <v>0</v>
      </c>
      <c r="V41" s="306">
        <f t="shared" ca="1" si="3"/>
        <v>1.1510857327845367</v>
      </c>
      <c r="W41" s="304">
        <f t="shared" ca="1" si="4"/>
        <v>64.843098501425018</v>
      </c>
      <c r="Y41" s="314" t="str">
        <f t="shared" ca="1" si="22"/>
        <v/>
      </c>
      <c r="Z41" s="315" t="str">
        <f t="shared" ca="1" si="23"/>
        <v/>
      </c>
      <c r="AA41" s="316" t="str">
        <f t="shared" ca="1" si="24"/>
        <v/>
      </c>
      <c r="AC41" s="310" t="e">
        <f t="shared" ca="1" si="25"/>
        <v>#N/A</v>
      </c>
      <c r="AD41" s="323" t="e">
        <f t="shared" ca="1" si="26"/>
        <v>#N/A</v>
      </c>
      <c r="AE41" s="324">
        <f t="shared" ca="1" si="5"/>
        <v>622.15151747780692</v>
      </c>
      <c r="AG41" s="306">
        <f t="shared" ca="1" si="27"/>
        <v>29.984780601214169</v>
      </c>
      <c r="AH41" s="304">
        <f t="shared" ca="1" si="28"/>
        <v>39.465147233492445</v>
      </c>
    </row>
    <row r="42" spans="1:34" x14ac:dyDescent="0.2">
      <c r="A42" s="347">
        <f t="shared" ca="1" si="6"/>
        <v>0.01</v>
      </c>
      <c r="B42" s="304">
        <f t="shared" ca="1" si="7"/>
        <v>4.9799999999999915</v>
      </c>
      <c r="D42" s="306">
        <f t="shared" ca="1" si="8"/>
        <v>10.059654879182137</v>
      </c>
      <c r="E42" s="307">
        <f t="shared" ca="1" si="9"/>
        <v>27.986982314206074</v>
      </c>
      <c r="F42" s="304">
        <f t="shared" ca="1" si="10"/>
        <v>29.740003956689993</v>
      </c>
      <c r="G42" s="306">
        <f t="shared" ca="1" si="11"/>
        <v>42.83434665367065</v>
      </c>
      <c r="H42" s="307">
        <f t="shared" ca="1" si="12"/>
        <v>160.84271381060154</v>
      </c>
      <c r="I42" s="304">
        <f t="shared" ca="1" si="13"/>
        <v>166.44867028368205</v>
      </c>
      <c r="J42" s="306">
        <f t="shared" ca="1" si="14"/>
        <v>146.63129070817277</v>
      </c>
      <c r="K42" s="307">
        <f t="shared" ca="1" si="15"/>
        <v>623.75854526679723</v>
      </c>
      <c r="L42" s="304">
        <f t="shared" ca="1" si="0"/>
        <v>640.76162354505573</v>
      </c>
      <c r="M42" s="306">
        <f t="shared" ca="1" si="16"/>
        <v>1.3105250738478935</v>
      </c>
      <c r="N42" s="304">
        <f t="shared" ca="1" si="17"/>
        <v>75.087555677554832</v>
      </c>
      <c r="P42" s="310">
        <f t="shared" ca="1" si="18"/>
        <v>3</v>
      </c>
      <c r="Q42" s="304">
        <f t="shared" ca="1" si="19"/>
        <v>181.12068965517309</v>
      </c>
      <c r="R42" s="306">
        <f t="shared" ca="1" si="20"/>
        <v>9.6129767887749823E-2</v>
      </c>
      <c r="S42" s="307">
        <f t="shared" ca="1" si="21"/>
        <v>2.9728807396217642</v>
      </c>
      <c r="T42" s="304">
        <f t="shared" ca="1" si="1"/>
        <v>29.163960055689508</v>
      </c>
      <c r="U42" s="311">
        <f t="shared" ca="1" si="2"/>
        <v>0</v>
      </c>
      <c r="V42" s="306">
        <f t="shared" ca="1" si="3"/>
        <v>1.1509005853588998</v>
      </c>
      <c r="W42" s="304">
        <f t="shared" ca="1" si="4"/>
        <v>65.064130796717677</v>
      </c>
      <c r="Y42" s="314" t="str">
        <f t="shared" ca="1" si="22"/>
        <v/>
      </c>
      <c r="Z42" s="315" t="str">
        <f t="shared" ca="1" si="23"/>
        <v/>
      </c>
      <c r="AA42" s="316" t="str">
        <f t="shared" ca="1" si="24"/>
        <v/>
      </c>
      <c r="AC42" s="310" t="e">
        <f t="shared" ca="1" si="25"/>
        <v>#N/A</v>
      </c>
      <c r="AD42" s="323" t="e">
        <f t="shared" ca="1" si="26"/>
        <v>#N/A</v>
      </c>
      <c r="AE42" s="324">
        <f t="shared" ca="1" si="5"/>
        <v>623.75854526679723</v>
      </c>
      <c r="AG42" s="306">
        <f t="shared" ca="1" si="27"/>
        <v>29.632783003250854</v>
      </c>
      <c r="AH42" s="304">
        <f t="shared" ca="1" si="28"/>
        <v>39.112766820421434</v>
      </c>
    </row>
    <row r="43" spans="1:34" x14ac:dyDescent="0.2">
      <c r="A43" s="347">
        <f t="shared" ca="1" si="6"/>
        <v>0.01</v>
      </c>
      <c r="B43" s="304">
        <f t="shared" ca="1" si="7"/>
        <v>4.9899999999999913</v>
      </c>
      <c r="D43" s="306">
        <f t="shared" ca="1" si="8"/>
        <v>9.9748373145474272</v>
      </c>
      <c r="E43" s="307">
        <f t="shared" ca="1" si="9"/>
        <v>27.645454065004991</v>
      </c>
      <c r="F43" s="304">
        <f t="shared" ca="1" si="10"/>
        <v>29.389938923243591</v>
      </c>
      <c r="G43" s="306">
        <f t="shared" ca="1" si="11"/>
        <v>42.934095026816124</v>
      </c>
      <c r="H43" s="307">
        <f t="shared" ca="1" si="12"/>
        <v>161.11916835125157</v>
      </c>
      <c r="I43" s="304">
        <f t="shared" ca="1" si="13"/>
        <v>166.74148531775356</v>
      </c>
      <c r="J43" s="306">
        <f t="shared" ca="1" si="14"/>
        <v>147.06013291657521</v>
      </c>
      <c r="K43" s="307">
        <f t="shared" ca="1" si="15"/>
        <v>625.36835467760648</v>
      </c>
      <c r="L43" s="304">
        <f t="shared" ca="1" si="0"/>
        <v>642.42685321024476</v>
      </c>
      <c r="M43" s="306">
        <f t="shared" ca="1" si="16"/>
        <v>1.3103736699137427</v>
      </c>
      <c r="N43" s="304">
        <f t="shared" ca="1" si="17"/>
        <v>75.078880871126316</v>
      </c>
      <c r="P43" s="310">
        <f t="shared" ca="1" si="18"/>
        <v>3</v>
      </c>
      <c r="Q43" s="304">
        <f t="shared" ca="1" si="19"/>
        <v>180.25862068965588</v>
      </c>
      <c r="R43" s="306">
        <f t="shared" ca="1" si="20"/>
        <v>9.567222496586622E-2</v>
      </c>
      <c r="S43" s="307">
        <f t="shared" ca="1" si="21"/>
        <v>2.9719240173721055</v>
      </c>
      <c r="T43" s="304">
        <f t="shared" ca="1" si="1"/>
        <v>29.154574610420358</v>
      </c>
      <c r="U43" s="311">
        <f t="shared" ca="1" si="2"/>
        <v>0</v>
      </c>
      <c r="V43" s="306">
        <f t="shared" ca="1" si="3"/>
        <v>1.150715146386093</v>
      </c>
      <c r="W43" s="304">
        <f t="shared" ca="1" si="4"/>
        <v>65.282732263407439</v>
      </c>
      <c r="Y43" s="314" t="str">
        <f t="shared" ca="1" si="22"/>
        <v/>
      </c>
      <c r="Z43" s="315" t="str">
        <f t="shared" ca="1" si="23"/>
        <v/>
      </c>
      <c r="AA43" s="316" t="str">
        <f t="shared" ca="1" si="24"/>
        <v/>
      </c>
      <c r="AC43" s="310" t="e">
        <f t="shared" ca="1" si="25"/>
        <v>#N/A</v>
      </c>
      <c r="AD43" s="323" t="e">
        <f t="shared" ca="1" si="26"/>
        <v>#N/A</v>
      </c>
      <c r="AE43" s="324">
        <f t="shared" ca="1" si="5"/>
        <v>625.36835467760648</v>
      </c>
      <c r="AG43" s="306">
        <f t="shared" ca="1" si="27"/>
        <v>29.281312295138434</v>
      </c>
      <c r="AH43" s="304">
        <f t="shared" ca="1" si="28"/>
        <v>38.760913542735118</v>
      </c>
    </row>
    <row r="44" spans="1:34" x14ac:dyDescent="0.2">
      <c r="A44" s="347">
        <f t="shared" ca="1" si="6"/>
        <v>0.01</v>
      </c>
      <c r="B44" s="304">
        <f t="shared" ca="1" si="7"/>
        <v>4.9999999999999911</v>
      </c>
      <c r="D44" s="306">
        <f t="shared" ca="1" si="8"/>
        <v>9.8900468568540987</v>
      </c>
      <c r="E44" s="307">
        <f t="shared" ca="1" si="9"/>
        <v>27.304468664961412</v>
      </c>
      <c r="F44" s="304">
        <f t="shared" ca="1" si="10"/>
        <v>29.040437942748547</v>
      </c>
      <c r="G44" s="306">
        <f t="shared" ca="1" si="11"/>
        <v>43.032995495384668</v>
      </c>
      <c r="H44" s="307">
        <f t="shared" ca="1" si="12"/>
        <v>161.3922130379012</v>
      </c>
      <c r="I44" s="304">
        <f t="shared" ca="1" si="13"/>
        <v>167.03079096554947</v>
      </c>
      <c r="J44" s="306">
        <f t="shared" ca="1" si="14"/>
        <v>147.48996836918622</v>
      </c>
      <c r="K44" s="307">
        <f t="shared" ca="1" si="15"/>
        <v>626.98091158455225</v>
      </c>
      <c r="L44" s="304">
        <f t="shared" ca="1" si="0"/>
        <v>644.0949885389108</v>
      </c>
      <c r="M44" s="306">
        <f t="shared" ca="1" si="16"/>
        <v>1.3102224422932729</v>
      </c>
      <c r="N44" s="304">
        <f t="shared" ca="1" si="17"/>
        <v>75.07021616672759</v>
      </c>
      <c r="P44" s="310">
        <f t="shared" ca="1" si="18"/>
        <v>3</v>
      </c>
      <c r="Q44" s="304">
        <f t="shared" ca="1" si="19"/>
        <v>179.39655172413865</v>
      </c>
      <c r="R44" s="306">
        <f t="shared" ca="1" si="20"/>
        <v>9.521468204398259E-2</v>
      </c>
      <c r="S44" s="307">
        <f t="shared" ca="1" si="21"/>
        <v>2.9709718705516659</v>
      </c>
      <c r="T44" s="304">
        <f t="shared" ca="1" si="1"/>
        <v>29.145234050111846</v>
      </c>
      <c r="U44" s="311">
        <f t="shared" ca="1" si="2"/>
        <v>0</v>
      </c>
      <c r="V44" s="306">
        <f t="shared" ca="1" si="3"/>
        <v>1.15052941993952</v>
      </c>
      <c r="W44" s="304">
        <f t="shared" ca="1" si="4"/>
        <v>65.498893767463485</v>
      </c>
      <c r="Y44" s="314" t="str">
        <f t="shared" ca="1" si="22"/>
        <v/>
      </c>
      <c r="Z44" s="315" t="str">
        <f t="shared" ca="1" si="23"/>
        <v/>
      </c>
      <c r="AA44" s="316" t="str">
        <f t="shared" ca="1" si="24"/>
        <v/>
      </c>
      <c r="AC44" s="310">
        <f t="shared" ca="1" si="25"/>
        <v>4.9999999999999911</v>
      </c>
      <c r="AD44" s="323">
        <f t="shared" ca="1" si="26"/>
        <v>147.48996836918622</v>
      </c>
      <c r="AE44" s="324">
        <f t="shared" ca="1" si="5"/>
        <v>626.98091158455225</v>
      </c>
      <c r="AG44" s="306">
        <f t="shared" ca="1" si="27"/>
        <v>28.930373781608697</v>
      </c>
      <c r="AH44" s="304">
        <f t="shared" ca="1" si="28"/>
        <v>38.409592696527938</v>
      </c>
    </row>
    <row r="45" spans="1:34" x14ac:dyDescent="0.2">
      <c r="A45" s="347">
        <f t="shared" ca="1" si="6"/>
        <v>0.01</v>
      </c>
      <c r="B45" s="304">
        <f t="shared" ca="1" si="7"/>
        <v>5.0099999999999909</v>
      </c>
      <c r="D45" s="306">
        <f t="shared" ca="1" si="8"/>
        <v>9.805285408768146</v>
      </c>
      <c r="E45" s="307">
        <f t="shared" ca="1" si="9"/>
        <v>26.964031028331682</v>
      </c>
      <c r="F45" s="304">
        <f t="shared" ca="1" si="10"/>
        <v>28.691507301712736</v>
      </c>
      <c r="G45" s="306">
        <f t="shared" ca="1" si="11"/>
        <v>43.131048349472351</v>
      </c>
      <c r="H45" s="307">
        <f t="shared" ca="1" si="12"/>
        <v>161.66185334818451</v>
      </c>
      <c r="I45" s="304">
        <f t="shared" ca="1" si="13"/>
        <v>167.31659260125528</v>
      </c>
      <c r="J45" s="306">
        <f t="shared" ca="1" si="14"/>
        <v>147.92078858841049</v>
      </c>
      <c r="K45" s="307">
        <f t="shared" ca="1" si="15"/>
        <v>628.59618191648269</v>
      </c>
      <c r="L45" s="304">
        <f t="shared" ca="1" si="0"/>
        <v>645.76599447214392</v>
      </c>
      <c r="M45" s="306">
        <f t="shared" ca="1" si="16"/>
        <v>1.3100713873167273</v>
      </c>
      <c r="N45" s="304">
        <f t="shared" ca="1" si="17"/>
        <v>75.06156135409708</v>
      </c>
      <c r="P45" s="310">
        <f t="shared" ca="1" si="18"/>
        <v>3</v>
      </c>
      <c r="Q45" s="304">
        <f t="shared" ca="1" si="19"/>
        <v>178.53448275862144</v>
      </c>
      <c r="R45" s="306">
        <f t="shared" ca="1" si="20"/>
        <v>9.4757139122098988E-2</v>
      </c>
      <c r="S45" s="307">
        <f t="shared" ca="1" si="21"/>
        <v>2.9700242991604449</v>
      </c>
      <c r="T45" s="304">
        <f t="shared" ca="1" si="1"/>
        <v>29.135938374763967</v>
      </c>
      <c r="U45" s="311">
        <f t="shared" ca="1" si="2"/>
        <v>0</v>
      </c>
      <c r="V45" s="306">
        <f t="shared" ca="1" si="3"/>
        <v>1.1503434100840348</v>
      </c>
      <c r="W45" s="304">
        <f t="shared" ca="1" si="4"/>
        <v>65.712606431319045</v>
      </c>
      <c r="Y45" s="314" t="str">
        <f t="shared" ca="1" si="22"/>
        <v/>
      </c>
      <c r="Z45" s="315" t="str">
        <f t="shared" ca="1" si="23"/>
        <v/>
      </c>
      <c r="AA45" s="316" t="str">
        <f t="shared" ca="1" si="24"/>
        <v/>
      </c>
      <c r="AC45" s="310" t="e">
        <f t="shared" ca="1" si="25"/>
        <v>#N/A</v>
      </c>
      <c r="AD45" s="323" t="e">
        <f t="shared" ca="1" si="26"/>
        <v>#N/A</v>
      </c>
      <c r="AE45" s="324">
        <f t="shared" ca="1" si="5"/>
        <v>628.59618191648269</v>
      </c>
      <c r="AG45" s="306">
        <f t="shared" ca="1" si="27"/>
        <v>28.579972682379029</v>
      </c>
      <c r="AH45" s="304">
        <f t="shared" ca="1" si="28"/>
        <v>38.058809492942672</v>
      </c>
    </row>
    <row r="46" spans="1:34" x14ac:dyDescent="0.2">
      <c r="A46" s="347">
        <f t="shared" ca="1" si="6"/>
        <v>0.01</v>
      </c>
      <c r="B46" s="304">
        <f t="shared" ca="1" si="7"/>
        <v>5.0199999999999907</v>
      </c>
      <c r="D46" s="306">
        <f t="shared" ca="1" si="8"/>
        <v>9.7205548473310426</v>
      </c>
      <c r="E46" s="307">
        <f t="shared" ca="1" si="9"/>
        <v>26.624145988279452</v>
      </c>
      <c r="F46" s="304">
        <f t="shared" ca="1" si="10"/>
        <v>28.343153249862439</v>
      </c>
      <c r="G46" s="306">
        <f t="shared" ca="1" si="11"/>
        <v>43.228253897945663</v>
      </c>
      <c r="H46" s="307">
        <f t="shared" ca="1" si="12"/>
        <v>161.9280948080673</v>
      </c>
      <c r="I46" s="304">
        <f t="shared" ca="1" si="13"/>
        <v>167.59889565040604</v>
      </c>
      <c r="J46" s="306">
        <f t="shared" ca="1" si="14"/>
        <v>148.35258509964757</v>
      </c>
      <c r="K46" s="307">
        <f t="shared" ca="1" si="15"/>
        <v>630.21413165726392</v>
      </c>
      <c r="L46" s="304">
        <f t="shared" ca="1" si="0"/>
        <v>647.43983600506647</v>
      </c>
      <c r="M46" s="306">
        <f t="shared" ca="1" si="16"/>
        <v>1.3099205013467508</v>
      </c>
      <c r="N46" s="304">
        <f t="shared" ca="1" si="17"/>
        <v>75.052916224829687</v>
      </c>
      <c r="P46" s="310">
        <f t="shared" ca="1" si="18"/>
        <v>3</v>
      </c>
      <c r="Q46" s="304">
        <f t="shared" ca="1" si="19"/>
        <v>177.6724137931042</v>
      </c>
      <c r="R46" s="306">
        <f t="shared" ca="1" si="20"/>
        <v>9.4299596200215358E-2</v>
      </c>
      <c r="S46" s="307">
        <f t="shared" ca="1" si="21"/>
        <v>2.9690813031984429</v>
      </c>
      <c r="T46" s="304">
        <f t="shared" ca="1" si="1"/>
        <v>29.126687584376725</v>
      </c>
      <c r="U46" s="311">
        <f t="shared" ca="1" si="2"/>
        <v>0</v>
      </c>
      <c r="V46" s="306">
        <f t="shared" ca="1" si="3"/>
        <v>1.1501571208758821</v>
      </c>
      <c r="W46" s="304">
        <f t="shared" ca="1" si="4"/>
        <v>65.923861632408247</v>
      </c>
      <c r="Y46" s="314" t="str">
        <f t="shared" ca="1" si="22"/>
        <v/>
      </c>
      <c r="Z46" s="315" t="str">
        <f t="shared" ca="1" si="23"/>
        <v/>
      </c>
      <c r="AA46" s="316" t="str">
        <f t="shared" ca="1" si="24"/>
        <v/>
      </c>
      <c r="AC46" s="310" t="e">
        <f t="shared" ca="1" si="25"/>
        <v>#N/A</v>
      </c>
      <c r="AD46" s="323" t="e">
        <f t="shared" ca="1" si="26"/>
        <v>#N/A</v>
      </c>
      <c r="AE46" s="324">
        <f t="shared" ca="1" si="5"/>
        <v>630.21413165726392</v>
      </c>
      <c r="AG46" s="306">
        <f t="shared" ca="1" si="27"/>
        <v>28.230114132424575</v>
      </c>
      <c r="AH46" s="304">
        <f t="shared" ca="1" si="28"/>
        <v>37.708569058441228</v>
      </c>
    </row>
    <row r="47" spans="1:34" x14ac:dyDescent="0.2">
      <c r="A47" s="347">
        <f t="shared" ca="1" si="6"/>
        <v>0.01</v>
      </c>
      <c r="B47" s="304">
        <f t="shared" ca="1" si="7"/>
        <v>5.0299999999999905</v>
      </c>
      <c r="D47" s="306">
        <f t="shared" ca="1" si="8"/>
        <v>9.6358570240606074</v>
      </c>
      <c r="E47" s="307">
        <f t="shared" ca="1" si="9"/>
        <v>26.28481829714196</v>
      </c>
      <c r="F47" s="304">
        <f t="shared" ca="1" si="10"/>
        <v>27.995382003143071</v>
      </c>
      <c r="G47" s="306">
        <f t="shared" ca="1" si="11"/>
        <v>43.324612468186267</v>
      </c>
      <c r="H47" s="307">
        <f t="shared" ca="1" si="12"/>
        <v>162.19094299103872</v>
      </c>
      <c r="I47" s="304">
        <f t="shared" ca="1" si="13"/>
        <v>167.87770558904148</v>
      </c>
      <c r="J47" s="306">
        <f t="shared" ca="1" si="14"/>
        <v>148.78534943147824</v>
      </c>
      <c r="K47" s="307">
        <f t="shared" ca="1" si="15"/>
        <v>631.8347268462594</v>
      </c>
      <c r="L47" s="304">
        <f t="shared" ca="1" si="0"/>
        <v>649.11647818733911</v>
      </c>
      <c r="M47" s="306">
        <f t="shared" ca="1" si="16"/>
        <v>1.3097697807777566</v>
      </c>
      <c r="N47" s="304">
        <f t="shared" ca="1" si="17"/>
        <v>75.044280572340512</v>
      </c>
      <c r="P47" s="310">
        <f t="shared" ca="1" si="18"/>
        <v>3</v>
      </c>
      <c r="Q47" s="304">
        <f t="shared" ca="1" si="19"/>
        <v>176.81034482758699</v>
      </c>
      <c r="R47" s="306">
        <f t="shared" ca="1" si="20"/>
        <v>9.3842053278331755E-2</v>
      </c>
      <c r="S47" s="307">
        <f t="shared" ca="1" si="21"/>
        <v>2.9681428826656595</v>
      </c>
      <c r="T47" s="304">
        <f t="shared" ca="1" si="1"/>
        <v>29.117481678950121</v>
      </c>
      <c r="U47" s="311">
        <f t="shared" ca="1" si="2"/>
        <v>0</v>
      </c>
      <c r="V47" s="306">
        <f t="shared" ca="1" si="3"/>
        <v>1.1499705563626352</v>
      </c>
      <c r="W47" s="304">
        <f t="shared" ca="1" si="4"/>
        <v>66.132651001686014</v>
      </c>
      <c r="Y47" s="314" t="str">
        <f t="shared" ca="1" si="22"/>
        <v/>
      </c>
      <c r="Z47" s="315" t="str">
        <f t="shared" ca="1" si="23"/>
        <v/>
      </c>
      <c r="AA47" s="316" t="str">
        <f t="shared" ca="1" si="24"/>
        <v/>
      </c>
      <c r="AC47" s="310" t="e">
        <f t="shared" ca="1" si="25"/>
        <v>#N/A</v>
      </c>
      <c r="AD47" s="323" t="e">
        <f t="shared" ca="1" si="26"/>
        <v>#N/A</v>
      </c>
      <c r="AE47" s="324">
        <f t="shared" ca="1" si="5"/>
        <v>631.8347268462594</v>
      </c>
      <c r="AG47" s="306">
        <f t="shared" ca="1" si="27"/>
        <v>27.880803182258326</v>
      </c>
      <c r="AH47" s="304">
        <f t="shared" ca="1" si="28"/>
        <v>37.358876435083438</v>
      </c>
    </row>
    <row r="48" spans="1:34" x14ac:dyDescent="0.2">
      <c r="A48" s="347">
        <f t="shared" ca="1" si="6"/>
        <v>0.01</v>
      </c>
      <c r="B48" s="304">
        <f t="shared" ca="1" si="7"/>
        <v>5.0399999999999903</v>
      </c>
      <c r="D48" s="306">
        <f t="shared" ca="1" si="8"/>
        <v>9.5511937650528029</v>
      </c>
      <c r="E48" s="307">
        <f t="shared" ca="1" si="9"/>
        <v>25.946052626704436</v>
      </c>
      <c r="F48" s="304">
        <f t="shared" ca="1" si="10"/>
        <v>27.648199746914802</v>
      </c>
      <c r="G48" s="306">
        <f t="shared" ca="1" si="11"/>
        <v>43.420124405836795</v>
      </c>
      <c r="H48" s="307">
        <f t="shared" ca="1" si="12"/>
        <v>162.45040351730577</v>
      </c>
      <c r="I48" s="304">
        <f t="shared" ca="1" si="13"/>
        <v>168.15302794286464</v>
      </c>
      <c r="J48" s="306">
        <f t="shared" ca="1" si="14"/>
        <v>149.21907311584835</v>
      </c>
      <c r="K48" s="307">
        <f t="shared" ca="1" si="15"/>
        <v>633.45793357880109</v>
      </c>
      <c r="L48" s="304">
        <f t="shared" ca="1" si="0"/>
        <v>650.79588612365831</v>
      </c>
      <c r="M48" s="306">
        <f t="shared" ca="1" si="16"/>
        <v>1.3096192220353073</v>
      </c>
      <c r="N48" s="304">
        <f t="shared" ca="1" si="17"/>
        <v>75.035654191829366</v>
      </c>
      <c r="P48" s="310">
        <f t="shared" ca="1" si="18"/>
        <v>3</v>
      </c>
      <c r="Q48" s="304">
        <f t="shared" ca="1" si="19"/>
        <v>175.94827586206975</v>
      </c>
      <c r="R48" s="306">
        <f t="shared" ca="1" si="20"/>
        <v>9.3384510356448125E-2</v>
      </c>
      <c r="S48" s="307">
        <f t="shared" ca="1" si="21"/>
        <v>2.9672090375620952</v>
      </c>
      <c r="T48" s="304">
        <f t="shared" ca="1" si="1"/>
        <v>29.108320658484157</v>
      </c>
      <c r="U48" s="311">
        <f t="shared" ca="1" si="2"/>
        <v>0</v>
      </c>
      <c r="V48" s="306">
        <f t="shared" ca="1" si="3"/>
        <v>1.1497837205831416</v>
      </c>
      <c r="W48" s="304">
        <f t="shared" ca="1" si="4"/>
        <v>66.338966422133311</v>
      </c>
      <c r="Y48" s="314" t="str">
        <f t="shared" ca="1" si="22"/>
        <v/>
      </c>
      <c r="Z48" s="315" t="str">
        <f t="shared" ca="1" si="23"/>
        <v/>
      </c>
      <c r="AA48" s="316" t="str">
        <f t="shared" ca="1" si="24"/>
        <v/>
      </c>
      <c r="AC48" s="310" t="e">
        <f t="shared" ca="1" si="25"/>
        <v>#N/A</v>
      </c>
      <c r="AD48" s="323" t="e">
        <f t="shared" ca="1" si="26"/>
        <v>#N/A</v>
      </c>
      <c r="AE48" s="324">
        <f t="shared" ca="1" si="5"/>
        <v>633.45793357880109</v>
      </c>
      <c r="AG48" s="306">
        <f t="shared" ca="1" si="27"/>
        <v>27.53204479821941</v>
      </c>
      <c r="AH48" s="304">
        <f t="shared" ca="1" si="28"/>
        <v>37.009736580813986</v>
      </c>
    </row>
    <row r="49" spans="1:34" x14ac:dyDescent="0.2">
      <c r="A49" s="347">
        <f t="shared" ca="1" si="6"/>
        <v>0.01</v>
      </c>
      <c r="B49" s="304">
        <f t="shared" ca="1" si="7"/>
        <v>5.0499999999999901</v>
      </c>
      <c r="D49" s="306">
        <f t="shared" ca="1" si="8"/>
        <v>9.4665668710842628</v>
      </c>
      <c r="E49" s="307">
        <f t="shared" ca="1" si="9"/>
        <v>25.60785356848195</v>
      </c>
      <c r="F49" s="304">
        <f t="shared" ca="1" si="10"/>
        <v>27.301612639357476</v>
      </c>
      <c r="G49" s="306">
        <f t="shared" ca="1" si="11"/>
        <v>43.514790074547641</v>
      </c>
      <c r="H49" s="307">
        <f t="shared" ca="1" si="12"/>
        <v>162.70648205299059</v>
      </c>
      <c r="I49" s="304">
        <f t="shared" ca="1" si="13"/>
        <v>168.4248682864027</v>
      </c>
      <c r="J49" s="306">
        <f t="shared" ca="1" si="14"/>
        <v>149.65374768825026</v>
      </c>
      <c r="K49" s="307">
        <f t="shared" ca="1" si="15"/>
        <v>635.08371800665259</v>
      </c>
      <c r="L49" s="304">
        <f t="shared" ca="1" si="0"/>
        <v>652.47802497424527</v>
      </c>
      <c r="M49" s="306">
        <f t="shared" ca="1" si="16"/>
        <v>1.3094688215755044</v>
      </c>
      <c r="N49" s="304">
        <f t="shared" ca="1" si="17"/>
        <v>75.027036880245831</v>
      </c>
      <c r="P49" s="310">
        <f t="shared" ca="1" si="18"/>
        <v>3</v>
      </c>
      <c r="Q49" s="304">
        <f t="shared" ca="1" si="19"/>
        <v>175.08620689655254</v>
      </c>
      <c r="R49" s="306">
        <f t="shared" ca="1" si="20"/>
        <v>9.2926967434564522E-2</v>
      </c>
      <c r="S49" s="307">
        <f t="shared" ca="1" si="21"/>
        <v>2.9662797678877495</v>
      </c>
      <c r="T49" s="304">
        <f t="shared" ca="1" si="1"/>
        <v>29.099204522978823</v>
      </c>
      <c r="U49" s="311">
        <f t="shared" ca="1" si="2"/>
        <v>0</v>
      </c>
      <c r="V49" s="306">
        <f t="shared" ca="1" si="3"/>
        <v>1.1495966175674619</v>
      </c>
      <c r="W49" s="304">
        <f t="shared" ca="1" si="4"/>
        <v>66.542800027246244</v>
      </c>
      <c r="Y49" s="314" t="str">
        <f t="shared" ca="1" si="22"/>
        <v/>
      </c>
      <c r="Z49" s="315" t="str">
        <f t="shared" ca="1" si="23"/>
        <v/>
      </c>
      <c r="AA49" s="316" t="str">
        <f t="shared" ca="1" si="24"/>
        <v/>
      </c>
      <c r="AC49" s="310" t="e">
        <f t="shared" ca="1" si="25"/>
        <v>#N/A</v>
      </c>
      <c r="AD49" s="323" t="e">
        <f t="shared" ca="1" si="26"/>
        <v>#N/A</v>
      </c>
      <c r="AE49" s="324">
        <f t="shared" ca="1" si="5"/>
        <v>635.08371800665259</v>
      </c>
      <c r="AG49" s="306">
        <f t="shared" ca="1" si="27"/>
        <v>27.183843862768754</v>
      </c>
      <c r="AH49" s="304">
        <f t="shared" ca="1" si="28"/>
        <v>36.661154369756822</v>
      </c>
    </row>
    <row r="50" spans="1:34" x14ac:dyDescent="0.2">
      <c r="A50" s="347">
        <f t="shared" ca="1" si="6"/>
        <v>0.01</v>
      </c>
      <c r="B50" s="304">
        <f t="shared" ca="1" si="7"/>
        <v>5.0599999999999898</v>
      </c>
      <c r="D50" s="306">
        <f t="shared" ca="1" si="8"/>
        <v>9.381978117715768</v>
      </c>
      <c r="E50" s="307">
        <f t="shared" ca="1" si="9"/>
        <v>25.270225634009115</v>
      </c>
      <c r="F50" s="304">
        <f t="shared" ca="1" si="10"/>
        <v>26.955626815101684</v>
      </c>
      <c r="G50" s="306">
        <f t="shared" ca="1" si="11"/>
        <v>43.608609855724801</v>
      </c>
      <c r="H50" s="307">
        <f t="shared" ca="1" si="12"/>
        <v>162.95918430933068</v>
      </c>
      <c r="I50" s="304">
        <f t="shared" ca="1" si="13"/>
        <v>168.69323224217155</v>
      </c>
      <c r="J50" s="306">
        <f t="shared" ca="1" si="14"/>
        <v>150.08936468790162</v>
      </c>
      <c r="K50" s="307">
        <f t="shared" ca="1" si="15"/>
        <v>636.71204633846423</v>
      </c>
      <c r="L50" s="304">
        <f t="shared" ca="1" si="0"/>
        <v>654.16285995532689</v>
      </c>
      <c r="M50" s="306">
        <f t="shared" ca="1" si="16"/>
        <v>1.3093185758843906</v>
      </c>
      <c r="N50" s="304">
        <f t="shared" ca="1" si="17"/>
        <v>75.018428436254993</v>
      </c>
      <c r="P50" s="310">
        <f t="shared" ca="1" si="18"/>
        <v>3</v>
      </c>
      <c r="Q50" s="304">
        <f t="shared" ca="1" si="19"/>
        <v>174.22413793103533</v>
      </c>
      <c r="R50" s="306">
        <f t="shared" ca="1" si="20"/>
        <v>9.246942451268092E-2</v>
      </c>
      <c r="S50" s="307">
        <f t="shared" ca="1" si="21"/>
        <v>2.9653550736426229</v>
      </c>
      <c r="T50" s="304">
        <f t="shared" ca="1" si="1"/>
        <v>29.09013327243413</v>
      </c>
      <c r="U50" s="311">
        <f t="shared" ca="1" si="2"/>
        <v>0</v>
      </c>
      <c r="V50" s="306">
        <f t="shared" ca="1" si="3"/>
        <v>1.1494092513368179</v>
      </c>
      <c r="W50" s="304">
        <f t="shared" ca="1" si="4"/>
        <v>66.74414419951124</v>
      </c>
      <c r="Y50" s="314" t="str">
        <f t="shared" ca="1" si="22"/>
        <v/>
      </c>
      <c r="Z50" s="315" t="str">
        <f t="shared" ca="1" si="23"/>
        <v/>
      </c>
      <c r="AA50" s="316" t="str">
        <f t="shared" ca="1" si="24"/>
        <v/>
      </c>
      <c r="AC50" s="310" t="e">
        <f t="shared" ca="1" si="25"/>
        <v>#N/A</v>
      </c>
      <c r="AD50" s="323" t="e">
        <f t="shared" ca="1" si="26"/>
        <v>#N/A</v>
      </c>
      <c r="AE50" s="324">
        <f t="shared" ca="1" si="5"/>
        <v>636.71204633846423</v>
      </c>
      <c r="AG50" s="306">
        <f t="shared" ca="1" si="27"/>
        <v>26.836205174792639</v>
      </c>
      <c r="AH50" s="304">
        <f t="shared" ca="1" si="28"/>
        <v>36.313134592517457</v>
      </c>
    </row>
    <row r="51" spans="1:34" x14ac:dyDescent="0.2">
      <c r="A51" s="347">
        <f t="shared" ca="1" si="6"/>
        <v>0.01</v>
      </c>
      <c r="B51" s="304">
        <f t="shared" ca="1" si="7"/>
        <v>5.0699999999999896</v>
      </c>
      <c r="D51" s="306">
        <f t="shared" ca="1" si="8"/>
        <v>9.297429255396505</v>
      </c>
      <c r="E51" s="307">
        <f t="shared" ca="1" si="9"/>
        <v>24.933173255137007</v>
      </c>
      <c r="F51" s="304">
        <f t="shared" ca="1" si="10"/>
        <v>26.610248389103436</v>
      </c>
      <c r="G51" s="306">
        <f t="shared" ca="1" si="11"/>
        <v>43.701584148278769</v>
      </c>
      <c r="H51" s="307">
        <f t="shared" ca="1" si="12"/>
        <v>163.20851604188206</v>
      </c>
      <c r="I51" s="304">
        <f t="shared" ca="1" si="13"/>
        <v>168.95812547984298</v>
      </c>
      <c r="J51" s="306">
        <f t="shared" ca="1" si="14"/>
        <v>150.52591565792164</v>
      </c>
      <c r="K51" s="307">
        <f t="shared" ca="1" si="15"/>
        <v>638.34288484022034</v>
      </c>
      <c r="L51" s="304">
        <f t="shared" ca="1" si="0"/>
        <v>655.85035633960786</v>
      </c>
      <c r="M51" s="306">
        <f t="shared" ca="1" si="16"/>
        <v>1.3091684814773636</v>
      </c>
      <c r="N51" s="304">
        <f t="shared" ca="1" si="17"/>
        <v>75.009828660203823</v>
      </c>
      <c r="P51" s="310">
        <f t="shared" ca="1" si="18"/>
        <v>3</v>
      </c>
      <c r="Q51" s="304">
        <f t="shared" ca="1" si="19"/>
        <v>173.36206896551809</v>
      </c>
      <c r="R51" s="306">
        <f t="shared" ca="1" si="20"/>
        <v>9.201188159079729E-2</v>
      </c>
      <c r="S51" s="307">
        <f t="shared" ca="1" si="21"/>
        <v>2.9644349548267148</v>
      </c>
      <c r="T51" s="304">
        <f t="shared" ca="1" si="1"/>
        <v>29.081106906850074</v>
      </c>
      <c r="U51" s="311">
        <f t="shared" ca="1" si="2"/>
        <v>0</v>
      </c>
      <c r="V51" s="306">
        <f t="shared" ca="1" si="3"/>
        <v>1.149221625903535</v>
      </c>
      <c r="W51" s="304">
        <f t="shared" ca="1" si="4"/>
        <v>66.942991568865637</v>
      </c>
      <c r="Y51" s="314" t="str">
        <f t="shared" ca="1" si="22"/>
        <v/>
      </c>
      <c r="Z51" s="315" t="str">
        <f t="shared" ca="1" si="23"/>
        <v/>
      </c>
      <c r="AA51" s="316" t="str">
        <f t="shared" ca="1" si="24"/>
        <v/>
      </c>
      <c r="AC51" s="310" t="e">
        <f t="shared" ca="1" si="25"/>
        <v>#N/A</v>
      </c>
      <c r="AD51" s="323" t="e">
        <f t="shared" ca="1" si="26"/>
        <v>#N/A</v>
      </c>
      <c r="AE51" s="324">
        <f t="shared" ca="1" si="5"/>
        <v>638.34288484022034</v>
      </c>
      <c r="AG51" s="306">
        <f t="shared" ca="1" si="27"/>
        <v>26.48913344991351</v>
      </c>
      <c r="AH51" s="304">
        <f t="shared" ca="1" si="28"/>
        <v>35.965681956492503</v>
      </c>
    </row>
    <row r="52" spans="1:34" x14ac:dyDescent="0.2">
      <c r="A52" s="347">
        <f t="shared" ca="1" si="6"/>
        <v>0.01</v>
      </c>
      <c r="B52" s="304">
        <f t="shared" ca="1" si="7"/>
        <v>5.0799999999999894</v>
      </c>
      <c r="D52" s="306">
        <f t="shared" ca="1" si="8"/>
        <v>9.2129220095691373</v>
      </c>
      <c r="E52" s="307">
        <f t="shared" ca="1" si="9"/>
        <v>24.596700784337457</v>
      </c>
      <c r="F52" s="304">
        <f t="shared" ca="1" si="10"/>
        <v>26.265483460782335</v>
      </c>
      <c r="G52" s="306">
        <f t="shared" ca="1" si="11"/>
        <v>43.793713368374462</v>
      </c>
      <c r="H52" s="307">
        <f t="shared" ca="1" si="12"/>
        <v>163.45448304972544</v>
      </c>
      <c r="I52" s="304">
        <f t="shared" ca="1" si="13"/>
        <v>169.21955371541529</v>
      </c>
      <c r="J52" s="306">
        <f t="shared" ca="1" si="14"/>
        <v>150.96339214550491</v>
      </c>
      <c r="K52" s="307">
        <f t="shared" ca="1" si="15"/>
        <v>639.97619983567836</v>
      </c>
      <c r="L52" s="304">
        <f t="shared" ca="1" si="0"/>
        <v>657.54047945673551</v>
      </c>
      <c r="M52" s="306">
        <f t="shared" ca="1" si="16"/>
        <v>1.309018534898599</v>
      </c>
      <c r="N52" s="304">
        <f t="shared" ca="1" si="17"/>
        <v>75.00123735408819</v>
      </c>
      <c r="P52" s="310">
        <f t="shared" ca="1" si="18"/>
        <v>3</v>
      </c>
      <c r="Q52" s="304">
        <f t="shared" ca="1" si="19"/>
        <v>172.50000000000085</v>
      </c>
      <c r="R52" s="306">
        <f t="shared" ca="1" si="20"/>
        <v>9.1554338668913673E-2</v>
      </c>
      <c r="S52" s="307">
        <f t="shared" ca="1" si="21"/>
        <v>2.9635194114400258</v>
      </c>
      <c r="T52" s="304">
        <f t="shared" ca="1" si="1"/>
        <v>29.072125426226656</v>
      </c>
      <c r="U52" s="311">
        <f t="shared" ca="1" si="2"/>
        <v>0</v>
      </c>
      <c r="V52" s="306">
        <f t="shared" ca="1" si="3"/>
        <v>1.1490337452709907</v>
      </c>
      <c r="W52" s="304">
        <f t="shared" ca="1" si="4"/>
        <v>67.139335011144567</v>
      </c>
      <c r="Y52" s="314" t="str">
        <f t="shared" ca="1" si="22"/>
        <v/>
      </c>
      <c r="Z52" s="315" t="str">
        <f t="shared" ca="1" si="23"/>
        <v/>
      </c>
      <c r="AA52" s="316" t="str">
        <f t="shared" ca="1" si="24"/>
        <v/>
      </c>
      <c r="AC52" s="310" t="e">
        <f t="shared" ca="1" si="25"/>
        <v>#N/A</v>
      </c>
      <c r="AD52" s="323" t="e">
        <f t="shared" ca="1" si="26"/>
        <v>#N/A</v>
      </c>
      <c r="AE52" s="324">
        <f t="shared" ca="1" si="5"/>
        <v>639.97619983567836</v>
      </c>
      <c r="AG52" s="306">
        <f t="shared" ca="1" si="27"/>
        <v>26.142633320808155</v>
      </c>
      <c r="AH52" s="304">
        <f t="shared" ca="1" si="28"/>
        <v>35.61880108618665</v>
      </c>
    </row>
    <row r="53" spans="1:34" x14ac:dyDescent="0.2">
      <c r="A53" s="347">
        <f t="shared" ca="1" si="6"/>
        <v>0.01</v>
      </c>
      <c r="B53" s="304">
        <f t="shared" ca="1" si="7"/>
        <v>5.0899999999999892</v>
      </c>
      <c r="D53" s="306">
        <f t="shared" ca="1" si="8"/>
        <v>9.1284580807757774</v>
      </c>
      <c r="E53" s="307">
        <f t="shared" ca="1" si="9"/>
        <v>24.260812495014427</v>
      </c>
      <c r="F53" s="304">
        <f t="shared" ca="1" si="10"/>
        <v>25.921338118444595</v>
      </c>
      <c r="G53" s="306">
        <f t="shared" ca="1" si="11"/>
        <v>43.884997949182221</v>
      </c>
      <c r="H53" s="307">
        <f t="shared" ca="1" si="12"/>
        <v>163.69709117467559</v>
      </c>
      <c r="I53" s="304">
        <f t="shared" ca="1" si="13"/>
        <v>169.47752271038712</v>
      </c>
      <c r="J53" s="306">
        <f t="shared" ca="1" si="14"/>
        <v>151.4017857020927</v>
      </c>
      <c r="K53" s="307">
        <f t="shared" ca="1" si="15"/>
        <v>641.61195770680035</v>
      </c>
      <c r="L53" s="304">
        <f t="shared" ca="1" si="0"/>
        <v>659.23319469375588</v>
      </c>
      <c r="M53" s="306">
        <f t="shared" ca="1" si="16"/>
        <v>1.3088687327204835</v>
      </c>
      <c r="N53" s="304">
        <f t="shared" ca="1" si="17"/>
        <v>74.992654321520305</v>
      </c>
      <c r="P53" s="310">
        <f t="shared" ca="1" si="18"/>
        <v>3</v>
      </c>
      <c r="Q53" s="304">
        <f t="shared" ca="1" si="19"/>
        <v>171.63793103448364</v>
      </c>
      <c r="R53" s="306">
        <f t="shared" ca="1" si="20"/>
        <v>9.1096795747030057E-2</v>
      </c>
      <c r="S53" s="307">
        <f t="shared" ca="1" si="21"/>
        <v>2.9626084434825555</v>
      </c>
      <c r="T53" s="304">
        <f t="shared" ca="1" si="1"/>
        <v>29.06318883056387</v>
      </c>
      <c r="U53" s="311">
        <f t="shared" ca="1" si="2"/>
        <v>0</v>
      </c>
      <c r="V53" s="306">
        <f t="shared" ca="1" si="3"/>
        <v>1.1488456134335596</v>
      </c>
      <c r="W53" s="304">
        <f t="shared" ca="1" si="4"/>
        <v>67.333167646514667</v>
      </c>
      <c r="Y53" s="314" t="str">
        <f t="shared" ca="1" si="22"/>
        <v/>
      </c>
      <c r="Z53" s="315" t="str">
        <f t="shared" ca="1" si="23"/>
        <v/>
      </c>
      <c r="AA53" s="316" t="str">
        <f t="shared" ca="1" si="24"/>
        <v/>
      </c>
      <c r="AC53" s="310" t="e">
        <f t="shared" ca="1" si="25"/>
        <v>#N/A</v>
      </c>
      <c r="AD53" s="323" t="e">
        <f t="shared" ca="1" si="26"/>
        <v>#N/A</v>
      </c>
      <c r="AE53" s="324">
        <f t="shared" ca="1" si="5"/>
        <v>641.61195770680035</v>
      </c>
      <c r="AG53" s="306">
        <f t="shared" ca="1" si="27"/>
        <v>25.796709337532995</v>
      </c>
      <c r="AH53" s="304">
        <f t="shared" ca="1" si="28"/>
        <v>35.272496523536752</v>
      </c>
    </row>
    <row r="54" spans="1:34" x14ac:dyDescent="0.2">
      <c r="A54" s="347">
        <f t="shared" ca="1" si="6"/>
        <v>0.01</v>
      </c>
      <c r="B54" s="304">
        <f t="shared" ca="1" si="7"/>
        <v>5.099999999999989</v>
      </c>
      <c r="D54" s="306">
        <f t="shared" ca="1" si="8"/>
        <v>9.0440391447647119</v>
      </c>
      <c r="E54" s="307">
        <f t="shared" ca="1" si="9"/>
        <v>23.925512581822339</v>
      </c>
      <c r="F54" s="304">
        <f t="shared" ca="1" si="10"/>
        <v>25.577818444014639</v>
      </c>
      <c r="G54" s="306">
        <f t="shared" ca="1" si="11"/>
        <v>43.975438340629871</v>
      </c>
      <c r="H54" s="307">
        <f t="shared" ca="1" si="12"/>
        <v>163.93634630049382</v>
      </c>
      <c r="I54" s="304">
        <f t="shared" ca="1" si="13"/>
        <v>169.73203827093451</v>
      </c>
      <c r="J54" s="306">
        <f t="shared" ca="1" si="14"/>
        <v>151.84108788354175</v>
      </c>
      <c r="K54" s="307">
        <f t="shared" ca="1" si="15"/>
        <v>643.25012489417622</v>
      </c>
      <c r="L54" s="304">
        <f t="shared" ca="1" si="0"/>
        <v>660.92846749556099</v>
      </c>
      <c r="M54" s="306">
        <f t="shared" ca="1" si="16"/>
        <v>1.3087190715430597</v>
      </c>
      <c r="N54" s="304">
        <f t="shared" ca="1" si="17"/>
        <v>74.98407936769695</v>
      </c>
      <c r="P54" s="310">
        <f t="shared" ca="1" si="18"/>
        <v>3</v>
      </c>
      <c r="Q54" s="304">
        <f t="shared" ca="1" si="19"/>
        <v>170.77586206896643</v>
      </c>
      <c r="R54" s="306">
        <f t="shared" ca="1" si="20"/>
        <v>9.0639252825146455E-2</v>
      </c>
      <c r="S54" s="307">
        <f t="shared" ca="1" si="21"/>
        <v>2.9617020509543042</v>
      </c>
      <c r="T54" s="304">
        <f t="shared" ca="1" si="1"/>
        <v>29.054297119861726</v>
      </c>
      <c r="U54" s="311">
        <f t="shared" ca="1" si="2"/>
        <v>0</v>
      </c>
      <c r="V54" s="306">
        <f t="shared" ca="1" si="3"/>
        <v>1.1486572343765653</v>
      </c>
      <c r="W54" s="304">
        <f t="shared" ca="1" si="4"/>
        <v>67.524482837895022</v>
      </c>
      <c r="Y54" s="314" t="str">
        <f t="shared" ca="1" si="22"/>
        <v/>
      </c>
      <c r="Z54" s="315" t="str">
        <f t="shared" ca="1" si="23"/>
        <v/>
      </c>
      <c r="AA54" s="316" t="str">
        <f t="shared" ca="1" si="24"/>
        <v/>
      </c>
      <c r="AC54" s="310" t="e">
        <f t="shared" ca="1" si="25"/>
        <v>#N/A</v>
      </c>
      <c r="AD54" s="323" t="e">
        <f t="shared" ca="1" si="26"/>
        <v>#N/A</v>
      </c>
      <c r="AE54" s="324">
        <f t="shared" ca="1" si="5"/>
        <v>643.25012489417622</v>
      </c>
      <c r="AG54" s="306">
        <f t="shared" ca="1" si="27"/>
        <v>25.451365967856312</v>
      </c>
      <c r="AH54" s="304">
        <f t="shared" ca="1" si="28"/>
        <v>34.926772728242867</v>
      </c>
    </row>
    <row r="55" spans="1:34" x14ac:dyDescent="0.2">
      <c r="A55" s="347">
        <f t="shared" ca="1" si="6"/>
        <v>0.01</v>
      </c>
      <c r="B55" s="304">
        <f t="shared" ca="1" si="7"/>
        <v>5.1099999999999888</v>
      </c>
      <c r="D55" s="306">
        <f t="shared" ca="1" si="8"/>
        <v>8.9596668525979712</v>
      </c>
      <c r="E55" s="307">
        <f t="shared" ca="1" si="9"/>
        <v>23.590805160991117</v>
      </c>
      <c r="F55" s="304">
        <f t="shared" ca="1" si="10"/>
        <v>25.234930518101052</v>
      </c>
      <c r="G55" s="306">
        <f t="shared" ca="1" si="11"/>
        <v>44.065035009155849</v>
      </c>
      <c r="H55" s="307">
        <f t="shared" ca="1" si="12"/>
        <v>164.17225435210372</v>
      </c>
      <c r="I55" s="304">
        <f t="shared" ca="1" si="13"/>
        <v>169.98310624709143</v>
      </c>
      <c r="J55" s="306">
        <f t="shared" ca="1" si="14"/>
        <v>152.28129025029068</v>
      </c>
      <c r="K55" s="307">
        <f t="shared" ca="1" si="15"/>
        <v>644.89066789743924</v>
      </c>
      <c r="L55" s="304">
        <f t="shared" ca="1" si="0"/>
        <v>662.62626336532912</v>
      </c>
      <c r="M55" s="306">
        <f t="shared" ca="1" si="16"/>
        <v>1.3085695479934787</v>
      </c>
      <c r="N55" s="304">
        <f t="shared" ca="1" si="17"/>
        <v>74.975512299368148</v>
      </c>
      <c r="P55" s="310">
        <f t="shared" ca="1" si="18"/>
        <v>3</v>
      </c>
      <c r="Q55" s="304">
        <f t="shared" ca="1" si="19"/>
        <v>169.91379310344919</v>
      </c>
      <c r="R55" s="306">
        <f t="shared" ca="1" si="20"/>
        <v>9.0181709903262838E-2</v>
      </c>
      <c r="S55" s="307">
        <f t="shared" ca="1" si="21"/>
        <v>2.9608002338552715</v>
      </c>
      <c r="T55" s="304">
        <f t="shared" ca="1" si="1"/>
        <v>29.045450294120215</v>
      </c>
      <c r="U55" s="311">
        <f t="shared" ca="1" si="2"/>
        <v>0</v>
      </c>
      <c r="V55" s="306">
        <f t="shared" ca="1" si="3"/>
        <v>1.148468612076228</v>
      </c>
      <c r="W55" s="304">
        <f t="shared" ca="1" si="4"/>
        <v>67.713274189365606</v>
      </c>
      <c r="Y55" s="314" t="str">
        <f t="shared" ca="1" si="22"/>
        <v/>
      </c>
      <c r="Z55" s="315" t="str">
        <f t="shared" ca="1" si="23"/>
        <v/>
      </c>
      <c r="AA55" s="316" t="str">
        <f t="shared" ca="1" si="24"/>
        <v/>
      </c>
      <c r="AC55" s="310" t="e">
        <f t="shared" ca="1" si="25"/>
        <v>#N/A</v>
      </c>
      <c r="AD55" s="323" t="e">
        <f t="shared" ca="1" si="26"/>
        <v>#N/A</v>
      </c>
      <c r="AE55" s="324">
        <f t="shared" ca="1" si="5"/>
        <v>644.89066789743924</v>
      </c>
      <c r="AG55" s="306">
        <f t="shared" ca="1" si="27"/>
        <v>25.106607597597328</v>
      </c>
      <c r="AH55" s="304">
        <f t="shared" ca="1" si="28"/>
        <v>34.58163407810617</v>
      </c>
    </row>
    <row r="56" spans="1:34" x14ac:dyDescent="0.2">
      <c r="A56" s="347">
        <f t="shared" ca="1" si="6"/>
        <v>0.01</v>
      </c>
      <c r="B56" s="304">
        <f t="shared" ca="1" si="7"/>
        <v>5.1199999999999886</v>
      </c>
      <c r="D56" s="306">
        <f t="shared" ca="1" si="8"/>
        <v>8.8753428307597009</v>
      </c>
      <c r="E56" s="307">
        <f t="shared" ca="1" si="9"/>
        <v>23.256694270658095</v>
      </c>
      <c r="F56" s="304">
        <f t="shared" ca="1" si="10"/>
        <v>24.892680425425837</v>
      </c>
      <c r="G56" s="306">
        <f t="shared" ca="1" si="11"/>
        <v>44.153788437463447</v>
      </c>
      <c r="H56" s="307">
        <f t="shared" ca="1" si="12"/>
        <v>164.40482129481029</v>
      </c>
      <c r="I56" s="304">
        <f t="shared" ca="1" si="13"/>
        <v>170.2307325319338</v>
      </c>
      <c r="J56" s="306">
        <f t="shared" ca="1" si="14"/>
        <v>152.72238436752377</v>
      </c>
      <c r="K56" s="307">
        <f t="shared" ca="1" si="15"/>
        <v>646.53355327567385</v>
      </c>
      <c r="L56" s="304">
        <f t="shared" ca="1" si="0"/>
        <v>664.32654786495652</v>
      </c>
      <c r="M56" s="306">
        <f t="shared" ca="1" si="16"/>
        <v>1.3084201587254642</v>
      </c>
      <c r="N56" s="304">
        <f t="shared" ca="1" si="17"/>
        <v>74.966952924806378</v>
      </c>
      <c r="P56" s="310">
        <f t="shared" ca="1" si="18"/>
        <v>3</v>
      </c>
      <c r="Q56" s="304">
        <f t="shared" ca="1" si="19"/>
        <v>169.05172413793198</v>
      </c>
      <c r="R56" s="306">
        <f t="shared" ca="1" si="20"/>
        <v>8.9724166981379222E-2</v>
      </c>
      <c r="S56" s="307">
        <f t="shared" ca="1" si="21"/>
        <v>2.9599029921854578</v>
      </c>
      <c r="T56" s="304">
        <f t="shared" ca="1" si="1"/>
        <v>29.036648353339341</v>
      </c>
      <c r="U56" s="311">
        <f t="shared" ca="1" si="2"/>
        <v>0</v>
      </c>
      <c r="V56" s="306">
        <f t="shared" ca="1" si="3"/>
        <v>1.1482797504996143</v>
      </c>
      <c r="W56" s="304">
        <f t="shared" ca="1" si="4"/>
        <v>67.899535544563832</v>
      </c>
      <c r="Y56" s="314" t="str">
        <f t="shared" ca="1" si="22"/>
        <v/>
      </c>
      <c r="Z56" s="315" t="str">
        <f t="shared" ca="1" si="23"/>
        <v/>
      </c>
      <c r="AA56" s="316" t="str">
        <f t="shared" ca="1" si="24"/>
        <v/>
      </c>
      <c r="AC56" s="310" t="e">
        <f t="shared" ca="1" si="25"/>
        <v>#N/A</v>
      </c>
      <c r="AD56" s="323" t="e">
        <f t="shared" ca="1" si="26"/>
        <v>#N/A</v>
      </c>
      <c r="AE56" s="324">
        <f t="shared" ca="1" si="5"/>
        <v>646.53355327567385</v>
      </c>
      <c r="AG56" s="306">
        <f t="shared" ca="1" si="27"/>
        <v>24.762438530971981</v>
      </c>
      <c r="AH56" s="304">
        <f t="shared" ca="1" si="28"/>
        <v>34.237084869373597</v>
      </c>
    </row>
    <row r="57" spans="1:34" x14ac:dyDescent="0.2">
      <c r="A57" s="347">
        <f t="shared" ca="1" si="6"/>
        <v>0.01</v>
      </c>
      <c r="B57" s="304">
        <f t="shared" ca="1" si="7"/>
        <v>5.1299999999999883</v>
      </c>
      <c r="D57" s="306">
        <f t="shared" ca="1" si="8"/>
        <v>8.7910686812653278</v>
      </c>
      <c r="E57" s="307">
        <f t="shared" ca="1" si="9"/>
        <v>22.923183871206199</v>
      </c>
      <c r="F57" s="304">
        <f t="shared" ca="1" si="10"/>
        <v>24.55107426064799</v>
      </c>
      <c r="G57" s="306">
        <f t="shared" ca="1" si="11"/>
        <v>44.241699124276103</v>
      </c>
      <c r="H57" s="307">
        <f t="shared" ca="1" si="12"/>
        <v>164.63405313352234</v>
      </c>
      <c r="I57" s="304">
        <f t="shared" ca="1" si="13"/>
        <v>170.474923060767</v>
      </c>
      <c r="J57" s="306">
        <f t="shared" ca="1" si="14"/>
        <v>153.16436180533248</v>
      </c>
      <c r="K57" s="307">
        <f t="shared" ca="1" si="15"/>
        <v>648.1787476478155</v>
      </c>
      <c r="L57" s="304">
        <f t="shared" ca="1" si="0"/>
        <v>666.02928661548003</v>
      </c>
      <c r="M57" s="306">
        <f t="shared" ca="1" si="16"/>
        <v>1.3082709004187849</v>
      </c>
      <c r="N57" s="304">
        <f t="shared" ca="1" si="17"/>
        <v>74.958401053776385</v>
      </c>
      <c r="P57" s="310">
        <f t="shared" ca="1" si="18"/>
        <v>3</v>
      </c>
      <c r="Q57" s="304">
        <f t="shared" ca="1" si="19"/>
        <v>168.18965517241475</v>
      </c>
      <c r="R57" s="306">
        <f t="shared" ca="1" si="20"/>
        <v>8.9266624059495606E-2</v>
      </c>
      <c r="S57" s="307">
        <f t="shared" ca="1" si="21"/>
        <v>2.9590103259448628</v>
      </c>
      <c r="T57" s="304">
        <f t="shared" ca="1" si="1"/>
        <v>29.027891297519105</v>
      </c>
      <c r="U57" s="311">
        <f t="shared" ca="1" si="2"/>
        <v>0</v>
      </c>
      <c r="V57" s="306">
        <f t="shared" ca="1" si="3"/>
        <v>1.1480906536045918</v>
      </c>
      <c r="W57" s="304">
        <f t="shared" ca="1" si="4"/>
        <v>68.083260985070083</v>
      </c>
      <c r="Y57" s="314" t="str">
        <f t="shared" ca="1" si="22"/>
        <v/>
      </c>
      <c r="Z57" s="315" t="str">
        <f t="shared" ca="1" si="23"/>
        <v/>
      </c>
      <c r="AA57" s="316" t="str">
        <f t="shared" ca="1" si="24"/>
        <v/>
      </c>
      <c r="AC57" s="310" t="e">
        <f t="shared" ca="1" si="25"/>
        <v>#N/A</v>
      </c>
      <c r="AD57" s="323" t="e">
        <f t="shared" ca="1" si="26"/>
        <v>#N/A</v>
      </c>
      <c r="AE57" s="324">
        <f t="shared" ca="1" si="5"/>
        <v>648.1787476478155</v>
      </c>
      <c r="AG57" s="306">
        <f t="shared" ca="1" si="27"/>
        <v>24.418862990945218</v>
      </c>
      <c r="AH57" s="304">
        <f t="shared" ca="1" si="28"/>
        <v>33.893129317088999</v>
      </c>
    </row>
    <row r="58" spans="1:34" x14ac:dyDescent="0.2">
      <c r="A58" s="347">
        <f t="shared" ca="1" si="6"/>
        <v>0.01</v>
      </c>
      <c r="B58" s="304">
        <f t="shared" ca="1" si="7"/>
        <v>5.1399999999999881</v>
      </c>
      <c r="D58" s="306">
        <f t="shared" ca="1" si="8"/>
        <v>8.7068459817714885</v>
      </c>
      <c r="E58" s="307">
        <f t="shared" ca="1" si="9"/>
        <v>22.590277845608561</v>
      </c>
      <c r="F58" s="304">
        <f t="shared" ca="1" si="10"/>
        <v>24.21011813461643</v>
      </c>
      <c r="G58" s="306">
        <f t="shared" ca="1" si="11"/>
        <v>44.328767584093818</v>
      </c>
      <c r="H58" s="307">
        <f t="shared" ca="1" si="12"/>
        <v>164.85995591197843</v>
      </c>
      <c r="I58" s="304">
        <f t="shared" ca="1" si="13"/>
        <v>170.71568381031685</v>
      </c>
      <c r="J58" s="306">
        <f t="shared" ca="1" si="14"/>
        <v>153.60721413887433</v>
      </c>
      <c r="K58" s="307">
        <f t="shared" ca="1" si="15"/>
        <v>649.82621769304296</v>
      </c>
      <c r="L58" s="304">
        <f t="shared" ca="1" si="0"/>
        <v>667.73444529749406</v>
      </c>
      <c r="M58" s="306">
        <f t="shared" ca="1" si="16"/>
        <v>1.3081217697787346</v>
      </c>
      <c r="N58" s="304">
        <f t="shared" ca="1" si="17"/>
        <v>74.949856497505408</v>
      </c>
      <c r="P58" s="310">
        <f t="shared" ca="1" si="18"/>
        <v>3</v>
      </c>
      <c r="Q58" s="304">
        <f t="shared" ca="1" si="19"/>
        <v>167.32758620689754</v>
      </c>
      <c r="R58" s="306">
        <f t="shared" ca="1" si="20"/>
        <v>8.8809081137611989E-2</v>
      </c>
      <c r="S58" s="307">
        <f t="shared" ca="1" si="21"/>
        <v>2.9581222351334868</v>
      </c>
      <c r="T58" s="304">
        <f t="shared" ca="1" si="1"/>
        <v>29.019179126659509</v>
      </c>
      <c r="U58" s="311">
        <f t="shared" ca="1" si="2"/>
        <v>0</v>
      </c>
      <c r="V58" s="306">
        <f t="shared" ca="1" si="3"/>
        <v>1.1479013253397818</v>
      </c>
      <c r="W58" s="304">
        <f t="shared" ca="1" si="4"/>
        <v>68.264444828781635</v>
      </c>
      <c r="Y58" s="314" t="str">
        <f t="shared" ca="1" si="22"/>
        <v/>
      </c>
      <c r="Z58" s="315" t="str">
        <f t="shared" ca="1" si="23"/>
        <v/>
      </c>
      <c r="AA58" s="316" t="str">
        <f t="shared" ca="1" si="24"/>
        <v/>
      </c>
      <c r="AC58" s="310" t="e">
        <f t="shared" ca="1" si="25"/>
        <v>#N/A</v>
      </c>
      <c r="AD58" s="323" t="e">
        <f t="shared" ca="1" si="26"/>
        <v>#N/A</v>
      </c>
      <c r="AE58" s="324">
        <f t="shared" ca="1" si="5"/>
        <v>649.82621769304296</v>
      </c>
      <c r="AG58" s="306">
        <f t="shared" ca="1" si="27"/>
        <v>24.075885119589582</v>
      </c>
      <c r="AH58" s="304">
        <f t="shared" ca="1" si="28"/>
        <v>33.549771555450619</v>
      </c>
    </row>
    <row r="59" spans="1:34" x14ac:dyDescent="0.2">
      <c r="A59" s="347">
        <f t="shared" ca="1" si="6"/>
        <v>0.01</v>
      </c>
      <c r="B59" s="304">
        <f t="shared" ca="1" si="7"/>
        <v>5.1499999999999879</v>
      </c>
      <c r="D59" s="306">
        <f t="shared" ca="1" si="8"/>
        <v>8.6226762856867918</v>
      </c>
      <c r="E59" s="307">
        <f t="shared" ca="1" si="9"/>
        <v>22.257979999779323</v>
      </c>
      <c r="F59" s="304">
        <f t="shared" ca="1" si="10"/>
        <v>23.869818181090565</v>
      </c>
      <c r="G59" s="306">
        <f t="shared" ca="1" si="11"/>
        <v>44.414994346950685</v>
      </c>
      <c r="H59" s="307">
        <f t="shared" ca="1" si="12"/>
        <v>165.08253571197622</v>
      </c>
      <c r="I59" s="304">
        <f t="shared" ca="1" si="13"/>
        <v>170.95302079792438</v>
      </c>
      <c r="J59" s="306">
        <f t="shared" ca="1" si="14"/>
        <v>154.05093294852955</v>
      </c>
      <c r="K59" s="307">
        <f t="shared" ca="1" si="15"/>
        <v>651.47593015116274</v>
      </c>
      <c r="L59" s="304">
        <f t="shared" ca="1" si="0"/>
        <v>669.44198965155681</v>
      </c>
      <c r="M59" s="306">
        <f t="shared" ca="1" si="16"/>
        <v>1.3079727635356242</v>
      </c>
      <c r="N59" s="304">
        <f t="shared" ca="1" si="17"/>
        <v>74.941319068654082</v>
      </c>
      <c r="P59" s="310">
        <f t="shared" ca="1" si="18"/>
        <v>3</v>
      </c>
      <c r="Q59" s="304">
        <f t="shared" ca="1" si="19"/>
        <v>166.46551724138033</v>
      </c>
      <c r="R59" s="306">
        <f t="shared" ca="1" si="20"/>
        <v>8.8351538215728387E-2</v>
      </c>
      <c r="S59" s="307">
        <f t="shared" ca="1" si="21"/>
        <v>2.9572387197513295</v>
      </c>
      <c r="T59" s="304">
        <f t="shared" ca="1" si="1"/>
        <v>29.010511840760543</v>
      </c>
      <c r="U59" s="311">
        <f t="shared" ca="1" si="2"/>
        <v>0</v>
      </c>
      <c r="V59" s="306">
        <f t="shared" ca="1" si="3"/>
        <v>1.1477117696445116</v>
      </c>
      <c r="W59" s="304">
        <f t="shared" ca="1" si="4"/>
        <v>68.443081628276488</v>
      </c>
      <c r="Y59" s="314" t="str">
        <f t="shared" ca="1" si="22"/>
        <v/>
      </c>
      <c r="Z59" s="315" t="str">
        <f t="shared" ca="1" si="23"/>
        <v/>
      </c>
      <c r="AA59" s="316" t="str">
        <f t="shared" ca="1" si="24"/>
        <v/>
      </c>
      <c r="AC59" s="310" t="e">
        <f t="shared" ca="1" si="25"/>
        <v>#N/A</v>
      </c>
      <c r="AD59" s="323" t="e">
        <f t="shared" ca="1" si="26"/>
        <v>#N/A</v>
      </c>
      <c r="AE59" s="324">
        <f t="shared" ca="1" si="5"/>
        <v>651.47593015116274</v>
      </c>
      <c r="AG59" s="306">
        <f t="shared" ca="1" si="27"/>
        <v>23.733508978450104</v>
      </c>
      <c r="AH59" s="304">
        <f t="shared" ca="1" si="28"/>
        <v>33.207015638174894</v>
      </c>
    </row>
    <row r="60" spans="1:34" x14ac:dyDescent="0.2">
      <c r="A60" s="347">
        <f t="shared" ca="1" si="6"/>
        <v>0.01</v>
      </c>
      <c r="B60" s="304">
        <f t="shared" ca="1" si="7"/>
        <v>5.1599999999999877</v>
      </c>
      <c r="D60" s="306">
        <f t="shared" ca="1" si="8"/>
        <v>8.5385611222832818</v>
      </c>
      <c r="E60" s="307">
        <f t="shared" ca="1" si="9"/>
        <v>21.926294062930474</v>
      </c>
      <c r="F60" s="304">
        <f t="shared" ca="1" si="10"/>
        <v>23.530180563970767</v>
      </c>
      <c r="G60" s="306">
        <f t="shared" ca="1" si="11"/>
        <v>44.500379958173518</v>
      </c>
      <c r="H60" s="307">
        <f t="shared" ca="1" si="12"/>
        <v>165.30179865260553</v>
      </c>
      <c r="I60" s="304">
        <f t="shared" ca="1" si="13"/>
        <v>171.18694008074434</v>
      </c>
      <c r="J60" s="306">
        <f t="shared" ca="1" si="14"/>
        <v>154.49550982005516</v>
      </c>
      <c r="K60" s="307">
        <f t="shared" ca="1" si="15"/>
        <v>653.12785182298569</v>
      </c>
      <c r="L60" s="304">
        <f t="shared" ca="1" si="0"/>
        <v>671.15188547859032</v>
      </c>
      <c r="M60" s="306">
        <f t="shared" ca="1" si="16"/>
        <v>1.3078238784442797</v>
      </c>
      <c r="N60" s="304">
        <f t="shared" ca="1" si="17"/>
        <v>74.932788581287625</v>
      </c>
      <c r="P60" s="310">
        <f t="shared" ca="1" si="18"/>
        <v>3</v>
      </c>
      <c r="Q60" s="304">
        <f t="shared" ca="1" si="19"/>
        <v>165.60344827586309</v>
      </c>
      <c r="R60" s="306">
        <f t="shared" ca="1" si="20"/>
        <v>8.7893995293844757E-2</v>
      </c>
      <c r="S60" s="307">
        <f t="shared" ca="1" si="21"/>
        <v>2.9563597797983912</v>
      </c>
      <c r="T60" s="304">
        <f t="shared" ca="1" si="1"/>
        <v>29.001889439822218</v>
      </c>
      <c r="U60" s="311">
        <f t="shared" ca="1" si="2"/>
        <v>0</v>
      </c>
      <c r="V60" s="306">
        <f t="shared" ca="1" si="3"/>
        <v>1.1475219904487703</v>
      </c>
      <c r="W60" s="304">
        <f t="shared" ca="1" si="4"/>
        <v>68.619166169166917</v>
      </c>
      <c r="Y60" s="314" t="str">
        <f t="shared" ca="1" si="22"/>
        <v/>
      </c>
      <c r="Z60" s="315" t="str">
        <f t="shared" ca="1" si="23"/>
        <v/>
      </c>
      <c r="AA60" s="316" t="str">
        <f t="shared" ca="1" si="24"/>
        <v/>
      </c>
      <c r="AC60" s="310" t="e">
        <f t="shared" ca="1" si="25"/>
        <v>#N/A</v>
      </c>
      <c r="AD60" s="323" t="e">
        <f t="shared" ca="1" si="26"/>
        <v>#N/A</v>
      </c>
      <c r="AE60" s="324">
        <f t="shared" ca="1" si="5"/>
        <v>653.12785182298569</v>
      </c>
      <c r="AG60" s="306">
        <f t="shared" ca="1" si="27"/>
        <v>23.391738548915249</v>
      </c>
      <c r="AH60" s="304">
        <f t="shared" ca="1" si="28"/>
        <v>32.864865538866333</v>
      </c>
    </row>
    <row r="61" spans="1:34" x14ac:dyDescent="0.2">
      <c r="A61" s="347">
        <f t="shared" ca="1" si="6"/>
        <v>0.01</v>
      </c>
      <c r="B61" s="304">
        <f t="shared" ca="1" si="7"/>
        <v>5.1699999999999875</v>
      </c>
      <c r="D61" s="306">
        <f t="shared" ca="1" si="8"/>
        <v>8.454501996808709</v>
      </c>
      <c r="E61" s="307">
        <f t="shared" ca="1" si="9"/>
        <v>21.595223687934677</v>
      </c>
      <c r="F61" s="304">
        <f t="shared" ca="1" si="10"/>
        <v>23.191211485085841</v>
      </c>
      <c r="G61" s="306">
        <f t="shared" ca="1" si="11"/>
        <v>44.584924978141608</v>
      </c>
      <c r="H61" s="307">
        <f t="shared" ca="1" si="12"/>
        <v>165.51775088948489</v>
      </c>
      <c r="I61" s="304">
        <f t="shared" ca="1" si="13"/>
        <v>171.41744775494732</v>
      </c>
      <c r="J61" s="306">
        <f t="shared" ca="1" si="14"/>
        <v>154.94093634473674</v>
      </c>
      <c r="K61" s="307">
        <f t="shared" ca="1" si="15"/>
        <v>654.78194957069616</v>
      </c>
      <c r="L61" s="304">
        <f t="shared" ca="1" si="0"/>
        <v>672.86409864027178</v>
      </c>
      <c r="M61" s="306">
        <f t="shared" ca="1" si="16"/>
        <v>1.3076751112835501</v>
      </c>
      <c r="N61" s="304">
        <f t="shared" ca="1" si="17"/>
        <v>74.924264850847678</v>
      </c>
      <c r="P61" s="310">
        <f t="shared" ca="1" si="18"/>
        <v>3</v>
      </c>
      <c r="Q61" s="304">
        <f t="shared" ca="1" si="19"/>
        <v>164.74137931034588</v>
      </c>
      <c r="R61" s="306">
        <f t="shared" ca="1" si="20"/>
        <v>8.7436452371961154E-2</v>
      </c>
      <c r="S61" s="307">
        <f t="shared" ca="1" si="21"/>
        <v>2.9554854152746715</v>
      </c>
      <c r="T61" s="304">
        <f t="shared" ca="1" si="1"/>
        <v>28.99331192384453</v>
      </c>
      <c r="U61" s="311">
        <f t="shared" ca="1" si="2"/>
        <v>0</v>
      </c>
      <c r="V61" s="306">
        <f t="shared" ca="1" si="3"/>
        <v>1.1473319916731657</v>
      </c>
      <c r="W61" s="304">
        <f t="shared" ca="1" si="4"/>
        <v>68.792693468443403</v>
      </c>
      <c r="Y61" s="314" t="str">
        <f t="shared" ca="1" si="22"/>
        <v/>
      </c>
      <c r="Z61" s="315" t="str">
        <f t="shared" ca="1" si="23"/>
        <v/>
      </c>
      <c r="AA61" s="316" t="str">
        <f t="shared" ca="1" si="24"/>
        <v/>
      </c>
      <c r="AC61" s="310" t="e">
        <f t="shared" ca="1" si="25"/>
        <v>#N/A</v>
      </c>
      <c r="AD61" s="323" t="e">
        <f t="shared" ca="1" si="26"/>
        <v>#N/A</v>
      </c>
      <c r="AE61" s="324">
        <f t="shared" ca="1" si="5"/>
        <v>654.78194957069616</v>
      </c>
      <c r="AG61" s="306">
        <f t="shared" ca="1" si="27"/>
        <v>23.05057773259383</v>
      </c>
      <c r="AH61" s="304">
        <f t="shared" ca="1" si="28"/>
        <v>32.523325151393358</v>
      </c>
    </row>
    <row r="62" spans="1:34" x14ac:dyDescent="0.2">
      <c r="A62" s="347">
        <f t="shared" ca="1" si="6"/>
        <v>0.01</v>
      </c>
      <c r="B62" s="304">
        <f t="shared" ca="1" si="7"/>
        <v>5.1799999999999873</v>
      </c>
      <c r="D62" s="306">
        <f t="shared" ca="1" si="8"/>
        <v>8.3705003905994797</v>
      </c>
      <c r="E62" s="307">
        <f t="shared" ca="1" si="9"/>
        <v>21.264772451693609</v>
      </c>
      <c r="F62" s="304">
        <f t="shared" ca="1" si="10"/>
        <v>22.852917192589079</v>
      </c>
      <c r="G62" s="306">
        <f t="shared" ca="1" si="11"/>
        <v>44.668629982047605</v>
      </c>
      <c r="H62" s="307">
        <f t="shared" ca="1" si="12"/>
        <v>165.73039861400181</v>
      </c>
      <c r="I62" s="304">
        <f t="shared" ca="1" si="13"/>
        <v>171.64454995492579</v>
      </c>
      <c r="J62" s="306">
        <f t="shared" ca="1" si="14"/>
        <v>155.3872041195377</v>
      </c>
      <c r="K62" s="307">
        <f t="shared" ca="1" si="15"/>
        <v>656.43819031821363</v>
      </c>
      <c r="L62" s="304">
        <f t="shared" ca="1" si="0"/>
        <v>674.57859505941792</v>
      </c>
      <c r="M62" s="306">
        <f t="shared" ca="1" si="16"/>
        <v>1.307526458855822</v>
      </c>
      <c r="N62" s="304">
        <f t="shared" ca="1" si="17"/>
        <v>74.915747694124477</v>
      </c>
      <c r="P62" s="310">
        <f t="shared" ca="1" si="18"/>
        <v>3</v>
      </c>
      <c r="Q62" s="304">
        <f t="shared" ca="1" si="19"/>
        <v>163.87931034482864</v>
      </c>
      <c r="R62" s="306">
        <f t="shared" ca="1" si="20"/>
        <v>8.6978909450077538E-2</v>
      </c>
      <c r="S62" s="307">
        <f t="shared" ca="1" si="21"/>
        <v>2.9546156261801708</v>
      </c>
      <c r="T62" s="304">
        <f t="shared" ca="1" si="1"/>
        <v>28.984779292827476</v>
      </c>
      <c r="U62" s="311">
        <f t="shared" ca="1" si="2"/>
        <v>0</v>
      </c>
      <c r="V62" s="306">
        <f t="shared" ca="1" si="3"/>
        <v>1.1471417772288819</v>
      </c>
      <c r="W62" s="304">
        <f t="shared" ca="1" si="4"/>
        <v>68.963658772809396</v>
      </c>
      <c r="Y62" s="314" t="str">
        <f t="shared" ca="1" si="22"/>
        <v/>
      </c>
      <c r="Z62" s="315" t="str">
        <f t="shared" ca="1" si="23"/>
        <v/>
      </c>
      <c r="AA62" s="316" t="str">
        <f t="shared" ca="1" si="24"/>
        <v/>
      </c>
      <c r="AC62" s="310" t="e">
        <f t="shared" ca="1" si="25"/>
        <v>#N/A</v>
      </c>
      <c r="AD62" s="323" t="e">
        <f t="shared" ca="1" si="26"/>
        <v>#N/A</v>
      </c>
      <c r="AE62" s="324">
        <f t="shared" ca="1" si="5"/>
        <v>656.43819031821363</v>
      </c>
      <c r="AG62" s="306">
        <f t="shared" ca="1" si="27"/>
        <v>22.710030351697576</v>
      </c>
      <c r="AH62" s="304">
        <f t="shared" ca="1" si="28"/>
        <v>32.182398290269823</v>
      </c>
    </row>
    <row r="63" spans="1:34" x14ac:dyDescent="0.2">
      <c r="A63" s="347">
        <f t="shared" ca="1" si="6"/>
        <v>0.01</v>
      </c>
      <c r="B63" s="304">
        <f t="shared" ca="1" si="7"/>
        <v>5.1899999999999871</v>
      </c>
      <c r="D63" s="306">
        <f t="shared" ca="1" si="8"/>
        <v>8.2865577611944214</v>
      </c>
      <c r="E63" s="307">
        <f t="shared" ca="1" si="9"/>
        <v>20.934943855512174</v>
      </c>
      <c r="F63" s="304">
        <f t="shared" ca="1" si="10"/>
        <v>22.515303990021064</v>
      </c>
      <c r="G63" s="306">
        <f t="shared" ca="1" si="11"/>
        <v>44.751495559659553</v>
      </c>
      <c r="H63" s="307">
        <f t="shared" ca="1" si="12"/>
        <v>165.93974805255692</v>
      </c>
      <c r="I63" s="304">
        <f t="shared" ca="1" si="13"/>
        <v>171.86825285250413</v>
      </c>
      <c r="J63" s="306">
        <f t="shared" ca="1" si="14"/>
        <v>155.83430474724622</v>
      </c>
      <c r="K63" s="307">
        <f t="shared" ca="1" si="15"/>
        <v>658.09654105154641</v>
      </c>
      <c r="L63" s="304">
        <f t="shared" ca="1" si="0"/>
        <v>676.2953407203596</v>
      </c>
      <c r="M63" s="306">
        <f t="shared" ca="1" si="16"/>
        <v>1.3073779179865443</v>
      </c>
      <c r="N63" s="304">
        <f t="shared" ca="1" si="17"/>
        <v>74.907236929229668</v>
      </c>
      <c r="P63" s="310">
        <f t="shared" ca="1" si="18"/>
        <v>3</v>
      </c>
      <c r="Q63" s="304">
        <f t="shared" ca="1" si="19"/>
        <v>163.01724137931143</v>
      </c>
      <c r="R63" s="306">
        <f t="shared" ca="1" si="20"/>
        <v>8.6521366528193921E-2</v>
      </c>
      <c r="S63" s="307">
        <f t="shared" ca="1" si="21"/>
        <v>2.9537504125148888</v>
      </c>
      <c r="T63" s="304">
        <f t="shared" ca="1" si="1"/>
        <v>28.976291546771062</v>
      </c>
      <c r="U63" s="311">
        <f t="shared" ca="1" si="2"/>
        <v>0</v>
      </c>
      <c r="V63" s="306">
        <f t="shared" ca="1" si="3"/>
        <v>1.1469513510176377</v>
      </c>
      <c r="W63" s="304">
        <f t="shared" ca="1" si="4"/>
        <v>69.132057557007244</v>
      </c>
      <c r="Y63" s="314" t="str">
        <f t="shared" ca="1" si="22"/>
        <v/>
      </c>
      <c r="Z63" s="315" t="str">
        <f t="shared" ca="1" si="23"/>
        <v/>
      </c>
      <c r="AA63" s="316" t="str">
        <f t="shared" ca="1" si="24"/>
        <v/>
      </c>
      <c r="AC63" s="310" t="e">
        <f t="shared" ca="1" si="25"/>
        <v>#N/A</v>
      </c>
      <c r="AD63" s="323" t="e">
        <f t="shared" ca="1" si="26"/>
        <v>#N/A</v>
      </c>
      <c r="AE63" s="324">
        <f t="shared" ca="1" si="5"/>
        <v>658.09654105154641</v>
      </c>
      <c r="AG63" s="306">
        <f t="shared" ca="1" si="27"/>
        <v>22.370100149429469</v>
      </c>
      <c r="AH63" s="304">
        <f t="shared" ca="1" si="28"/>
        <v>31.842088691042356</v>
      </c>
    </row>
    <row r="64" spans="1:34" x14ac:dyDescent="0.2">
      <c r="A64" s="347">
        <f t="shared" ca="1" si="6"/>
        <v>0.01</v>
      </c>
      <c r="B64" s="304">
        <f t="shared" ca="1" si="7"/>
        <v>5.1999999999999869</v>
      </c>
      <c r="D64" s="306">
        <f t="shared" ca="1" si="8"/>
        <v>8.202675542449132</v>
      </c>
      <c r="E64" s="307">
        <f t="shared" ca="1" si="9"/>
        <v>20.605741325477929</v>
      </c>
      <c r="F64" s="304">
        <f t="shared" ca="1" si="10"/>
        <v>22.178378246102714</v>
      </c>
      <c r="G64" s="306">
        <f t="shared" ca="1" si="11"/>
        <v>44.833522315084046</v>
      </c>
      <c r="H64" s="307">
        <f t="shared" ca="1" si="12"/>
        <v>166.14580546581169</v>
      </c>
      <c r="I64" s="304">
        <f t="shared" ca="1" si="13"/>
        <v>172.08856265615239</v>
      </c>
      <c r="J64" s="306">
        <f t="shared" ca="1" si="14"/>
        <v>156.28222983661993</v>
      </c>
      <c r="K64" s="307">
        <f t="shared" ca="1" si="15"/>
        <v>659.75696881913825</v>
      </c>
      <c r="L64" s="304">
        <f t="shared" ca="1" si="0"/>
        <v>678.01430166931095</v>
      </c>
      <c r="M64" s="306">
        <f t="shared" ca="1" si="16"/>
        <v>1.3072294855237589</v>
      </c>
      <c r="N64" s="304">
        <f t="shared" ca="1" si="17"/>
        <v>74.898732375569338</v>
      </c>
      <c r="P64" s="310">
        <f t="shared" ca="1" si="18"/>
        <v>3</v>
      </c>
      <c r="Q64" s="304">
        <f t="shared" ca="1" si="19"/>
        <v>162.15517241379419</v>
      </c>
      <c r="R64" s="306">
        <f t="shared" ca="1" si="20"/>
        <v>8.6063823606310305E-2</v>
      </c>
      <c r="S64" s="307">
        <f t="shared" ca="1" si="21"/>
        <v>2.9528897742788258</v>
      </c>
      <c r="T64" s="304">
        <f t="shared" ca="1" si="1"/>
        <v>28.967848685675282</v>
      </c>
      <c r="U64" s="311">
        <f t="shared" ca="1" si="2"/>
        <v>0</v>
      </c>
      <c r="V64" s="306">
        <f t="shared" ca="1" si="3"/>
        <v>1.1467607169316436</v>
      </c>
      <c r="W64" s="304">
        <f t="shared" ca="1" si="4"/>
        <v>69.297885522135601</v>
      </c>
      <c r="Y64" s="314" t="str">
        <f t="shared" ca="1" si="22"/>
        <v/>
      </c>
      <c r="Z64" s="315" t="str">
        <f t="shared" ca="1" si="23"/>
        <v/>
      </c>
      <c r="AA64" s="316" t="str">
        <f t="shared" ca="1" si="24"/>
        <v/>
      </c>
      <c r="AC64" s="310" t="e">
        <f t="shared" ca="1" si="25"/>
        <v>#N/A</v>
      </c>
      <c r="AD64" s="323" t="e">
        <f t="shared" ca="1" si="26"/>
        <v>#N/A</v>
      </c>
      <c r="AE64" s="324">
        <f t="shared" ca="1" si="5"/>
        <v>659.75696881913825</v>
      </c>
      <c r="AG64" s="306">
        <f t="shared" ca="1" si="27"/>
        <v>22.030790790377431</v>
      </c>
      <c r="AH64" s="304">
        <f t="shared" ca="1" si="28"/>
        <v>31.50240001068298</v>
      </c>
    </row>
    <row r="65" spans="1:34" x14ac:dyDescent="0.2">
      <c r="A65" s="347">
        <f t="shared" ca="1" si="6"/>
        <v>0.01</v>
      </c>
      <c r="B65" s="304">
        <f t="shared" ca="1" si="7"/>
        <v>5.2099999999999866</v>
      </c>
      <c r="D65" s="306">
        <f t="shared" ca="1" si="8"/>
        <v>8.1188551446511852</v>
      </c>
      <c r="E65" s="307">
        <f t="shared" ca="1" si="9"/>
        <v>20.277168212846043</v>
      </c>
      <c r="F65" s="304">
        <f t="shared" ca="1" si="10"/>
        <v>21.84214640533029</v>
      </c>
      <c r="G65" s="306">
        <f t="shared" ca="1" si="11"/>
        <v>44.914710866530555</v>
      </c>
      <c r="H65" s="307">
        <f t="shared" ca="1" si="12"/>
        <v>166.34857714794015</v>
      </c>
      <c r="I65" s="304">
        <f t="shared" ca="1" si="13"/>
        <v>172.30548561020404</v>
      </c>
      <c r="J65" s="306">
        <f t="shared" ca="1" si="14"/>
        <v>156.73097100252801</v>
      </c>
      <c r="K65" s="307">
        <f t="shared" ca="1" si="15"/>
        <v>661.41944073220702</v>
      </c>
      <c r="L65" s="304">
        <f t="shared" ca="1" si="0"/>
        <v>679.73544401472896</v>
      </c>
      <c r="M65" s="306">
        <f t="shared" ca="1" si="16"/>
        <v>1.3070811583376392</v>
      </c>
      <c r="N65" s="304">
        <f t="shared" ca="1" si="17"/>
        <v>74.89023385381762</v>
      </c>
      <c r="P65" s="310">
        <f t="shared" ca="1" si="18"/>
        <v>3</v>
      </c>
      <c r="Q65" s="304">
        <f t="shared" ca="1" si="19"/>
        <v>161.29310344827698</v>
      </c>
      <c r="R65" s="306">
        <f t="shared" ca="1" si="20"/>
        <v>8.5606280684426689E-2</v>
      </c>
      <c r="S65" s="307">
        <f t="shared" ca="1" si="21"/>
        <v>2.9520337114719815</v>
      </c>
      <c r="T65" s="304">
        <f t="shared" ca="1" si="1"/>
        <v>28.959450709540139</v>
      </c>
      <c r="U65" s="311">
        <f t="shared" ca="1" si="2"/>
        <v>0</v>
      </c>
      <c r="V65" s="306">
        <f t="shared" ca="1" si="3"/>
        <v>1.1465698788535665</v>
      </c>
      <c r="W65" s="304">
        <f t="shared" ca="1" si="4"/>
        <v>69.461138593959063</v>
      </c>
      <c r="Y65" s="314" t="str">
        <f t="shared" ca="1" si="22"/>
        <v/>
      </c>
      <c r="Z65" s="315" t="str">
        <f t="shared" ca="1" si="23"/>
        <v/>
      </c>
      <c r="AA65" s="316" t="str">
        <f t="shared" ca="1" si="24"/>
        <v/>
      </c>
      <c r="AC65" s="310" t="e">
        <f t="shared" ca="1" si="25"/>
        <v>#N/A</v>
      </c>
      <c r="AD65" s="323" t="e">
        <f t="shared" ca="1" si="26"/>
        <v>#N/A</v>
      </c>
      <c r="AE65" s="324">
        <f t="shared" ca="1" si="5"/>
        <v>661.41944073220702</v>
      </c>
      <c r="AG65" s="306">
        <f t="shared" ca="1" si="27"/>
        <v>21.692105860913557</v>
      </c>
      <c r="AH65" s="304">
        <f t="shared" ca="1" si="28"/>
        <v>31.163335827987385</v>
      </c>
    </row>
    <row r="66" spans="1:34" x14ac:dyDescent="0.2">
      <c r="A66" s="347">
        <f t="shared" ca="1" si="6"/>
        <v>0.01</v>
      </c>
      <c r="B66" s="304">
        <f t="shared" ca="1" si="7"/>
        <v>5.2199999999999864</v>
      </c>
      <c r="D66" s="306">
        <f t="shared" ca="1" si="8"/>
        <v>8.0350979546359103</v>
      </c>
      <c r="E66" s="307">
        <f t="shared" ca="1" si="9"/>
        <v>19.949227794429213</v>
      </c>
      <c r="F66" s="304">
        <f t="shared" ca="1" si="10"/>
        <v>21.506614999451244</v>
      </c>
      <c r="G66" s="306">
        <f t="shared" ca="1" si="11"/>
        <v>44.995061846076915</v>
      </c>
      <c r="H66" s="307">
        <f t="shared" ca="1" si="12"/>
        <v>166.54806942588445</v>
      </c>
      <c r="I66" s="304">
        <f t="shared" ca="1" si="13"/>
        <v>172.51902799407813</v>
      </c>
      <c r="J66" s="306">
        <f t="shared" ca="1" si="14"/>
        <v>157.18051986609103</v>
      </c>
      <c r="K66" s="307">
        <f t="shared" ca="1" si="15"/>
        <v>663.08392396507611</v>
      </c>
      <c r="L66" s="304">
        <f t="shared" ca="1" si="0"/>
        <v>681.458733927666</v>
      </c>
      <c r="M66" s="306">
        <f t="shared" ca="1" si="16"/>
        <v>1.3069329333200366</v>
      </c>
      <c r="N66" s="304">
        <f t="shared" ca="1" si="17"/>
        <v>74.881741185890732</v>
      </c>
      <c r="P66" s="310">
        <f t="shared" ca="1" si="18"/>
        <v>3</v>
      </c>
      <c r="Q66" s="304">
        <f t="shared" ca="1" si="19"/>
        <v>160.43103448275974</v>
      </c>
      <c r="R66" s="306">
        <f t="shared" ca="1" si="20"/>
        <v>8.5148737762543072E-2</v>
      </c>
      <c r="S66" s="307">
        <f t="shared" ca="1" si="21"/>
        <v>2.9511822240943562</v>
      </c>
      <c r="T66" s="304">
        <f t="shared" ca="1" si="1"/>
        <v>28.951097618365637</v>
      </c>
      <c r="U66" s="311">
        <f t="shared" ca="1" si="2"/>
        <v>0</v>
      </c>
      <c r="V66" s="306">
        <f t="shared" ca="1" si="3"/>
        <v>1.146378840656487</v>
      </c>
      <c r="W66" s="304">
        <f t="shared" ca="1" si="4"/>
        <v>69.621812921210193</v>
      </c>
      <c r="Y66" s="314" t="str">
        <f t="shared" ca="1" si="22"/>
        <v/>
      </c>
      <c r="Z66" s="315" t="str">
        <f t="shared" ca="1" si="23"/>
        <v/>
      </c>
      <c r="AA66" s="316" t="str">
        <f t="shared" ca="1" si="24"/>
        <v/>
      </c>
      <c r="AC66" s="310" t="e">
        <f t="shared" ca="1" si="25"/>
        <v>#N/A</v>
      </c>
      <c r="AD66" s="323" t="e">
        <f t="shared" ca="1" si="26"/>
        <v>#N/A</v>
      </c>
      <c r="AE66" s="324">
        <f t="shared" ca="1" si="5"/>
        <v>663.08392396507611</v>
      </c>
      <c r="AG66" s="306">
        <f t="shared" ca="1" si="27"/>
        <v>21.354048869598294</v>
      </c>
      <c r="AH66" s="304">
        <f t="shared" ca="1" si="28"/>
        <v>30.824899643978121</v>
      </c>
    </row>
    <row r="67" spans="1:34" x14ac:dyDescent="0.2">
      <c r="A67" s="347">
        <f t="shared" ca="1" si="6"/>
        <v>0.01</v>
      </c>
      <c r="B67" s="304">
        <f t="shared" ca="1" si="7"/>
        <v>5.2299999999999862</v>
      </c>
      <c r="D67" s="306">
        <f t="shared" ca="1" si="8"/>
        <v>7.8789964747389662</v>
      </c>
      <c r="E67" s="307">
        <f t="shared" ca="1" si="9"/>
        <v>19.353903727260601</v>
      </c>
      <c r="F67" s="304">
        <f t="shared" ca="1" si="10"/>
        <v>20.896223939578672</v>
      </c>
      <c r="G67" s="306">
        <f t="shared" ca="1" si="11"/>
        <v>45.073851810824301</v>
      </c>
      <c r="H67" s="307">
        <f t="shared" ca="1" si="12"/>
        <v>166.74160846315706</v>
      </c>
      <c r="I67" s="304">
        <f t="shared" ca="1" si="13"/>
        <v>172.72641983768702</v>
      </c>
      <c r="J67" s="306">
        <f t="shared" ca="1" si="14"/>
        <v>157.63086443437552</v>
      </c>
      <c r="K67" s="307">
        <f t="shared" ca="1" si="15"/>
        <v>664.75037235452135</v>
      </c>
      <c r="L67" s="304">
        <f t="shared" ca="1" si="0"/>
        <v>683.18412376738036</v>
      </c>
      <c r="M67" s="306">
        <f t="shared" ca="1" si="16"/>
        <v>1.3067848050031619</v>
      </c>
      <c r="N67" s="304">
        <f t="shared" ca="1" si="17"/>
        <v>74.873254058507442</v>
      </c>
      <c r="P67" s="310">
        <f t="shared" ca="1" si="18"/>
        <v>4</v>
      </c>
      <c r="Q67" s="304">
        <f t="shared" ca="1" si="19"/>
        <v>158.75000000000333</v>
      </c>
      <c r="R67" s="306">
        <f t="shared" ca="1" si="20"/>
        <v>8.4256529064871175E-2</v>
      </c>
      <c r="S67" s="307">
        <f t="shared" ca="1" si="21"/>
        <v>2.9503396588037076</v>
      </c>
      <c r="T67" s="304">
        <f t="shared" ca="1" si="1"/>
        <v>28.942832052864372</v>
      </c>
      <c r="U67" s="311">
        <f t="shared" ca="1" si="2"/>
        <v>0</v>
      </c>
      <c r="V67" s="306">
        <f t="shared" ca="1" si="3"/>
        <v>1.1461876077415685</v>
      </c>
      <c r="W67" s="304">
        <f t="shared" ca="1" si="4"/>
        <v>69.77766183468357</v>
      </c>
      <c r="Y67" s="314" t="str">
        <f t="shared" ca="1" si="22"/>
        <v/>
      </c>
      <c r="Z67" s="315" t="str">
        <f t="shared" ca="1" si="23"/>
        <v/>
      </c>
      <c r="AA67" s="316" t="str">
        <f t="shared" ca="1" si="24"/>
        <v/>
      </c>
      <c r="AC67" s="310" t="e">
        <f t="shared" ca="1" si="25"/>
        <v>#N/A</v>
      </c>
      <c r="AD67" s="323" t="e">
        <f t="shared" ca="1" si="26"/>
        <v>#N/A</v>
      </c>
      <c r="AE67" s="324">
        <f t="shared" ca="1" si="5"/>
        <v>664.75037235452135</v>
      </c>
      <c r="AG67" s="306">
        <f t="shared" ca="1" si="27"/>
        <v>20.738994862748694</v>
      </c>
      <c r="AH67" s="304">
        <f t="shared" ca="1" si="28"/>
        <v>30.209466497471848</v>
      </c>
    </row>
    <row r="68" spans="1:34" x14ac:dyDescent="0.2">
      <c r="A68" s="347">
        <f t="shared" ca="1" si="6"/>
        <v>0.01</v>
      </c>
      <c r="B68" s="304">
        <f t="shared" ca="1" si="7"/>
        <v>5.239999999999986</v>
      </c>
      <c r="D68" s="306">
        <f t="shared" ca="1" si="8"/>
        <v>7.6505591483906166</v>
      </c>
      <c r="E68" s="307">
        <f t="shared" ca="1" si="9"/>
        <v>18.491697920097145</v>
      </c>
      <c r="F68" s="304">
        <f t="shared" ca="1" si="10"/>
        <v>20.011845173575285</v>
      </c>
      <c r="G68" s="306">
        <f t="shared" ca="1" si="11"/>
        <v>45.150357402308209</v>
      </c>
      <c r="H68" s="307">
        <f t="shared" ca="1" si="12"/>
        <v>166.92652544235804</v>
      </c>
      <c r="I68" s="304">
        <f t="shared" ca="1" si="13"/>
        <v>172.92489603817714</v>
      </c>
      <c r="J68" s="306">
        <f t="shared" ca="1" si="14"/>
        <v>158.08198548044118</v>
      </c>
      <c r="K68" s="307">
        <f t="shared" ca="1" si="15"/>
        <v>666.41871302404888</v>
      </c>
      <c r="L68" s="304">
        <f t="shared" ref="L68:L131" ca="1" si="29">SQRT(pos_x^2+pos_z^2)</f>
        <v>684.91153823108289</v>
      </c>
      <c r="M68" s="306">
        <f t="shared" ca="1" si="16"/>
        <v>1.3066367655790747</v>
      </c>
      <c r="N68" s="304">
        <f t="shared" ca="1" si="17"/>
        <v>74.864772024305694</v>
      </c>
      <c r="P68" s="310">
        <f t="shared" ca="1" si="18"/>
        <v>4</v>
      </c>
      <c r="Q68" s="304">
        <f t="shared" ca="1" si="19"/>
        <v>156.25000000000338</v>
      </c>
      <c r="R68" s="306">
        <f t="shared" ca="1" si="20"/>
        <v>8.2929654591408691E-2</v>
      </c>
      <c r="S68" s="307">
        <f t="shared" ca="1" si="21"/>
        <v>2.9495103622577936</v>
      </c>
      <c r="T68" s="304">
        <f t="shared" ref="T68:T131" ca="1" si="30">m*g</f>
        <v>28.934696653748958</v>
      </c>
      <c r="U68" s="311">
        <f t="shared" ref="U68:U131" ca="1" si="31">IF(pos_xz&lt;L_rampe,Poids*COS(Beta),0)</f>
        <v>0</v>
      </c>
      <c r="V68" s="306">
        <f t="shared" ref="V68:V131" ca="1" si="32">Rho_moyen*(20000-Alt_rampe-pos_z)/(20000+Alt_rampe+pos_z)</f>
        <v>1.1459961885713672</v>
      </c>
      <c r="W68" s="304">
        <f t="shared" ref="W68:W131" ca="1" si="33">1/2*Rho*Sref*Cx*vit_xz^2</f>
        <v>69.926433956363041</v>
      </c>
      <c r="Y68" s="314" t="str">
        <f t="shared" ca="1" si="22"/>
        <v/>
      </c>
      <c r="Z68" s="315" t="str">
        <f t="shared" ca="1" si="23"/>
        <v/>
      </c>
      <c r="AA68" s="316" t="str">
        <f t="shared" ca="1" si="24"/>
        <v/>
      </c>
      <c r="AC68" s="310" t="e">
        <f t="shared" ca="1" si="25"/>
        <v>#N/A</v>
      </c>
      <c r="AD68" s="323" t="e">
        <f t="shared" ca="1" si="26"/>
        <v>#N/A</v>
      </c>
      <c r="AE68" s="324">
        <f t="shared" ref="AE68:AE131" ca="1" si="34">IF(t&lt;T_para, pos_z, NA())</f>
        <v>666.41871302404888</v>
      </c>
      <c r="AG68" s="306">
        <f t="shared" ca="1" si="27"/>
        <v>19.847430560755058</v>
      </c>
      <c r="AH68" s="304">
        <f t="shared" ca="1" si="28"/>
        <v>29.317523095300093</v>
      </c>
    </row>
    <row r="69" spans="1:34" x14ac:dyDescent="0.2">
      <c r="A69" s="347">
        <f t="shared" ref="A69:A132" ca="1" si="35">IF(B68+0.01&lt;=T_ini+ROUNDUP(Temps_fin_propu,0), 0.01, IF(K68&gt;0, 0.1, 0.0001))</f>
        <v>0.01</v>
      </c>
      <c r="B69" s="304">
        <f t="shared" ref="B69:B132" ca="1" si="36">B68+pas</f>
        <v>5.2499999999999858</v>
      </c>
      <c r="D69" s="306">
        <f t="shared" ref="D69:D132" ca="1" si="37">IF(AND(L68&lt;L_rampe,Poussee&lt;Poids*SIN(M68)),0,(-W68+Poussee)/m*COS(M68)-U68/m*SIN(M68))</f>
        <v>7.4223263641048289</v>
      </c>
      <c r="E69" s="307">
        <f t="shared" ref="E69:E132" ca="1" si="38">IF(AND(L68&lt;L_rampe,Poussee&lt;Poids*SIN(M68)),0,(-W68+Poussee)/m*SIN(M68)+U68/m*COS(M68)-Poids/m)</f>
        <v>17.631270057275103</v>
      </c>
      <c r="F69" s="304">
        <f t="shared" ref="F69:F132" ca="1" si="39">SQRT(acc_x^2+acc_z^2)</f>
        <v>19.129887937148279</v>
      </c>
      <c r="G69" s="306">
        <f t="shared" ref="G69:G132" ca="1" si="40">G68+acc_x*pas</f>
        <v>45.224580665949254</v>
      </c>
      <c r="H69" s="307">
        <f t="shared" ref="H69:H132" ca="1" si="41">H68+acc_z*pas</f>
        <v>167.10283814293078</v>
      </c>
      <c r="I69" s="304">
        <f t="shared" ref="I69:I132" ca="1" si="42">SQRT(vit_x^2+vit_z^2)</f>
        <v>173.11447429904143</v>
      </c>
      <c r="J69" s="306">
        <f t="shared" ref="J69:J132" ca="1" si="43">J68+0.5*(vit_x+G68)*pas*(K68&gt;=0)</f>
        <v>158.53386017078248</v>
      </c>
      <c r="K69" s="307">
        <f t="shared" ref="K69:K132" ca="1" si="44">K68+0.5*(vit_z+H68)*pas</f>
        <v>668.08885984197536</v>
      </c>
      <c r="L69" s="304">
        <f t="shared" ca="1" si="29"/>
        <v>686.64088828557226</v>
      </c>
      <c r="M69" s="306">
        <f t="shared" ref="M69:M132" ca="1" si="45">IF(AND(L68&gt;L_rampe,G69&gt;0),ATAN2(G69,H69),$M$4)</f>
        <v>1.3064888072912808</v>
      </c>
      <c r="N69" s="304">
        <f t="shared" ref="N69:N132" ca="1" si="46">DEGREES(Beta)</f>
        <v>74.85629463887112</v>
      </c>
      <c r="P69" s="310">
        <f t="shared" ref="P69:P132" ca="1" si="47">MATCH(t-pas/2-T_ini,CdP_t)</f>
        <v>4</v>
      </c>
      <c r="Q69" s="304">
        <f t="shared" ref="Q69:Q132" ca="1" si="48">(INDEX(CdP,2,i_P+1)-INDEX(CdP,2,i_P+0))/(INDEX(CdP,1,i_P+1)-INDEX(CdP,1,i_P+0))*(t-pas/2-T_ini-INDEX(CdP,1,i_P+0))+INDEX(CdP,2,i_P+0)</f>
        <v>153.75000000000344</v>
      </c>
      <c r="R69" s="306">
        <f t="shared" ref="R69:R132" ca="1" si="49">Poussee/(g*ISP)</f>
        <v>8.1602780117946208E-2</v>
      </c>
      <c r="S69" s="307">
        <f t="shared" ref="S69:S132" ca="1" si="50">S68-Débit*pas</f>
        <v>2.9486943344566141</v>
      </c>
      <c r="T69" s="304">
        <f t="shared" ca="1" si="30"/>
        <v>28.926691421019385</v>
      </c>
      <c r="U69" s="311">
        <f t="shared" ca="1" si="31"/>
        <v>0</v>
      </c>
      <c r="V69" s="306">
        <f t="shared" ca="1" si="32"/>
        <v>1.1458045931235967</v>
      </c>
      <c r="W69" s="304">
        <f t="shared" ca="1" si="33"/>
        <v>70.068122837970137</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668.08885984197536</v>
      </c>
      <c r="AG69" s="306">
        <f t="shared" ref="AG69:AG132" ca="1" si="56">IF(AND(L68&lt;L_rampe,Poussee&lt;Poids*SIN(M68)),0,(-W68+Poussee)/m-Poids*SIN(M68)/m)</f>
        <v>18.957636598312469</v>
      </c>
      <c r="AH69" s="304">
        <f t="shared" ref="AH69:AH132" ca="1" si="57">IF(AND(L68&lt;L_rampe,Poussee&lt;Poids*SIN(M68)), g*SIN(M68), (-W68+Poussee)/m)</f>
        <v>28.427350052574173</v>
      </c>
    </row>
    <row r="70" spans="1:34" x14ac:dyDescent="0.2">
      <c r="A70" s="347">
        <f t="shared" ca="1" si="35"/>
        <v>0.01</v>
      </c>
      <c r="B70" s="304">
        <f t="shared" ca="1" si="36"/>
        <v>5.2599999999999856</v>
      </c>
      <c r="D70" s="306">
        <f t="shared" ca="1" si="37"/>
        <v>7.1943034274090447</v>
      </c>
      <c r="E70" s="307">
        <f t="shared" ca="1" si="38"/>
        <v>16.772635006865293</v>
      </c>
      <c r="F70" s="304">
        <f t="shared" ca="1" si="39"/>
        <v>18.250459908702375</v>
      </c>
      <c r="G70" s="306">
        <f t="shared" ca="1" si="40"/>
        <v>45.296523700223347</v>
      </c>
      <c r="H70" s="307">
        <f t="shared" ca="1" si="41"/>
        <v>167.27056449299943</v>
      </c>
      <c r="I70" s="304">
        <f t="shared" ca="1" si="42"/>
        <v>173.2951724807462</v>
      </c>
      <c r="J70" s="306">
        <f t="shared" ca="1" si="43"/>
        <v>158.98646569261334</v>
      </c>
      <c r="K70" s="307">
        <f t="shared" ca="1" si="44"/>
        <v>669.76072685515499</v>
      </c>
      <c r="L70" s="304">
        <f t="shared" ca="1" si="29"/>
        <v>688.37208507534206</v>
      </c>
      <c r="M70" s="306">
        <f t="shared" ca="1" si="45"/>
        <v>1.3063409224322382</v>
      </c>
      <c r="N70" s="304">
        <f t="shared" ca="1" si="46"/>
        <v>74.847821460594091</v>
      </c>
      <c r="P70" s="310">
        <f t="shared" ca="1" si="47"/>
        <v>4</v>
      </c>
      <c r="Q70" s="304">
        <f t="shared" ca="1" si="48"/>
        <v>151.2500000000035</v>
      </c>
      <c r="R70" s="306">
        <f t="shared" ca="1" si="49"/>
        <v>8.0275905644483739E-2</v>
      </c>
      <c r="S70" s="307">
        <f t="shared" ca="1" si="50"/>
        <v>2.9478915754001691</v>
      </c>
      <c r="T70" s="304">
        <f t="shared" ca="1" si="30"/>
        <v>28.918816354675659</v>
      </c>
      <c r="U70" s="311">
        <f t="shared" ca="1" si="31"/>
        <v>0</v>
      </c>
      <c r="V70" s="306">
        <f t="shared" ca="1" si="32"/>
        <v>1.1456128313491711</v>
      </c>
      <c r="W70" s="304">
        <f t="shared" ca="1" si="33"/>
        <v>70.202723350444614</v>
      </c>
      <c r="Y70" s="314" t="str">
        <f t="shared" ca="1" si="51"/>
        <v/>
      </c>
      <c r="Z70" s="315" t="str">
        <f t="shared" ca="1" si="52"/>
        <v/>
      </c>
      <c r="AA70" s="316" t="str">
        <f t="shared" ca="1" si="53"/>
        <v/>
      </c>
      <c r="AC70" s="310" t="e">
        <f t="shared" ca="1" si="54"/>
        <v>#N/A</v>
      </c>
      <c r="AD70" s="323" t="e">
        <f t="shared" ca="1" si="55"/>
        <v>#N/A</v>
      </c>
      <c r="AE70" s="324">
        <f t="shared" ca="1" si="34"/>
        <v>669.76072685515499</v>
      </c>
      <c r="AG70" s="306">
        <f t="shared" ca="1" si="56"/>
        <v>18.069628672801063</v>
      </c>
      <c r="AH70" s="304">
        <f t="shared" ca="1" si="57"/>
        <v>27.53896304717826</v>
      </c>
    </row>
    <row r="71" spans="1:34" x14ac:dyDescent="0.2">
      <c r="A71" s="347">
        <f t="shared" ca="1" si="35"/>
        <v>0.01</v>
      </c>
      <c r="B71" s="304">
        <f t="shared" ca="1" si="36"/>
        <v>5.2699999999999854</v>
      </c>
      <c r="D71" s="306">
        <f t="shared" ca="1" si="37"/>
        <v>6.8999673658890091</v>
      </c>
      <c r="E71" s="307">
        <f t="shared" ca="1" si="38"/>
        <v>15.670132734111734</v>
      </c>
      <c r="F71" s="304">
        <f t="shared" ca="1" si="39"/>
        <v>17.121991985601831</v>
      </c>
      <c r="G71" s="306">
        <f t="shared" ca="1" si="40"/>
        <v>45.365523373882233</v>
      </c>
      <c r="H71" s="307">
        <f t="shared" ca="1" si="41"/>
        <v>167.42726582034055</v>
      </c>
      <c r="I71" s="304">
        <f t="shared" ca="1" si="42"/>
        <v>173.46446336659631</v>
      </c>
      <c r="J71" s="306">
        <f t="shared" ca="1" si="43"/>
        <v>159.43977592798387</v>
      </c>
      <c r="K71" s="307">
        <f t="shared" ca="1" si="44"/>
        <v>671.43421600672173</v>
      </c>
      <c r="L71" s="304">
        <f t="shared" ca="1" si="29"/>
        <v>690.10502720421243</v>
      </c>
      <c r="M71" s="306">
        <f t="shared" ca="1" si="45"/>
        <v>1.3061931011719703</v>
      </c>
      <c r="N71" s="304">
        <f t="shared" ca="1" si="46"/>
        <v>74.839351926258445</v>
      </c>
      <c r="P71" s="310">
        <f t="shared" ca="1" si="47"/>
        <v>5</v>
      </c>
      <c r="Q71" s="304">
        <f t="shared" ca="1" si="48"/>
        <v>148.00000000000568</v>
      </c>
      <c r="R71" s="306">
        <f t="shared" ca="1" si="49"/>
        <v>7.8550968828983631E-2</v>
      </c>
      <c r="S71" s="307">
        <f t="shared" ca="1" si="50"/>
        <v>2.9471060657118793</v>
      </c>
      <c r="T71" s="304">
        <f t="shared" ca="1" si="30"/>
        <v>28.911110504633537</v>
      </c>
      <c r="U71" s="311">
        <f t="shared" ca="1" si="31"/>
        <v>0</v>
      </c>
      <c r="V71" s="306">
        <f t="shared" ca="1" si="32"/>
        <v>1.1454209145806311</v>
      </c>
      <c r="W71" s="304">
        <f t="shared" ca="1" si="33"/>
        <v>70.328167904495274</v>
      </c>
      <c r="Y71" s="314" t="str">
        <f t="shared" ca="1" si="51"/>
        <v/>
      </c>
      <c r="Z71" s="315" t="str">
        <f t="shared" ca="1" si="52"/>
        <v/>
      </c>
      <c r="AA71" s="316" t="str">
        <f t="shared" ca="1" si="53"/>
        <v/>
      </c>
      <c r="AC71" s="310" t="e">
        <f t="shared" ca="1" si="54"/>
        <v>#N/A</v>
      </c>
      <c r="AD71" s="323" t="e">
        <f t="shared" ca="1" si="55"/>
        <v>#N/A</v>
      </c>
      <c r="AE71" s="324">
        <f t="shared" ca="1" si="34"/>
        <v>671.43421600672173</v>
      </c>
      <c r="AG71" s="306">
        <f t="shared" ca="1" si="56"/>
        <v>16.928899065326256</v>
      </c>
      <c r="AH71" s="304">
        <f t="shared" ca="1" si="57"/>
        <v>26.39785434080364</v>
      </c>
    </row>
    <row r="72" spans="1:34" x14ac:dyDescent="0.2">
      <c r="A72" s="347">
        <f t="shared" ca="1" si="35"/>
        <v>0.01</v>
      </c>
      <c r="B72" s="304">
        <f t="shared" ca="1" si="36"/>
        <v>5.2799999999999851</v>
      </c>
      <c r="D72" s="306">
        <f t="shared" ca="1" si="37"/>
        <v>6.5393375235268207</v>
      </c>
      <c r="E72" s="307">
        <f t="shared" ca="1" si="38"/>
        <v>14.32426144821653</v>
      </c>
      <c r="F72" s="304">
        <f t="shared" ca="1" si="39"/>
        <v>15.746345648545514</v>
      </c>
      <c r="G72" s="306">
        <f t="shared" ca="1" si="40"/>
        <v>45.4309167491175</v>
      </c>
      <c r="H72" s="307">
        <f t="shared" ca="1" si="41"/>
        <v>167.57050843482273</v>
      </c>
      <c r="I72" s="304">
        <f t="shared" ca="1" si="42"/>
        <v>173.61982459895023</v>
      </c>
      <c r="J72" s="306">
        <f t="shared" ca="1" si="43"/>
        <v>159.89375812859888</v>
      </c>
      <c r="K72" s="307">
        <f t="shared" ca="1" si="44"/>
        <v>673.10920487799751</v>
      </c>
      <c r="L72" s="304">
        <f t="shared" ca="1" si="29"/>
        <v>691.83958804044812</v>
      </c>
      <c r="M72" s="306">
        <f t="shared" ca="1" si="45"/>
        <v>1.3060453315696534</v>
      </c>
      <c r="N72" s="304">
        <f t="shared" ca="1" si="46"/>
        <v>74.830885351705362</v>
      </c>
      <c r="P72" s="310">
        <f t="shared" ca="1" si="47"/>
        <v>5</v>
      </c>
      <c r="Q72" s="304">
        <f t="shared" ca="1" si="48"/>
        <v>144.00000000000577</v>
      </c>
      <c r="R72" s="306">
        <f t="shared" ca="1" si="49"/>
        <v>7.6427969671443663E-2</v>
      </c>
      <c r="S72" s="307">
        <f t="shared" ca="1" si="50"/>
        <v>2.9463417860151648</v>
      </c>
      <c r="T72" s="304">
        <f t="shared" ca="1" si="30"/>
        <v>28.903612920808769</v>
      </c>
      <c r="U72" s="311">
        <f t="shared" ca="1" si="31"/>
        <v>0</v>
      </c>
      <c r="V72" s="306">
        <f t="shared" ca="1" si="32"/>
        <v>1.1452288569364319</v>
      </c>
      <c r="W72" s="304">
        <f t="shared" ca="1" si="33"/>
        <v>70.442388012527942</v>
      </c>
      <c r="Y72" s="314" t="str">
        <f t="shared" ca="1" si="51"/>
        <v/>
      </c>
      <c r="Z72" s="315" t="str">
        <f t="shared" ca="1" si="52"/>
        <v/>
      </c>
      <c r="AA72" s="316" t="str">
        <f t="shared" ca="1" si="53"/>
        <v/>
      </c>
      <c r="AC72" s="310" t="e">
        <f t="shared" ca="1" si="54"/>
        <v>#N/A</v>
      </c>
      <c r="AD72" s="323" t="e">
        <f t="shared" ca="1" si="55"/>
        <v>#N/A</v>
      </c>
      <c r="AE72" s="324">
        <f t="shared" ca="1" si="34"/>
        <v>673.10920487799751</v>
      </c>
      <c r="AG72" s="306">
        <f t="shared" ca="1" si="56"/>
        <v>15.535933678522101</v>
      </c>
      <c r="AH72" s="304">
        <f t="shared" ca="1" si="57"/>
        <v>25.004509811181595</v>
      </c>
    </row>
    <row r="73" spans="1:34" x14ac:dyDescent="0.2">
      <c r="A73" s="347">
        <f t="shared" ca="1" si="35"/>
        <v>0.01</v>
      </c>
      <c r="B73" s="304">
        <f t="shared" ca="1" si="36"/>
        <v>5.2899999999999849</v>
      </c>
      <c r="D73" s="306">
        <f t="shared" ca="1" si="37"/>
        <v>6.0606124225281501</v>
      </c>
      <c r="E73" s="307">
        <f t="shared" ca="1" si="38"/>
        <v>12.544378422028492</v>
      </c>
      <c r="F73" s="304">
        <f t="shared" ca="1" si="39"/>
        <v>13.931706748677872</v>
      </c>
      <c r="G73" s="306">
        <f t="shared" ca="1" si="40"/>
        <v>45.491522873342781</v>
      </c>
      <c r="H73" s="307">
        <f t="shared" ca="1" si="41"/>
        <v>167.69595221904302</v>
      </c>
      <c r="I73" s="304">
        <f t="shared" ca="1" si="42"/>
        <v>173.75675826852728</v>
      </c>
      <c r="J73" s="306">
        <f t="shared" ca="1" si="43"/>
        <v>160.34837032671118</v>
      </c>
      <c r="K73" s="307">
        <f t="shared" ca="1" si="44"/>
        <v>674.78553718126682</v>
      </c>
      <c r="L73" s="304">
        <f t="shared" ca="1" si="29"/>
        <v>693.57560586820159</v>
      </c>
      <c r="M73" s="306">
        <f t="shared" ca="1" si="45"/>
        <v>1.3058975978982366</v>
      </c>
      <c r="N73" s="304">
        <f t="shared" ca="1" si="46"/>
        <v>74.8224208358412</v>
      </c>
      <c r="P73" s="310">
        <f t="shared" ca="1" si="47"/>
        <v>6</v>
      </c>
      <c r="Q73" s="304">
        <f t="shared" ca="1" si="48"/>
        <v>138.66666666667643</v>
      </c>
      <c r="R73" s="306">
        <f t="shared" ca="1" si="49"/>
        <v>7.3597304128059093E-2</v>
      </c>
      <c r="S73" s="307">
        <f t="shared" ca="1" si="50"/>
        <v>2.9456058129738842</v>
      </c>
      <c r="T73" s="304">
        <f t="shared" ca="1" si="30"/>
        <v>28.896393025273806</v>
      </c>
      <c r="U73" s="311">
        <f t="shared" ca="1" si="31"/>
        <v>0</v>
      </c>
      <c r="V73" s="306">
        <f t="shared" ca="1" si="32"/>
        <v>1.1450366764085189</v>
      </c>
      <c r="W73" s="304">
        <f t="shared" ca="1" si="33"/>
        <v>70.541707850901972</v>
      </c>
      <c r="Y73" s="314" t="str">
        <f t="shared" ca="1" si="51"/>
        <v/>
      </c>
      <c r="Z73" s="315" t="str">
        <f t="shared" ca="1" si="52"/>
        <v/>
      </c>
      <c r="AA73" s="316" t="str">
        <f t="shared" ca="1" si="53"/>
        <v/>
      </c>
      <c r="AC73" s="310" t="e">
        <f t="shared" ca="1" si="54"/>
        <v>#N/A</v>
      </c>
      <c r="AD73" s="323" t="e">
        <f t="shared" ca="1" si="55"/>
        <v>#N/A</v>
      </c>
      <c r="AE73" s="324">
        <f t="shared" ca="1" si="34"/>
        <v>674.78553718126682</v>
      </c>
      <c r="AG73" s="306">
        <f t="shared" ca="1" si="56"/>
        <v>13.693177343579993</v>
      </c>
      <c r="AH73" s="304">
        <f t="shared" ca="1" si="57"/>
        <v>23.161374259127104</v>
      </c>
    </row>
    <row r="74" spans="1:34" x14ac:dyDescent="0.2">
      <c r="A74" s="347">
        <f t="shared" ca="1" si="35"/>
        <v>0.01</v>
      </c>
      <c r="B74" s="304">
        <f t="shared" ca="1" si="36"/>
        <v>5.2999999999999847</v>
      </c>
      <c r="D74" s="306">
        <f t="shared" ca="1" si="37"/>
        <v>5.4638395226975334</v>
      </c>
      <c r="E74" s="307">
        <f t="shared" ca="1" si="38"/>
        <v>10.331417865518821</v>
      </c>
      <c r="F74" s="304">
        <f t="shared" ca="1" si="39"/>
        <v>11.687246786209021</v>
      </c>
      <c r="G74" s="306">
        <f t="shared" ca="1" si="40"/>
        <v>45.546161268569755</v>
      </c>
      <c r="H74" s="307">
        <f t="shared" ca="1" si="41"/>
        <v>167.7992663976982</v>
      </c>
      <c r="I74" s="304">
        <f t="shared" ca="1" si="42"/>
        <v>173.87077560621927</v>
      </c>
      <c r="J74" s="306">
        <f t="shared" ca="1" si="43"/>
        <v>160.80355874742074</v>
      </c>
      <c r="K74" s="307">
        <f t="shared" ca="1" si="44"/>
        <v>676.46301327435049</v>
      </c>
      <c r="L74" s="304">
        <f t="shared" ca="1" si="29"/>
        <v>695.31287406033937</v>
      </c>
      <c r="M74" s="306">
        <f t="shared" ca="1" si="45"/>
        <v>1.3057498806572125</v>
      </c>
      <c r="N74" s="304">
        <f t="shared" ca="1" si="46"/>
        <v>74.813957261369211</v>
      </c>
      <c r="P74" s="310">
        <f t="shared" ca="1" si="47"/>
        <v>6</v>
      </c>
      <c r="Q74" s="304">
        <f t="shared" ca="1" si="48"/>
        <v>132.00000000000992</v>
      </c>
      <c r="R74" s="306">
        <f t="shared" ca="1" si="49"/>
        <v>7.0058972198825814E-2</v>
      </c>
      <c r="S74" s="307">
        <f t="shared" ca="1" si="50"/>
        <v>2.944905223251896</v>
      </c>
      <c r="T74" s="304">
        <f t="shared" ca="1" si="30"/>
        <v>28.889520240101103</v>
      </c>
      <c r="U74" s="311">
        <f t="shared" ca="1" si="31"/>
        <v>0</v>
      </c>
      <c r="V74" s="306">
        <f t="shared" ca="1" si="32"/>
        <v>1.1448443959463401</v>
      </c>
      <c r="W74" s="304">
        <f t="shared" ca="1" si="33"/>
        <v>70.622454384237756</v>
      </c>
      <c r="Y74" s="314" t="str">
        <f t="shared" ca="1" si="51"/>
        <v/>
      </c>
      <c r="Z74" s="315" t="str">
        <f t="shared" ca="1" si="52"/>
        <v/>
      </c>
      <c r="AA74" s="316" t="str">
        <f t="shared" ca="1" si="53"/>
        <v/>
      </c>
      <c r="AC74" s="310" t="e">
        <f t="shared" ca="1" si="54"/>
        <v>#N/A</v>
      </c>
      <c r="AD74" s="323" t="e">
        <f t="shared" ca="1" si="55"/>
        <v>#N/A</v>
      </c>
      <c r="AE74" s="324">
        <f t="shared" ca="1" si="34"/>
        <v>676.46301327435049</v>
      </c>
      <c r="AG74" s="306">
        <f t="shared" ca="1" si="56"/>
        <v>11.401544072849557</v>
      </c>
      <c r="AH74" s="304">
        <f t="shared" ca="1" si="57"/>
        <v>20.869361656822001</v>
      </c>
    </row>
    <row r="75" spans="1:34" x14ac:dyDescent="0.2">
      <c r="A75" s="347">
        <f t="shared" ca="1" si="35"/>
        <v>0.01</v>
      </c>
      <c r="B75" s="304">
        <f t="shared" ca="1" si="36"/>
        <v>5.3099999999999845</v>
      </c>
      <c r="D75" s="306">
        <f t="shared" ca="1" si="37"/>
        <v>4.8677208967880485</v>
      </c>
      <c r="E75" s="307">
        <f t="shared" ca="1" si="38"/>
        <v>8.1234541651797354</v>
      </c>
      <c r="F75" s="304">
        <f t="shared" ca="1" si="39"/>
        <v>9.47022778515929</v>
      </c>
      <c r="G75" s="306">
        <f t="shared" ca="1" si="40"/>
        <v>45.594838477537635</v>
      </c>
      <c r="H75" s="307">
        <f t="shared" ca="1" si="41"/>
        <v>167.88050093935001</v>
      </c>
      <c r="I75" s="304">
        <f t="shared" ca="1" si="42"/>
        <v>173.96192655704823</v>
      </c>
      <c r="J75" s="306">
        <f t="shared" ca="1" si="43"/>
        <v>161.25926374615128</v>
      </c>
      <c r="K75" s="307">
        <f t="shared" ca="1" si="44"/>
        <v>678.14141211103572</v>
      </c>
      <c r="L75" s="304">
        <f t="shared" ca="1" si="29"/>
        <v>697.0511638064313</v>
      </c>
      <c r="M75" s="306">
        <f t="shared" ca="1" si="45"/>
        <v>1.3056021604227075</v>
      </c>
      <c r="N75" s="304">
        <f t="shared" ca="1" si="46"/>
        <v>74.80549351538339</v>
      </c>
      <c r="P75" s="310">
        <f t="shared" ca="1" si="47"/>
        <v>6</v>
      </c>
      <c r="Q75" s="304">
        <f t="shared" ca="1" si="48"/>
        <v>125.33333333334338</v>
      </c>
      <c r="R75" s="306">
        <f t="shared" ca="1" si="49"/>
        <v>6.6520640269592521E-2</v>
      </c>
      <c r="S75" s="307">
        <f t="shared" ca="1" si="50"/>
        <v>2.9442400168492</v>
      </c>
      <c r="T75" s="304">
        <f t="shared" ca="1" si="30"/>
        <v>28.882994565290655</v>
      </c>
      <c r="U75" s="311">
        <f t="shared" ca="1" si="31"/>
        <v>0</v>
      </c>
      <c r="V75" s="306">
        <f t="shared" ca="1" si="32"/>
        <v>1.1446520409373475</v>
      </c>
      <c r="W75" s="304">
        <f t="shared" ca="1" si="33"/>
        <v>70.6846424629274</v>
      </c>
      <c r="Y75" s="314" t="str">
        <f t="shared" ca="1" si="51"/>
        <v/>
      </c>
      <c r="Z75" s="315" t="str">
        <f t="shared" ca="1" si="52"/>
        <v/>
      </c>
      <c r="AA75" s="316" t="str">
        <f t="shared" ca="1" si="53"/>
        <v/>
      </c>
      <c r="AC75" s="310" t="e">
        <f t="shared" ca="1" si="54"/>
        <v>#N/A</v>
      </c>
      <c r="AD75" s="323" t="e">
        <f t="shared" ca="1" si="55"/>
        <v>#N/A</v>
      </c>
      <c r="AE75" s="324">
        <f t="shared" ca="1" si="34"/>
        <v>678.14141211103572</v>
      </c>
      <c r="AG75" s="306">
        <f t="shared" ca="1" si="56"/>
        <v>9.1149052794085126</v>
      </c>
      <c r="AH75" s="304">
        <f t="shared" ca="1" si="57"/>
        <v>18.582343367391246</v>
      </c>
    </row>
    <row r="76" spans="1:34" x14ac:dyDescent="0.2">
      <c r="A76" s="347">
        <f t="shared" ca="1" si="35"/>
        <v>0.01</v>
      </c>
      <c r="B76" s="304">
        <f t="shared" ca="1" si="36"/>
        <v>5.3199999999999843</v>
      </c>
      <c r="D76" s="306">
        <f t="shared" ca="1" si="37"/>
        <v>4.2722803152513844</v>
      </c>
      <c r="E76" s="307">
        <f t="shared" ca="1" si="38"/>
        <v>5.9205647618660286</v>
      </c>
      <c r="F76" s="304">
        <f t="shared" ca="1" si="39"/>
        <v>7.3010592513370423</v>
      </c>
      <c r="G76" s="306">
        <f t="shared" ca="1" si="40"/>
        <v>45.63756128069015</v>
      </c>
      <c r="H76" s="307">
        <f t="shared" ca="1" si="41"/>
        <v>167.93970658696867</v>
      </c>
      <c r="I76" s="304">
        <f t="shared" ca="1" si="42"/>
        <v>174.03026187466901</v>
      </c>
      <c r="J76" s="306">
        <f t="shared" ca="1" si="43"/>
        <v>161.71542574494242</v>
      </c>
      <c r="K76" s="307">
        <f t="shared" ca="1" si="44"/>
        <v>679.82051314866726</v>
      </c>
      <c r="L76" s="304">
        <f t="shared" ca="1" si="29"/>
        <v>698.79024679912732</v>
      </c>
      <c r="M76" s="306">
        <f t="shared" ca="1" si="45"/>
        <v>1.3054544178327094</v>
      </c>
      <c r="N76" s="304">
        <f t="shared" ca="1" si="46"/>
        <v>74.797028488522159</v>
      </c>
      <c r="P76" s="310">
        <f t="shared" ca="1" si="47"/>
        <v>6</v>
      </c>
      <c r="Q76" s="304">
        <f t="shared" ca="1" si="48"/>
        <v>118.66666666667686</v>
      </c>
      <c r="R76" s="306">
        <f t="shared" ca="1" si="49"/>
        <v>6.2982308340359242E-2</v>
      </c>
      <c r="S76" s="307">
        <f t="shared" ca="1" si="50"/>
        <v>2.9436101937657964</v>
      </c>
      <c r="T76" s="304">
        <f t="shared" ca="1" si="30"/>
        <v>28.876816000842464</v>
      </c>
      <c r="U76" s="311">
        <f t="shared" ca="1" si="31"/>
        <v>0</v>
      </c>
      <c r="V76" s="306">
        <f t="shared" ca="1" si="32"/>
        <v>1.1444596366948525</v>
      </c>
      <c r="W76" s="304">
        <f t="shared" ca="1" si="33"/>
        <v>70.728295024142838</v>
      </c>
      <c r="Y76" s="314" t="str">
        <f t="shared" ca="1" si="51"/>
        <v/>
      </c>
      <c r="Z76" s="315" t="str">
        <f t="shared" ca="1" si="52"/>
        <v/>
      </c>
      <c r="AA76" s="316" t="str">
        <f t="shared" ca="1" si="53"/>
        <v/>
      </c>
      <c r="AC76" s="310" t="e">
        <f t="shared" ca="1" si="54"/>
        <v>#N/A</v>
      </c>
      <c r="AD76" s="323" t="e">
        <f t="shared" ca="1" si="55"/>
        <v>#N/A</v>
      </c>
      <c r="AE76" s="324">
        <f t="shared" ca="1" si="34"/>
        <v>679.82051314866726</v>
      </c>
      <c r="AG76" s="306">
        <f t="shared" ca="1" si="56"/>
        <v>6.8333418265562411</v>
      </c>
      <c r="AH76" s="304">
        <f t="shared" ca="1" si="57"/>
        <v>16.300400204269394</v>
      </c>
    </row>
    <row r="77" spans="1:34" x14ac:dyDescent="0.2">
      <c r="A77" s="347">
        <f t="shared" ca="1" si="35"/>
        <v>0.01</v>
      </c>
      <c r="B77" s="304">
        <f t="shared" ca="1" si="36"/>
        <v>5.3299999999999841</v>
      </c>
      <c r="D77" s="306">
        <f t="shared" ca="1" si="37"/>
        <v>3.6775406244486715</v>
      </c>
      <c r="E77" s="307">
        <f t="shared" ca="1" si="38"/>
        <v>3.722824193497912</v>
      </c>
      <c r="F77" s="304">
        <f t="shared" ca="1" si="39"/>
        <v>5.2329461128664132</v>
      </c>
      <c r="G77" s="306">
        <f t="shared" ca="1" si="40"/>
        <v>45.674336686934637</v>
      </c>
      <c r="H77" s="307">
        <f t="shared" ca="1" si="41"/>
        <v>167.97693482890364</v>
      </c>
      <c r="I77" s="304">
        <f t="shared" ca="1" si="42"/>
        <v>174.07583309094116</v>
      </c>
      <c r="J77" s="306">
        <f t="shared" ca="1" si="43"/>
        <v>162.17198523478055</v>
      </c>
      <c r="K77" s="307">
        <f t="shared" ca="1" si="44"/>
        <v>681.50009635574668</v>
      </c>
      <c r="L77" s="304">
        <f t="shared" ca="1" si="29"/>
        <v>700.52989524208158</v>
      </c>
      <c r="M77" s="306">
        <f t="shared" ca="1" si="45"/>
        <v>1.3053066335724406</v>
      </c>
      <c r="N77" s="304">
        <f t="shared" ca="1" si="46"/>
        <v>74.7885610741303</v>
      </c>
      <c r="P77" s="310">
        <f t="shared" ca="1" si="47"/>
        <v>6</v>
      </c>
      <c r="Q77" s="304">
        <f t="shared" ca="1" si="48"/>
        <v>112.00000000001033</v>
      </c>
      <c r="R77" s="306">
        <f t="shared" ca="1" si="49"/>
        <v>5.9443976411125948E-2</v>
      </c>
      <c r="S77" s="307">
        <f t="shared" ca="1" si="50"/>
        <v>2.943015754001685</v>
      </c>
      <c r="T77" s="304">
        <f t="shared" ca="1" si="30"/>
        <v>28.870984546756532</v>
      </c>
      <c r="U77" s="311">
        <f t="shared" ca="1" si="31"/>
        <v>0</v>
      </c>
      <c r="V77" s="306">
        <f t="shared" ca="1" si="32"/>
        <v>1.1442672084571957</v>
      </c>
      <c r="W77" s="304">
        <f t="shared" ca="1" si="33"/>
        <v>70.753443003721515</v>
      </c>
      <c r="Y77" s="314" t="str">
        <f t="shared" ca="1" si="51"/>
        <v/>
      </c>
      <c r="Z77" s="315" t="str">
        <f t="shared" ca="1" si="52"/>
        <v/>
      </c>
      <c r="AA77" s="316" t="str">
        <f t="shared" ca="1" si="53"/>
        <v/>
      </c>
      <c r="AC77" s="310" t="e">
        <f t="shared" ca="1" si="54"/>
        <v>#N/A</v>
      </c>
      <c r="AD77" s="323" t="e">
        <f t="shared" ca="1" si="55"/>
        <v>#N/A</v>
      </c>
      <c r="AE77" s="324">
        <f t="shared" ca="1" si="34"/>
        <v>681.50009635574668</v>
      </c>
      <c r="AG77" s="306">
        <f t="shared" ca="1" si="56"/>
        <v>4.5569315347725912</v>
      </c>
      <c r="AH77" s="304">
        <f t="shared" ca="1" si="57"/>
        <v>14.02360993812195</v>
      </c>
    </row>
    <row r="78" spans="1:34" x14ac:dyDescent="0.2">
      <c r="A78" s="347">
        <f t="shared" ca="1" si="35"/>
        <v>0.01</v>
      </c>
      <c r="B78" s="304">
        <f t="shared" ca="1" si="36"/>
        <v>5.3399999999999839</v>
      </c>
      <c r="D78" s="306">
        <f t="shared" ca="1" si="37"/>
        <v>3.0835237508721307</v>
      </c>
      <c r="E78" s="307">
        <f t="shared" ca="1" si="38"/>
        <v>1.5303041119979675</v>
      </c>
      <c r="F78" s="304">
        <f t="shared" ca="1" si="39"/>
        <v>3.4423755456647118</v>
      </c>
      <c r="G78" s="306">
        <f t="shared" ca="1" si="40"/>
        <v>45.705171924443356</v>
      </c>
      <c r="H78" s="307">
        <f t="shared" ca="1" si="41"/>
        <v>167.99223787002362</v>
      </c>
      <c r="I78" s="304">
        <f t="shared" ca="1" si="42"/>
        <v>174.09869248567469</v>
      </c>
      <c r="J78" s="306">
        <f t="shared" ca="1" si="43"/>
        <v>162.62888277783745</v>
      </c>
      <c r="K78" s="307">
        <f t="shared" ca="1" si="44"/>
        <v>683.1799422192413</v>
      </c>
      <c r="L78" s="304">
        <f t="shared" ca="1" si="29"/>
        <v>702.2698818575758</v>
      </c>
      <c r="M78" s="306">
        <f t="shared" ca="1" si="45"/>
        <v>1.305158788359841</v>
      </c>
      <c r="N78" s="304">
        <f t="shared" ca="1" si="46"/>
        <v>74.780090167427119</v>
      </c>
      <c r="P78" s="310">
        <f t="shared" ca="1" si="47"/>
        <v>6</v>
      </c>
      <c r="Q78" s="304">
        <f t="shared" ca="1" si="48"/>
        <v>105.3333333333438</v>
      </c>
      <c r="R78" s="306">
        <f t="shared" ca="1" si="49"/>
        <v>5.5905644481892662E-2</v>
      </c>
      <c r="S78" s="307">
        <f t="shared" ca="1" si="50"/>
        <v>2.942456697556866</v>
      </c>
      <c r="T78" s="304">
        <f t="shared" ca="1" si="30"/>
        <v>28.865500203032855</v>
      </c>
      <c r="U78" s="311">
        <f t="shared" ca="1" si="31"/>
        <v>0</v>
      </c>
      <c r="V78" s="306">
        <f t="shared" ca="1" si="32"/>
        <v>1.1440747813869501</v>
      </c>
      <c r="W78" s="304">
        <f t="shared" ca="1" si="33"/>
        <v>70.76012524710373</v>
      </c>
      <c r="Y78" s="314" t="str">
        <f t="shared" ca="1" si="51"/>
        <v/>
      </c>
      <c r="Z78" s="315" t="str">
        <f t="shared" ca="1" si="52"/>
        <v/>
      </c>
      <c r="AA78" s="316" t="str">
        <f t="shared" ca="1" si="53"/>
        <v/>
      </c>
      <c r="AC78" s="310" t="e">
        <f t="shared" ca="1" si="54"/>
        <v>#N/A</v>
      </c>
      <c r="AD78" s="323" t="e">
        <f t="shared" ca="1" si="55"/>
        <v>#N/A</v>
      </c>
      <c r="AE78" s="324">
        <f t="shared" ca="1" si="34"/>
        <v>683.1799422192413</v>
      </c>
      <c r="AG78" s="306">
        <f t="shared" ca="1" si="56"/>
        <v>2.2857491990925052</v>
      </c>
      <c r="AH78" s="304">
        <f t="shared" ca="1" si="57"/>
        <v>11.752047314182775</v>
      </c>
    </row>
    <row r="79" spans="1:34" x14ac:dyDescent="0.2">
      <c r="A79" s="347">
        <f t="shared" ca="1" si="35"/>
        <v>0.01</v>
      </c>
      <c r="B79" s="304">
        <f t="shared" ca="1" si="36"/>
        <v>5.3499999999999837</v>
      </c>
      <c r="D79" s="306">
        <f t="shared" ca="1" si="37"/>
        <v>2.4902507054449341</v>
      </c>
      <c r="E79" s="307">
        <f t="shared" ca="1" si="38"/>
        <v>-0.65692669887173771</v>
      </c>
      <c r="F79" s="304">
        <f t="shared" ca="1" si="39"/>
        <v>2.5754419550165579</v>
      </c>
      <c r="G79" s="306">
        <f t="shared" ca="1" si="40"/>
        <v>45.730074431497805</v>
      </c>
      <c r="H79" s="307">
        <f t="shared" ca="1" si="41"/>
        <v>167.9856686030349</v>
      </c>
      <c r="I79" s="304">
        <f t="shared" ca="1" si="42"/>
        <v>174.0988930565585</v>
      </c>
      <c r="J79" s="306">
        <f t="shared" ca="1" si="43"/>
        <v>163.08605900961714</v>
      </c>
      <c r="K79" s="307">
        <f t="shared" ca="1" si="44"/>
        <v>684.85983175160663</v>
      </c>
      <c r="L79" s="304">
        <f t="shared" ca="1" si="29"/>
        <v>704.00997989384166</v>
      </c>
      <c r="M79" s="306">
        <f t="shared" ca="1" si="45"/>
        <v>1.3050108629311432</v>
      </c>
      <c r="N79" s="304">
        <f t="shared" ca="1" si="46"/>
        <v>74.771614664680072</v>
      </c>
      <c r="P79" s="310">
        <f t="shared" ca="1" si="47"/>
        <v>6</v>
      </c>
      <c r="Q79" s="304">
        <f t="shared" ca="1" si="48"/>
        <v>98.666666666677287</v>
      </c>
      <c r="R79" s="306">
        <f t="shared" ca="1" si="49"/>
        <v>5.2367312552659383E-2</v>
      </c>
      <c r="S79" s="307">
        <f t="shared" ca="1" si="50"/>
        <v>2.9419330244313393</v>
      </c>
      <c r="T79" s="304">
        <f t="shared" ca="1" si="30"/>
        <v>28.860362969671439</v>
      </c>
      <c r="U79" s="311">
        <f t="shared" ca="1" si="31"/>
        <v>0</v>
      </c>
      <c r="V79" s="306">
        <f t="shared" ca="1" si="32"/>
        <v>1.1438823805701686</v>
      </c>
      <c r="W79" s="304">
        <f t="shared" ca="1" si="33"/>
        <v>70.748388419411427</v>
      </c>
      <c r="Y79" s="314" t="str">
        <f t="shared" ca="1" si="51"/>
        <v/>
      </c>
      <c r="Z79" s="315" t="str">
        <f t="shared" ca="1" si="52"/>
        <v/>
      </c>
      <c r="AA79" s="316" t="str">
        <f t="shared" ca="1" si="53"/>
        <v/>
      </c>
      <c r="AC79" s="310" t="e">
        <f t="shared" ca="1" si="54"/>
        <v>#N/A</v>
      </c>
      <c r="AD79" s="323" t="e">
        <f t="shared" ca="1" si="55"/>
        <v>#N/A</v>
      </c>
      <c r="AE79" s="324">
        <f t="shared" ca="1" si="34"/>
        <v>684.85983175160663</v>
      </c>
      <c r="AG79" s="306">
        <f t="shared" ca="1" si="56"/>
        <v>1.9866607370307321E-2</v>
      </c>
      <c r="AH79" s="304">
        <f t="shared" ca="1" si="57"/>
        <v>9.4857840704812606</v>
      </c>
    </row>
    <row r="80" spans="1:34" x14ac:dyDescent="0.2">
      <c r="A80" s="347">
        <f t="shared" ca="1" si="35"/>
        <v>0.01</v>
      </c>
      <c r="B80" s="304">
        <f t="shared" ca="1" si="36"/>
        <v>5.3599999999999834</v>
      </c>
      <c r="D80" s="306">
        <f t="shared" ca="1" si="37"/>
        <v>1.8977415878926482</v>
      </c>
      <c r="E80" s="307">
        <f t="shared" ca="1" si="38"/>
        <v>-2.8388023048054718</v>
      </c>
      <c r="F80" s="304">
        <f t="shared" ca="1" si="39"/>
        <v>3.4147066726420543</v>
      </c>
      <c r="G80" s="306">
        <f t="shared" ca="1" si="40"/>
        <v>45.749051847376734</v>
      </c>
      <c r="H80" s="307">
        <f t="shared" ca="1" si="41"/>
        <v>167.95728057998684</v>
      </c>
      <c r="I80" s="304">
        <f t="shared" ca="1" si="42"/>
        <v>174.07648848927988</v>
      </c>
      <c r="J80" s="306">
        <f t="shared" ca="1" si="43"/>
        <v>163.54345464101152</v>
      </c>
      <c r="K80" s="307">
        <f t="shared" ca="1" si="44"/>
        <v>686.53954649752177</v>
      </c>
      <c r="L80" s="304">
        <f t="shared" ca="1" si="29"/>
        <v>705.7499631320851</v>
      </c>
      <c r="M80" s="306">
        <f t="shared" ca="1" si="45"/>
        <v>1.3048628380265039</v>
      </c>
      <c r="N80" s="304">
        <f t="shared" ca="1" si="46"/>
        <v>74.763133462381418</v>
      </c>
      <c r="P80" s="310">
        <f t="shared" ca="1" si="47"/>
        <v>6</v>
      </c>
      <c r="Q80" s="304">
        <f t="shared" ca="1" si="48"/>
        <v>92.000000000010758</v>
      </c>
      <c r="R80" s="306">
        <f t="shared" ca="1" si="49"/>
        <v>4.882898062342609E-2</v>
      </c>
      <c r="S80" s="307">
        <f t="shared" ca="1" si="50"/>
        <v>2.9414447346251049</v>
      </c>
      <c r="T80" s="304">
        <f t="shared" ca="1" si="30"/>
        <v>28.855572846672281</v>
      </c>
      <c r="U80" s="311">
        <f t="shared" ca="1" si="31"/>
        <v>0</v>
      </c>
      <c r="V80" s="306">
        <f t="shared" ca="1" si="32"/>
        <v>1.1436900310156652</v>
      </c>
      <c r="W80" s="304">
        <f t="shared" ca="1" si="33"/>
        <v>70.718286914755893</v>
      </c>
      <c r="Y80" s="314" t="str">
        <f t="shared" ca="1" si="51"/>
        <v/>
      </c>
      <c r="Z80" s="315" t="str">
        <f t="shared" ca="1" si="52"/>
        <v/>
      </c>
      <c r="AA80" s="316" t="str">
        <f t="shared" ca="1" si="53"/>
        <v/>
      </c>
      <c r="AC80" s="310" t="e">
        <f t="shared" ca="1" si="54"/>
        <v>#N/A</v>
      </c>
      <c r="AD80" s="323" t="e">
        <f t="shared" ca="1" si="55"/>
        <v>#N/A</v>
      </c>
      <c r="AE80" s="324">
        <f t="shared" ca="1" si="34"/>
        <v>686.53954649752177</v>
      </c>
      <c r="AG80" s="306">
        <f t="shared" ca="1" si="56"/>
        <v>-2.2406474406001893</v>
      </c>
      <c r="AH80" s="304">
        <f t="shared" ca="1" si="57"/>
        <v>7.2248889569254162</v>
      </c>
    </row>
    <row r="81" spans="1:34" x14ac:dyDescent="0.2">
      <c r="A81" s="347">
        <f t="shared" ca="1" si="35"/>
        <v>0.01</v>
      </c>
      <c r="B81" s="304">
        <f t="shared" ca="1" si="36"/>
        <v>5.3699999999999832</v>
      </c>
      <c r="D81" s="306">
        <f t="shared" ca="1" si="37"/>
        <v>1.3060155911795239</v>
      </c>
      <c r="E81" s="307">
        <f t="shared" ca="1" si="38"/>
        <v>-5.0152596014150053</v>
      </c>
      <c r="F81" s="304">
        <f t="shared" ca="1" si="39"/>
        <v>5.1825192323800788</v>
      </c>
      <c r="G81" s="306">
        <f t="shared" ca="1" si="40"/>
        <v>45.762112003288529</v>
      </c>
      <c r="H81" s="307">
        <f t="shared" ca="1" si="41"/>
        <v>167.90712798397269</v>
      </c>
      <c r="I81" s="304">
        <f t="shared" ca="1" si="42"/>
        <v>174.03153312784355</v>
      </c>
      <c r="J81" s="306">
        <f t="shared" ca="1" si="43"/>
        <v>164.00101046026484</v>
      </c>
      <c r="K81" s="307">
        <f t="shared" ca="1" si="44"/>
        <v>688.21886854034153</v>
      </c>
      <c r="L81" s="304">
        <f t="shared" ca="1" si="29"/>
        <v>707.48960589321439</v>
      </c>
      <c r="M81" s="306">
        <f t="shared" ca="1" si="45"/>
        <v>1.3047146943756709</v>
      </c>
      <c r="N81" s="304">
        <f t="shared" ca="1" si="46"/>
        <v>74.754645456427028</v>
      </c>
      <c r="P81" s="310">
        <f t="shared" ca="1" si="47"/>
        <v>6</v>
      </c>
      <c r="Q81" s="304">
        <f t="shared" ca="1" si="48"/>
        <v>85.333333333344228</v>
      </c>
      <c r="R81" s="306">
        <f t="shared" ca="1" si="49"/>
        <v>4.5290648694192803E-2</v>
      </c>
      <c r="S81" s="307">
        <f t="shared" ca="1" si="50"/>
        <v>2.9409918281381628</v>
      </c>
      <c r="T81" s="304">
        <f t="shared" ca="1" si="30"/>
        <v>28.85112983403538</v>
      </c>
      <c r="U81" s="311">
        <f t="shared" ca="1" si="31"/>
        <v>0</v>
      </c>
      <c r="V81" s="306">
        <f t="shared" ca="1" si="32"/>
        <v>1.1434977576543399</v>
      </c>
      <c r="W81" s="304">
        <f t="shared" ca="1" si="33"/>
        <v>70.669882764861057</v>
      </c>
      <c r="Y81" s="314" t="str">
        <f t="shared" ca="1" si="51"/>
        <v/>
      </c>
      <c r="Z81" s="315" t="str">
        <f t="shared" ca="1" si="52"/>
        <v/>
      </c>
      <c r="AA81" s="316" t="str">
        <f t="shared" ca="1" si="53"/>
        <v/>
      </c>
      <c r="AC81" s="310" t="e">
        <f t="shared" ca="1" si="54"/>
        <v>#N/A</v>
      </c>
      <c r="AD81" s="323" t="e">
        <f t="shared" ca="1" si="55"/>
        <v>#N/A</v>
      </c>
      <c r="AE81" s="324">
        <f t="shared" ca="1" si="34"/>
        <v>688.21886854034153</v>
      </c>
      <c r="AG81" s="306">
        <f t="shared" ca="1" si="56"/>
        <v>-4.495727113142987</v>
      </c>
      <c r="AH81" s="304">
        <f t="shared" ca="1" si="57"/>
        <v>4.9694277552075352</v>
      </c>
    </row>
    <row r="82" spans="1:34" x14ac:dyDescent="0.2">
      <c r="A82" s="347">
        <f t="shared" ca="1" si="35"/>
        <v>0.01</v>
      </c>
      <c r="B82" s="304">
        <f t="shared" ca="1" si="36"/>
        <v>5.379999999999983</v>
      </c>
      <c r="D82" s="306">
        <f t="shared" ca="1" si="37"/>
        <v>0.71509100600222397</v>
      </c>
      <c r="E82" s="307">
        <f t="shared" ca="1" si="38"/>
        <v>-7.1862382938887333</v>
      </c>
      <c r="F82" s="304">
        <f t="shared" ca="1" si="39"/>
        <v>7.2217294302277848</v>
      </c>
      <c r="G82" s="306">
        <f t="shared" ca="1" si="40"/>
        <v>45.769262913348548</v>
      </c>
      <c r="H82" s="307">
        <f t="shared" ca="1" si="41"/>
        <v>167.8352656010338</v>
      </c>
      <c r="I82" s="304">
        <f t="shared" ca="1" si="42"/>
        <v>173.96408194509803</v>
      </c>
      <c r="J82" s="306">
        <f t="shared" ca="1" si="43"/>
        <v>164.45866733484803</v>
      </c>
      <c r="K82" s="307">
        <f t="shared" ca="1" si="44"/>
        <v>689.89758050826651</v>
      </c>
      <c r="L82" s="304">
        <f t="shared" ca="1" si="29"/>
        <v>709.22868304427334</v>
      </c>
      <c r="M82" s="306">
        <f t="shared" ca="1" si="45"/>
        <v>1.3045664126836545</v>
      </c>
      <c r="N82" s="304">
        <f t="shared" ca="1" si="46"/>
        <v>74.746149541295424</v>
      </c>
      <c r="P82" s="310">
        <f t="shared" ca="1" si="47"/>
        <v>6</v>
      </c>
      <c r="Q82" s="304">
        <f t="shared" ca="1" si="48"/>
        <v>78.666666666677713</v>
      </c>
      <c r="R82" s="306">
        <f t="shared" ca="1" si="49"/>
        <v>4.1752316764959524E-2</v>
      </c>
      <c r="S82" s="307">
        <f t="shared" ca="1" si="50"/>
        <v>2.9405743049705131</v>
      </c>
      <c r="T82" s="304">
        <f t="shared" ca="1" si="30"/>
        <v>28.847033931760734</v>
      </c>
      <c r="U82" s="311">
        <f t="shared" ca="1" si="31"/>
        <v>0</v>
      </c>
      <c r="V82" s="306">
        <f t="shared" ca="1" si="32"/>
        <v>1.1433055853385365</v>
      </c>
      <c r="W82" s="304">
        <f t="shared" ca="1" si="33"/>
        <v>70.603245547087681</v>
      </c>
      <c r="Y82" s="314" t="str">
        <f t="shared" ca="1" si="51"/>
        <v/>
      </c>
      <c r="Z82" s="315" t="str">
        <f t="shared" ca="1" si="52"/>
        <v/>
      </c>
      <c r="AA82" s="316" t="str">
        <f t="shared" ca="1" si="53"/>
        <v/>
      </c>
      <c r="AC82" s="310" t="e">
        <f t="shared" ca="1" si="54"/>
        <v>#N/A</v>
      </c>
      <c r="AD82" s="323" t="e">
        <f t="shared" ca="1" si="55"/>
        <v>#N/A</v>
      </c>
      <c r="AE82" s="324">
        <f t="shared" ca="1" si="34"/>
        <v>689.89758050826651</v>
      </c>
      <c r="AG82" s="306">
        <f t="shared" ca="1" si="56"/>
        <v>-6.745309525968139</v>
      </c>
      <c r="AH82" s="304">
        <f t="shared" ca="1" si="57"/>
        <v>2.7194632994988521</v>
      </c>
    </row>
    <row r="83" spans="1:34" x14ac:dyDescent="0.2">
      <c r="A83" s="347">
        <f t="shared" ca="1" si="35"/>
        <v>0.01</v>
      </c>
      <c r="B83" s="304">
        <f t="shared" ca="1" si="36"/>
        <v>5.3899999999999828</v>
      </c>
      <c r="D83" s="306">
        <f t="shared" ca="1" si="37"/>
        <v>0.12498522533332111</v>
      </c>
      <c r="E83" s="307">
        <f t="shared" ca="1" si="38"/>
        <v>-9.3516808758808949</v>
      </c>
      <c r="F83" s="304">
        <f t="shared" ca="1" si="39"/>
        <v>9.3525160524250417</v>
      </c>
      <c r="G83" s="306">
        <f t="shared" ca="1" si="40"/>
        <v>45.770512765601879</v>
      </c>
      <c r="H83" s="307">
        <f t="shared" ca="1" si="41"/>
        <v>167.74174879227499</v>
      </c>
      <c r="I83" s="304">
        <f t="shared" ca="1" si="42"/>
        <v>173.87419051347675</v>
      </c>
      <c r="J83" s="306">
        <f t="shared" ca="1" si="43"/>
        <v>164.91636621324278</v>
      </c>
      <c r="K83" s="307">
        <f t="shared" ca="1" si="44"/>
        <v>691.57546558023307</v>
      </c>
      <c r="L83" s="304">
        <f t="shared" ca="1" si="29"/>
        <v>710.96697000458232</v>
      </c>
      <c r="M83" s="306">
        <f t="shared" ca="1" si="45"/>
        <v>1.3044179736163808</v>
      </c>
      <c r="N83" s="304">
        <f t="shared" ca="1" si="46"/>
        <v>74.737644609225782</v>
      </c>
      <c r="P83" s="310">
        <f t="shared" ca="1" si="47"/>
        <v>6</v>
      </c>
      <c r="Q83" s="304">
        <f t="shared" ca="1" si="48"/>
        <v>72.000000000011184</v>
      </c>
      <c r="R83" s="306">
        <f t="shared" ca="1" si="49"/>
        <v>3.8213984835726238E-2</v>
      </c>
      <c r="S83" s="307">
        <f t="shared" ca="1" si="50"/>
        <v>2.9401921651221556</v>
      </c>
      <c r="T83" s="304">
        <f t="shared" ca="1" si="30"/>
        <v>28.843285139848348</v>
      </c>
      <c r="U83" s="311">
        <f t="shared" ca="1" si="31"/>
        <v>0</v>
      </c>
      <c r="V83" s="306">
        <f t="shared" ca="1" si="32"/>
        <v>1.1431135388414437</v>
      </c>
      <c r="W83" s="304">
        <f t="shared" ca="1" si="33"/>
        <v>70.51845229194133</v>
      </c>
      <c r="Y83" s="314" t="str">
        <f t="shared" ca="1" si="51"/>
        <v/>
      </c>
      <c r="Z83" s="315" t="str">
        <f t="shared" ca="1" si="52"/>
        <v/>
      </c>
      <c r="AA83" s="316" t="str">
        <f t="shared" ca="1" si="53"/>
        <v/>
      </c>
      <c r="AC83" s="310" t="e">
        <f t="shared" ca="1" si="54"/>
        <v>#N/A</v>
      </c>
      <c r="AD83" s="323" t="e">
        <f t="shared" ca="1" si="55"/>
        <v>#N/A</v>
      </c>
      <c r="AE83" s="324">
        <f t="shared" ca="1" si="34"/>
        <v>691.57546558023307</v>
      </c>
      <c r="AG83" s="306">
        <f t="shared" ca="1" si="56"/>
        <v>-8.9893347206841554</v>
      </c>
      <c r="AH83" s="304">
        <f t="shared" ca="1" si="57"/>
        <v>0.47505549789990414</v>
      </c>
    </row>
    <row r="84" spans="1:34" x14ac:dyDescent="0.2">
      <c r="A84" s="347">
        <f t="shared" ca="1" si="35"/>
        <v>0.01</v>
      </c>
      <c r="B84" s="304">
        <f t="shared" ca="1" si="36"/>
        <v>5.3999999999999826</v>
      </c>
      <c r="D84" s="306">
        <f t="shared" ca="1" si="37"/>
        <v>-0.46428525099344853</v>
      </c>
      <c r="E84" s="307">
        <f t="shared" ca="1" si="38"/>
        <v>-11.511532607662437</v>
      </c>
      <c r="F84" s="304">
        <f t="shared" ca="1" si="39"/>
        <v>11.520891622247195</v>
      </c>
      <c r="G84" s="306">
        <f t="shared" ca="1" si="40"/>
        <v>45.765869913091947</v>
      </c>
      <c r="H84" s="307">
        <f t="shared" ca="1" si="41"/>
        <v>167.62663346619837</v>
      </c>
      <c r="I84" s="304">
        <f t="shared" ca="1" si="42"/>
        <v>173.7619149759615</v>
      </c>
      <c r="J84" s="306">
        <f t="shared" ca="1" si="43"/>
        <v>165.37404812663624</v>
      </c>
      <c r="K84" s="307">
        <f t="shared" ca="1" si="44"/>
        <v>693.25230749152547</v>
      </c>
      <c r="L84" s="304">
        <f t="shared" ca="1" si="29"/>
        <v>712.70424275158871</v>
      </c>
      <c r="M84" s="306">
        <f t="shared" ca="1" si="45"/>
        <v>1.3042693577862965</v>
      </c>
      <c r="N84" s="304">
        <f t="shared" ca="1" si="46"/>
        <v>74.729129549393122</v>
      </c>
      <c r="P84" s="310">
        <f t="shared" ca="1" si="47"/>
        <v>6</v>
      </c>
      <c r="Q84" s="304">
        <f t="shared" ca="1" si="48"/>
        <v>65.333333333344655</v>
      </c>
      <c r="R84" s="306">
        <f t="shared" ca="1" si="49"/>
        <v>3.4675652906492944E-2</v>
      </c>
      <c r="S84" s="307">
        <f t="shared" ca="1" si="50"/>
        <v>2.9398454085930905</v>
      </c>
      <c r="T84" s="304">
        <f t="shared" ca="1" si="30"/>
        <v>28.839883458298221</v>
      </c>
      <c r="U84" s="311">
        <f t="shared" ca="1" si="31"/>
        <v>0</v>
      </c>
      <c r="V84" s="306">
        <f t="shared" ca="1" si="32"/>
        <v>1.1429216428565292</v>
      </c>
      <c r="W84" s="304">
        <f t="shared" ca="1" si="33"/>
        <v>70.415587390146882</v>
      </c>
      <c r="Y84" s="314" t="str">
        <f t="shared" ca="1" si="51"/>
        <v/>
      </c>
      <c r="Z84" s="315" t="str">
        <f t="shared" ca="1" si="52"/>
        <v/>
      </c>
      <c r="AA84" s="316" t="str">
        <f t="shared" ca="1" si="53"/>
        <v/>
      </c>
      <c r="AC84" s="310" t="e">
        <f t="shared" ca="1" si="54"/>
        <v>#N/A</v>
      </c>
      <c r="AD84" s="323" t="e">
        <f t="shared" ca="1" si="55"/>
        <v>#N/A</v>
      </c>
      <c r="AE84" s="324">
        <f t="shared" ca="1" si="34"/>
        <v>693.25230749152547</v>
      </c>
      <c r="AG84" s="306">
        <f t="shared" ca="1" si="56"/>
        <v>-11.22774564258723</v>
      </c>
      <c r="AH84" s="304">
        <f t="shared" ca="1" si="57"/>
        <v>-1.7637386453861517</v>
      </c>
    </row>
    <row r="85" spans="1:34" x14ac:dyDescent="0.2">
      <c r="A85" s="347">
        <f t="shared" ca="1" si="35"/>
        <v>0.01</v>
      </c>
      <c r="B85" s="304">
        <f t="shared" ca="1" si="36"/>
        <v>5.4099999999999824</v>
      </c>
      <c r="D85" s="306">
        <f t="shared" ca="1" si="37"/>
        <v>-0.91084054476258958</v>
      </c>
      <c r="E85" s="307">
        <f t="shared" ca="1" si="38"/>
        <v>-13.146135299798914</v>
      </c>
      <c r="F85" s="304">
        <f t="shared" ca="1" si="39"/>
        <v>13.177651680728342</v>
      </c>
      <c r="G85" s="306">
        <f t="shared" ca="1" si="40"/>
        <v>45.75676150764432</v>
      </c>
      <c r="H85" s="307">
        <f t="shared" ca="1" si="41"/>
        <v>167.49517211320037</v>
      </c>
      <c r="I85" s="304">
        <f t="shared" ca="1" si="42"/>
        <v>173.6326982595676</v>
      </c>
      <c r="J85" s="306">
        <f t="shared" ca="1" si="43"/>
        <v>165.83166128373992</v>
      </c>
      <c r="K85" s="307">
        <f t="shared" ca="1" si="44"/>
        <v>694.92791651942241</v>
      </c>
      <c r="L85" s="304">
        <f t="shared" ca="1" si="29"/>
        <v>714.44030474361557</v>
      </c>
      <c r="M85" s="306">
        <f t="shared" ca="1" si="45"/>
        <v>1.3041205503541835</v>
      </c>
      <c r="N85" s="304">
        <f t="shared" ca="1" si="46"/>
        <v>74.720603511572875</v>
      </c>
      <c r="P85" s="310">
        <f t="shared" ca="1" si="47"/>
        <v>7</v>
      </c>
      <c r="Q85" s="304">
        <f t="shared" ca="1" si="48"/>
        <v>60.250000000006018</v>
      </c>
      <c r="R85" s="306">
        <f t="shared" ca="1" si="49"/>
        <v>3.1977674810449698E-2</v>
      </c>
      <c r="S85" s="307">
        <f t="shared" ca="1" si="50"/>
        <v>2.9395256318449858</v>
      </c>
      <c r="T85" s="304">
        <f t="shared" ca="1" si="30"/>
        <v>28.836746448399314</v>
      </c>
      <c r="U85" s="311">
        <f t="shared" ca="1" si="31"/>
        <v>0</v>
      </c>
      <c r="V85" s="306">
        <f t="shared" ca="1" si="32"/>
        <v>1.1427299190245774</v>
      </c>
      <c r="W85" s="304">
        <f t="shared" ca="1" si="33"/>
        <v>70.299103731582207</v>
      </c>
      <c r="Y85" s="314" t="str">
        <f t="shared" ca="1" si="51"/>
        <v/>
      </c>
      <c r="Z85" s="315" t="str">
        <f t="shared" ca="1" si="52"/>
        <v/>
      </c>
      <c r="AA85" s="316" t="str">
        <f t="shared" ca="1" si="53"/>
        <v/>
      </c>
      <c r="AC85" s="310" t="e">
        <f t="shared" ca="1" si="54"/>
        <v>#N/A</v>
      </c>
      <c r="AD85" s="323" t="e">
        <f t="shared" ca="1" si="55"/>
        <v>#N/A</v>
      </c>
      <c r="AE85" s="324">
        <f t="shared" ca="1" si="34"/>
        <v>694.92791651942241</v>
      </c>
      <c r="AG85" s="306">
        <f t="shared" ca="1" si="56"/>
        <v>-12.9218638824868</v>
      </c>
      <c r="AH85" s="304">
        <f t="shared" ca="1" si="57"/>
        <v>-3.458240771916814</v>
      </c>
    </row>
    <row r="86" spans="1:34" x14ac:dyDescent="0.2">
      <c r="A86" s="347">
        <f t="shared" ca="1" si="35"/>
        <v>0.01</v>
      </c>
      <c r="B86" s="304">
        <f t="shared" ca="1" si="36"/>
        <v>5.4199999999999822</v>
      </c>
      <c r="D86" s="306">
        <f t="shared" ca="1" si="37"/>
        <v>-1.2147910503468302</v>
      </c>
      <c r="E86" s="307">
        <f t="shared" ca="1" si="38"/>
        <v>-14.256810249572078</v>
      </c>
      <c r="F86" s="304">
        <f t="shared" ca="1" si="39"/>
        <v>14.308471469318665</v>
      </c>
      <c r="G86" s="306">
        <f t="shared" ca="1" si="40"/>
        <v>45.744613597140855</v>
      </c>
      <c r="H86" s="307">
        <f t="shared" ca="1" si="41"/>
        <v>167.35260401070465</v>
      </c>
      <c r="I86" s="304">
        <f t="shared" ca="1" si="42"/>
        <v>173.4919702531372</v>
      </c>
      <c r="J86" s="306">
        <f t="shared" ca="1" si="43"/>
        <v>166.28916815926385</v>
      </c>
      <c r="K86" s="307">
        <f t="shared" ca="1" si="44"/>
        <v>696.60215540004197</v>
      </c>
      <c r="L86" s="304">
        <f t="shared" ca="1" si="29"/>
        <v>716.17501377462486</v>
      </c>
      <c r="M86" s="306">
        <f t="shared" ca="1" si="45"/>
        <v>1.3039715410472406</v>
      </c>
      <c r="N86" s="304">
        <f t="shared" ca="1" si="46"/>
        <v>74.712065907176864</v>
      </c>
      <c r="P86" s="310">
        <f t="shared" ca="1" si="47"/>
        <v>7</v>
      </c>
      <c r="Q86" s="304">
        <f t="shared" ca="1" si="48"/>
        <v>56.750000000006082</v>
      </c>
      <c r="R86" s="306">
        <f t="shared" ca="1" si="49"/>
        <v>3.0120050547602212E-2</v>
      </c>
      <c r="S86" s="307">
        <f t="shared" ca="1" si="50"/>
        <v>2.9392244313395097</v>
      </c>
      <c r="T86" s="304">
        <f t="shared" ca="1" si="30"/>
        <v>28.833791671440594</v>
      </c>
      <c r="U86" s="311">
        <f t="shared" ca="1" si="31"/>
        <v>0</v>
      </c>
      <c r="V86" s="306">
        <f t="shared" ca="1" si="32"/>
        <v>1.1425383829714866</v>
      </c>
      <c r="W86" s="304">
        <f t="shared" ca="1" si="33"/>
        <v>70.173432182228225</v>
      </c>
      <c r="Y86" s="314" t="str">
        <f t="shared" ca="1" si="51"/>
        <v/>
      </c>
      <c r="Z86" s="315" t="str">
        <f t="shared" ca="1" si="52"/>
        <v/>
      </c>
      <c r="AA86" s="316" t="str">
        <f t="shared" ca="1" si="53"/>
        <v/>
      </c>
      <c r="AC86" s="310" t="e">
        <f t="shared" ca="1" si="54"/>
        <v>#N/A</v>
      </c>
      <c r="AD86" s="323" t="e">
        <f t="shared" ca="1" si="55"/>
        <v>#N/A</v>
      </c>
      <c r="AE86" s="324">
        <f t="shared" ca="1" si="34"/>
        <v>696.60215540004197</v>
      </c>
      <c r="AG86" s="306">
        <f t="shared" ca="1" si="56"/>
        <v>-14.072993251862973</v>
      </c>
      <c r="AH86" s="304">
        <f t="shared" ca="1" si="57"/>
        <v>-4.6097547322717762</v>
      </c>
    </row>
    <row r="87" spans="1:34" x14ac:dyDescent="0.2">
      <c r="A87" s="347">
        <f t="shared" ca="1" si="35"/>
        <v>0.01</v>
      </c>
      <c r="B87" s="304">
        <f t="shared" ca="1" si="36"/>
        <v>5.429999999999982</v>
      </c>
      <c r="D87" s="306">
        <f t="shared" ca="1" si="37"/>
        <v>-1.5183015763151415</v>
      </c>
      <c r="E87" s="307">
        <f t="shared" ca="1" si="38"/>
        <v>-15.364571401730625</v>
      </c>
      <c r="F87" s="304">
        <f t="shared" ca="1" si="39"/>
        <v>15.43940717888869</v>
      </c>
      <c r="G87" s="306">
        <f t="shared" ca="1" si="40"/>
        <v>45.729430581377706</v>
      </c>
      <c r="H87" s="307">
        <f t="shared" ca="1" si="41"/>
        <v>167.19895829668735</v>
      </c>
      <c r="I87" s="304">
        <f t="shared" ca="1" si="42"/>
        <v>173.33976023057849</v>
      </c>
      <c r="J87" s="306">
        <f t="shared" ca="1" si="43"/>
        <v>166.74653838015644</v>
      </c>
      <c r="K87" s="307">
        <f t="shared" ca="1" si="44"/>
        <v>698.27491321157891</v>
      </c>
      <c r="L87" s="304">
        <f t="shared" ca="1" si="29"/>
        <v>717.90825492008594</v>
      </c>
      <c r="M87" s="306">
        <f t="shared" ca="1" si="45"/>
        <v>1.3038223195470344</v>
      </c>
      <c r="N87" s="304">
        <f t="shared" ca="1" si="46"/>
        <v>74.703516145002453</v>
      </c>
      <c r="P87" s="310">
        <f t="shared" ca="1" si="47"/>
        <v>7</v>
      </c>
      <c r="Q87" s="304">
        <f t="shared" ca="1" si="48"/>
        <v>53.250000000006153</v>
      </c>
      <c r="R87" s="306">
        <f t="shared" ca="1" si="49"/>
        <v>2.8262426284754737E-2</v>
      </c>
      <c r="S87" s="307">
        <f t="shared" ca="1" si="50"/>
        <v>2.9389418070766622</v>
      </c>
      <c r="T87" s="304">
        <f t="shared" ca="1" si="30"/>
        <v>28.831019127422056</v>
      </c>
      <c r="U87" s="311">
        <f t="shared" ca="1" si="31"/>
        <v>0</v>
      </c>
      <c r="V87" s="306">
        <f t="shared" ca="1" si="32"/>
        <v>1.1423470473002371</v>
      </c>
      <c r="W87" s="304">
        <f t="shared" ca="1" si="33"/>
        <v>70.038624416091807</v>
      </c>
      <c r="Y87" s="314" t="str">
        <f t="shared" ca="1" si="51"/>
        <v/>
      </c>
      <c r="Z87" s="315" t="str">
        <f t="shared" ca="1" si="52"/>
        <v/>
      </c>
      <c r="AA87" s="316" t="str">
        <f t="shared" ca="1" si="53"/>
        <v/>
      </c>
      <c r="AC87" s="310" t="e">
        <f t="shared" ca="1" si="54"/>
        <v>#N/A</v>
      </c>
      <c r="AD87" s="323" t="e">
        <f t="shared" ca="1" si="55"/>
        <v>#N/A</v>
      </c>
      <c r="AE87" s="324">
        <f t="shared" ca="1" si="34"/>
        <v>698.27491321157891</v>
      </c>
      <c r="AG87" s="306">
        <f t="shared" ca="1" si="56"/>
        <v>-15.221195244180109</v>
      </c>
      <c r="AH87" s="304">
        <f t="shared" ca="1" si="57"/>
        <v>-5.7583420472879832</v>
      </c>
    </row>
    <row r="88" spans="1:34" x14ac:dyDescent="0.2">
      <c r="A88" s="347">
        <f t="shared" ca="1" si="35"/>
        <v>0.01</v>
      </c>
      <c r="B88" s="304">
        <f t="shared" ca="1" si="36"/>
        <v>5.4399999999999817</v>
      </c>
      <c r="D88" s="306">
        <f t="shared" ca="1" si="37"/>
        <v>-1.8213702499225459</v>
      </c>
      <c r="E88" s="307">
        <f t="shared" ca="1" si="38"/>
        <v>-16.46941396138093</v>
      </c>
      <c r="F88" s="304">
        <f t="shared" ca="1" si="39"/>
        <v>16.569821538526959</v>
      </c>
      <c r="G88" s="306">
        <f t="shared" ca="1" si="40"/>
        <v>45.711216878878481</v>
      </c>
      <c r="H88" s="307">
        <f t="shared" ca="1" si="41"/>
        <v>167.03426415707355</v>
      </c>
      <c r="I88" s="304">
        <f t="shared" ca="1" si="42"/>
        <v>173.17609751649587</v>
      </c>
      <c r="J88" s="306">
        <f t="shared" ca="1" si="43"/>
        <v>167.20374161745772</v>
      </c>
      <c r="K88" s="307">
        <f t="shared" ca="1" si="44"/>
        <v>699.9460793238477</v>
      </c>
      <c r="L88" s="304">
        <f t="shared" ca="1" si="29"/>
        <v>719.63991354822986</v>
      </c>
      <c r="M88" s="306">
        <f t="shared" ca="1" si="45"/>
        <v>1.3036728754854006</v>
      </c>
      <c r="N88" s="304">
        <f t="shared" ca="1" si="46"/>
        <v>74.694953630997531</v>
      </c>
      <c r="P88" s="310">
        <f t="shared" ca="1" si="47"/>
        <v>7</v>
      </c>
      <c r="Q88" s="304">
        <f t="shared" ca="1" si="48"/>
        <v>49.750000000006224</v>
      </c>
      <c r="R88" s="306">
        <f t="shared" ca="1" si="49"/>
        <v>2.6404802021907259E-2</v>
      </c>
      <c r="S88" s="307">
        <f t="shared" ca="1" si="50"/>
        <v>2.9386777590564432</v>
      </c>
      <c r="T88" s="304">
        <f t="shared" ca="1" si="30"/>
        <v>28.82842881634371</v>
      </c>
      <c r="U88" s="311">
        <f t="shared" ca="1" si="31"/>
        <v>0</v>
      </c>
      <c r="V88" s="306">
        <f t="shared" ca="1" si="32"/>
        <v>1.1421559245723678</v>
      </c>
      <c r="W88" s="304">
        <f t="shared" ca="1" si="33"/>
        <v>69.894733863241015</v>
      </c>
      <c r="Y88" s="314" t="str">
        <f t="shared" ca="1" si="51"/>
        <v/>
      </c>
      <c r="Z88" s="315" t="str">
        <f t="shared" ca="1" si="52"/>
        <v/>
      </c>
      <c r="AA88" s="316" t="str">
        <f t="shared" ca="1" si="53"/>
        <v/>
      </c>
      <c r="AC88" s="310" t="e">
        <f t="shared" ca="1" si="54"/>
        <v>#N/A</v>
      </c>
      <c r="AD88" s="323" t="e">
        <f t="shared" ca="1" si="55"/>
        <v>#N/A</v>
      </c>
      <c r="AE88" s="324">
        <f t="shared" ca="1" si="34"/>
        <v>699.9460793238477</v>
      </c>
      <c r="AG88" s="306">
        <f t="shared" ca="1" si="56"/>
        <v>-16.366464789918222</v>
      </c>
      <c r="AH88" s="304">
        <f t="shared" ca="1" si="57"/>
        <v>-6.9039976749951295</v>
      </c>
    </row>
    <row r="89" spans="1:34" x14ac:dyDescent="0.2">
      <c r="A89" s="347">
        <f t="shared" ca="1" si="35"/>
        <v>0.01</v>
      </c>
      <c r="B89" s="304">
        <f t="shared" ca="1" si="36"/>
        <v>5.4499999999999815</v>
      </c>
      <c r="D89" s="306">
        <f t="shared" ca="1" si="37"/>
        <v>-2.1239954245465804</v>
      </c>
      <c r="E89" s="307">
        <f t="shared" ca="1" si="38"/>
        <v>-17.571333804615037</v>
      </c>
      <c r="F89" s="304">
        <f t="shared" ca="1" si="39"/>
        <v>17.699240894363292</v>
      </c>
      <c r="G89" s="306">
        <f t="shared" ca="1" si="40"/>
        <v>45.689976924633015</v>
      </c>
      <c r="H89" s="307">
        <f t="shared" ca="1" si="41"/>
        <v>166.85855081902741</v>
      </c>
      <c r="I89" s="304">
        <f t="shared" ca="1" si="42"/>
        <v>173.00101147912244</v>
      </c>
      <c r="J89" s="306">
        <f t="shared" ca="1" si="43"/>
        <v>167.66074758647528</v>
      </c>
      <c r="K89" s="307">
        <f t="shared" ca="1" si="44"/>
        <v>701.61554339872816</v>
      </c>
      <c r="L89" s="304">
        <f t="shared" ca="1" si="29"/>
        <v>721.36987532052399</v>
      </c>
      <c r="M89" s="306">
        <f t="shared" ca="1" si="45"/>
        <v>1.303523198440302</v>
      </c>
      <c r="N89" s="304">
        <f t="shared" ca="1" si="46"/>
        <v>74.686377768023391</v>
      </c>
      <c r="P89" s="310">
        <f t="shared" ca="1" si="47"/>
        <v>8</v>
      </c>
      <c r="Q89" s="304">
        <f t="shared" ca="1" si="48"/>
        <v>46.250000000006295</v>
      </c>
      <c r="R89" s="306">
        <f t="shared" ca="1" si="49"/>
        <v>2.4547177759059784E-2</v>
      </c>
      <c r="S89" s="307">
        <f t="shared" ca="1" si="50"/>
        <v>2.9384322872788529</v>
      </c>
      <c r="T89" s="304">
        <f t="shared" ca="1" si="30"/>
        <v>28.82602073820555</v>
      </c>
      <c r="U89" s="311">
        <f t="shared" ca="1" si="31"/>
        <v>0</v>
      </c>
      <c r="V89" s="306">
        <f t="shared" ca="1" si="32"/>
        <v>1.1419650273079764</v>
      </c>
      <c r="W89" s="304">
        <f t="shared" ca="1" si="33"/>
        <v>69.741815685845737</v>
      </c>
      <c r="Y89" s="314" t="str">
        <f t="shared" ca="1" si="51"/>
        <v/>
      </c>
      <c r="Z89" s="315" t="str">
        <f t="shared" ca="1" si="52"/>
        <v/>
      </c>
      <c r="AA89" s="316" t="str">
        <f t="shared" ca="1" si="53"/>
        <v/>
      </c>
      <c r="AC89" s="310" t="e">
        <f t="shared" ca="1" si="54"/>
        <v>#N/A</v>
      </c>
      <c r="AD89" s="323" t="e">
        <f t="shared" ca="1" si="55"/>
        <v>#N/A</v>
      </c>
      <c r="AE89" s="324">
        <f t="shared" ca="1" si="34"/>
        <v>701.61554339872816</v>
      </c>
      <c r="AG89" s="306">
        <f t="shared" ca="1" si="56"/>
        <v>-17.508797526313096</v>
      </c>
      <c r="AH89" s="304">
        <f t="shared" ca="1" si="57"/>
        <v>-8.0467172803668792</v>
      </c>
    </row>
    <row r="90" spans="1:34" x14ac:dyDescent="0.2">
      <c r="A90" s="347">
        <f t="shared" ca="1" si="35"/>
        <v>0.01</v>
      </c>
      <c r="B90" s="304">
        <f t="shared" ca="1" si="36"/>
        <v>5.4599999999999813</v>
      </c>
      <c r="D90" s="306">
        <f t="shared" ca="1" si="37"/>
        <v>-2.426175678199018</v>
      </c>
      <c r="E90" s="307">
        <f t="shared" ca="1" si="38"/>
        <v>-18.670327471043272</v>
      </c>
      <c r="F90" s="304">
        <f t="shared" ca="1" si="39"/>
        <v>18.827306134906223</v>
      </c>
      <c r="G90" s="306">
        <f t="shared" ca="1" si="40"/>
        <v>45.665715167851026</v>
      </c>
      <c r="H90" s="307">
        <f t="shared" ca="1" si="41"/>
        <v>166.67184754431699</v>
      </c>
      <c r="I90" s="304">
        <f t="shared" ca="1" si="42"/>
        <v>172.81453152332804</v>
      </c>
      <c r="J90" s="306">
        <f t="shared" ca="1" si="43"/>
        <v>168.11752604693771</v>
      </c>
      <c r="K90" s="307">
        <f t="shared" ca="1" si="44"/>
        <v>703.28319539054485</v>
      </c>
      <c r="L90" s="304">
        <f t="shared" ca="1" si="29"/>
        <v>723.09802619207733</v>
      </c>
      <c r="M90" s="306">
        <f t="shared" ca="1" si="45"/>
        <v>1.3033732779316429</v>
      </c>
      <c r="N90" s="304">
        <f t="shared" ca="1" si="46"/>
        <v>74.677787955614775</v>
      </c>
      <c r="P90" s="310">
        <f t="shared" ca="1" si="47"/>
        <v>8</v>
      </c>
      <c r="Q90" s="304">
        <f t="shared" ca="1" si="48"/>
        <v>42.750000000006374</v>
      </c>
      <c r="R90" s="306">
        <f t="shared" ca="1" si="49"/>
        <v>2.2689553496212312E-2</v>
      </c>
      <c r="S90" s="307">
        <f t="shared" ca="1" si="50"/>
        <v>2.9382053917438906</v>
      </c>
      <c r="T90" s="304">
        <f t="shared" ca="1" si="30"/>
        <v>28.82379489300757</v>
      </c>
      <c r="U90" s="311">
        <f t="shared" ca="1" si="31"/>
        <v>0</v>
      </c>
      <c r="V90" s="306">
        <f t="shared" ca="1" si="32"/>
        <v>1.1417743679857282</v>
      </c>
      <c r="W90" s="304">
        <f t="shared" ca="1" si="33"/>
        <v>69.579926754358382</v>
      </c>
      <c r="Y90" s="314" t="str">
        <f t="shared" ca="1" si="51"/>
        <v/>
      </c>
      <c r="Z90" s="315" t="str">
        <f t="shared" ca="1" si="52"/>
        <v/>
      </c>
      <c r="AA90" s="316" t="str">
        <f t="shared" ca="1" si="53"/>
        <v/>
      </c>
      <c r="AC90" s="310" t="e">
        <f t="shared" ca="1" si="54"/>
        <v>#N/A</v>
      </c>
      <c r="AD90" s="323" t="e">
        <f t="shared" ca="1" si="55"/>
        <v>#N/A</v>
      </c>
      <c r="AE90" s="324">
        <f t="shared" ca="1" si="34"/>
        <v>703.28319539054485</v>
      </c>
      <c r="AG90" s="306">
        <f t="shared" ca="1" si="56"/>
        <v>-18.648189789782272</v>
      </c>
      <c r="AH90" s="304">
        <f t="shared" ca="1" si="57"/>
        <v>-9.1864972277581707</v>
      </c>
    </row>
    <row r="91" spans="1:34" x14ac:dyDescent="0.2">
      <c r="A91" s="347">
        <f t="shared" ca="1" si="35"/>
        <v>0.01</v>
      </c>
      <c r="B91" s="304">
        <f t="shared" ca="1" si="36"/>
        <v>5.4699999999999811</v>
      </c>
      <c r="D91" s="306">
        <f t="shared" ca="1" si="37"/>
        <v>-2.7279098120520073</v>
      </c>
      <c r="E91" s="307">
        <f t="shared" ca="1" si="38"/>
        <v>-19.766392156299048</v>
      </c>
      <c r="F91" s="304">
        <f t="shared" ca="1" si="39"/>
        <v>19.953740271420045</v>
      </c>
      <c r="G91" s="306">
        <f t="shared" ca="1" si="40"/>
        <v>45.638436069730503</v>
      </c>
      <c r="H91" s="307">
        <f t="shared" ca="1" si="41"/>
        <v>166.474183622754</v>
      </c>
      <c r="I91" s="304">
        <f t="shared" ca="1" si="42"/>
        <v>172.61668708370374</v>
      </c>
      <c r="J91" s="306">
        <f t="shared" ca="1" si="43"/>
        <v>168.57404680312561</v>
      </c>
      <c r="K91" s="307">
        <f t="shared" ca="1" si="44"/>
        <v>704.94892554638022</v>
      </c>
      <c r="L91" s="304">
        <f t="shared" ca="1" si="29"/>
        <v>724.82425241197495</v>
      </c>
      <c r="M91" s="306">
        <f t="shared" ca="1" si="45"/>
        <v>1.3032231034170327</v>
      </c>
      <c r="N91" s="304">
        <f t="shared" ca="1" si="46"/>
        <v>74.669183589737187</v>
      </c>
      <c r="P91" s="310">
        <f t="shared" ca="1" si="47"/>
        <v>8</v>
      </c>
      <c r="Q91" s="304">
        <f t="shared" ca="1" si="48"/>
        <v>39.250000000006452</v>
      </c>
      <c r="R91" s="306">
        <f t="shared" ca="1" si="49"/>
        <v>2.0831929233364837E-2</v>
      </c>
      <c r="S91" s="307">
        <f t="shared" ca="1" si="50"/>
        <v>2.9379970724515569</v>
      </c>
      <c r="T91" s="304">
        <f t="shared" ca="1" si="30"/>
        <v>28.821751280749776</v>
      </c>
      <c r="U91" s="311">
        <f t="shared" ca="1" si="31"/>
        <v>0</v>
      </c>
      <c r="V91" s="306">
        <f t="shared" ca="1" si="32"/>
        <v>1.1415839590428714</v>
      </c>
      <c r="W91" s="304">
        <f t="shared" ca="1" si="33"/>
        <v>69.409125623843209</v>
      </c>
      <c r="Y91" s="314" t="str">
        <f t="shared" ca="1" si="51"/>
        <v/>
      </c>
      <c r="Z91" s="315" t="str">
        <f t="shared" ca="1" si="52"/>
        <v/>
      </c>
      <c r="AA91" s="316" t="str">
        <f t="shared" ca="1" si="53"/>
        <v/>
      </c>
      <c r="AC91" s="310" t="e">
        <f t="shared" ca="1" si="54"/>
        <v>#N/A</v>
      </c>
      <c r="AD91" s="323" t="e">
        <f t="shared" ca="1" si="55"/>
        <v>#N/A</v>
      </c>
      <c r="AE91" s="324">
        <f t="shared" ca="1" si="34"/>
        <v>704.94892554638022</v>
      </c>
      <c r="AG91" s="306">
        <f t="shared" ca="1" si="56"/>
        <v>-19.78463860832834</v>
      </c>
      <c r="AH91" s="304">
        <f t="shared" ca="1" si="57"/>
        <v>-10.323334573319942</v>
      </c>
    </row>
    <row r="92" spans="1:34" x14ac:dyDescent="0.2">
      <c r="A92" s="347">
        <f t="shared" ca="1" si="35"/>
        <v>0.01</v>
      </c>
      <c r="B92" s="304">
        <f t="shared" ca="1" si="36"/>
        <v>5.4799999999999809</v>
      </c>
      <c r="D92" s="306">
        <f t="shared" ca="1" si="37"/>
        <v>-3.0291968489799603</v>
      </c>
      <c r="E92" s="307">
        <f t="shared" ca="1" si="38"/>
        <v>-20.859525704519513</v>
      </c>
      <c r="F92" s="304">
        <f t="shared" ca="1" si="39"/>
        <v>21.078326455565215</v>
      </c>
      <c r="G92" s="306">
        <f t="shared" ca="1" si="40"/>
        <v>45.608144101240704</v>
      </c>
      <c r="H92" s="307">
        <f t="shared" ca="1" si="41"/>
        <v>166.26558836570879</v>
      </c>
      <c r="I92" s="304">
        <f t="shared" ca="1" si="42"/>
        <v>172.40750761772196</v>
      </c>
      <c r="J92" s="306">
        <f t="shared" ca="1" si="43"/>
        <v>169.03027970398045</v>
      </c>
      <c r="K92" s="307">
        <f t="shared" ca="1" si="44"/>
        <v>706.61262440632254</v>
      </c>
      <c r="L92" s="304">
        <f t="shared" ca="1" si="29"/>
        <v>726.54844052354588</v>
      </c>
      <c r="M92" s="306">
        <f t="shared" ca="1" si="45"/>
        <v>1.3030726642874944</v>
      </c>
      <c r="N92" s="304">
        <f t="shared" ca="1" si="46"/>
        <v>74.660564062541013</v>
      </c>
      <c r="P92" s="310">
        <f t="shared" ca="1" si="47"/>
        <v>8</v>
      </c>
      <c r="Q92" s="304">
        <f t="shared" ca="1" si="48"/>
        <v>35.750000000006523</v>
      </c>
      <c r="R92" s="306">
        <f t="shared" ca="1" si="49"/>
        <v>1.8974304970517362E-2</v>
      </c>
      <c r="S92" s="307">
        <f t="shared" ca="1" si="50"/>
        <v>2.9378073294018519</v>
      </c>
      <c r="T92" s="304">
        <f t="shared" ca="1" si="30"/>
        <v>28.81988990143217</v>
      </c>
      <c r="U92" s="311">
        <f t="shared" ca="1" si="31"/>
        <v>0</v>
      </c>
      <c r="V92" s="306">
        <f t="shared" ca="1" si="32"/>
        <v>1.1413938128752663</v>
      </c>
      <c r="W92" s="304">
        <f t="shared" ca="1" si="33"/>
        <v>69.229472510462159</v>
      </c>
      <c r="Y92" s="314" t="str">
        <f t="shared" ca="1" si="51"/>
        <v/>
      </c>
      <c r="Z92" s="315" t="str">
        <f t="shared" ca="1" si="52"/>
        <v/>
      </c>
      <c r="AA92" s="316" t="str">
        <f t="shared" ca="1" si="53"/>
        <v/>
      </c>
      <c r="AC92" s="310" t="e">
        <f t="shared" ca="1" si="54"/>
        <v>#N/A</v>
      </c>
      <c r="AD92" s="323" t="e">
        <f t="shared" ca="1" si="55"/>
        <v>#N/A</v>
      </c>
      <c r="AE92" s="324">
        <f t="shared" ca="1" si="34"/>
        <v>706.61262440632254</v>
      </c>
      <c r="AG92" s="306">
        <f t="shared" ca="1" si="56"/>
        <v>-20.918141693923328</v>
      </c>
      <c r="AH92" s="304">
        <f t="shared" ca="1" si="57"/>
        <v>-11.457227057395151</v>
      </c>
    </row>
    <row r="93" spans="1:34" x14ac:dyDescent="0.2">
      <c r="A93" s="347">
        <f t="shared" ca="1" si="35"/>
        <v>0.01</v>
      </c>
      <c r="B93" s="304">
        <f t="shared" ca="1" si="36"/>
        <v>5.4899999999999807</v>
      </c>
      <c r="D93" s="306">
        <f t="shared" ca="1" si="37"/>
        <v>-3.2850135327600443</v>
      </c>
      <c r="E93" s="307">
        <f t="shared" ca="1" si="38"/>
        <v>-21.785595994462007</v>
      </c>
      <c r="F93" s="304">
        <f t="shared" ca="1" si="39"/>
        <v>22.031874789593729</v>
      </c>
      <c r="G93" s="306">
        <f t="shared" ca="1" si="40"/>
        <v>45.575293965913104</v>
      </c>
      <c r="H93" s="307">
        <f t="shared" ca="1" si="41"/>
        <v>166.04773240576418</v>
      </c>
      <c r="I93" s="304">
        <f t="shared" ca="1" si="42"/>
        <v>172.1887245355388</v>
      </c>
      <c r="J93" s="306">
        <f t="shared" ca="1" si="43"/>
        <v>169.48619689431624</v>
      </c>
      <c r="K93" s="307">
        <f t="shared" ca="1" si="44"/>
        <v>708.27419101017995</v>
      </c>
      <c r="L93" s="304">
        <f t="shared" ca="1" si="29"/>
        <v>728.27048586965532</v>
      </c>
      <c r="M93" s="306">
        <f t="shared" ca="1" si="45"/>
        <v>1.3029219513527983</v>
      </c>
      <c r="N93" s="304">
        <f t="shared" ca="1" si="46"/>
        <v>74.651928847464902</v>
      </c>
      <c r="P93" s="310">
        <f t="shared" ca="1" si="47"/>
        <v>9</v>
      </c>
      <c r="Q93" s="304">
        <f t="shared" ca="1" si="48"/>
        <v>32.750000000004718</v>
      </c>
      <c r="R93" s="306">
        <f t="shared" ca="1" si="49"/>
        <v>1.738205560236139E-2</v>
      </c>
      <c r="S93" s="307">
        <f t="shared" ca="1" si="50"/>
        <v>2.9376335088458281</v>
      </c>
      <c r="T93" s="304">
        <f t="shared" ca="1" si="30"/>
        <v>28.818184721777573</v>
      </c>
      <c r="U93" s="311">
        <f t="shared" ca="1" si="31"/>
        <v>0</v>
      </c>
      <c r="V93" s="306">
        <f t="shared" ca="1" si="32"/>
        <v>1.1412039408997081</v>
      </c>
      <c r="W93" s="304">
        <f t="shared" ca="1" si="33"/>
        <v>69.042394053310048</v>
      </c>
      <c r="Y93" s="314" t="str">
        <f t="shared" ca="1" si="51"/>
        <v/>
      </c>
      <c r="Z93" s="315" t="str">
        <f t="shared" ca="1" si="52"/>
        <v/>
      </c>
      <c r="AA93" s="316" t="str">
        <f t="shared" ca="1" si="53"/>
        <v/>
      </c>
      <c r="AC93" s="310" t="e">
        <f t="shared" ca="1" si="54"/>
        <v>#N/A</v>
      </c>
      <c r="AD93" s="323" t="e">
        <f t="shared" ca="1" si="55"/>
        <v>#N/A</v>
      </c>
      <c r="AE93" s="324">
        <f t="shared" ca="1" si="34"/>
        <v>708.27419101017995</v>
      </c>
      <c r="AG93" s="306">
        <f t="shared" ca="1" si="56"/>
        <v>-21.878503776396855</v>
      </c>
      <c r="AH93" s="304">
        <f t="shared" ca="1" si="57"/>
        <v>-12.417979438418758</v>
      </c>
    </row>
    <row r="94" spans="1:34" x14ac:dyDescent="0.2">
      <c r="A94" s="347">
        <f t="shared" ca="1" si="35"/>
        <v>0.01</v>
      </c>
      <c r="B94" s="304">
        <f t="shared" ca="1" si="36"/>
        <v>5.4999999999999805</v>
      </c>
      <c r="D94" s="306">
        <f t="shared" ca="1" si="37"/>
        <v>-3.4954047744952907</v>
      </c>
      <c r="E94" s="307">
        <f t="shared" ca="1" si="38"/>
        <v>-22.5450585402548</v>
      </c>
      <c r="F94" s="304">
        <f t="shared" ca="1" si="39"/>
        <v>22.814414722299592</v>
      </c>
      <c r="G94" s="306">
        <f t="shared" ca="1" si="40"/>
        <v>45.540339918168151</v>
      </c>
      <c r="H94" s="307">
        <f t="shared" ca="1" si="41"/>
        <v>165.82228182036164</v>
      </c>
      <c r="I94" s="304">
        <f t="shared" ca="1" si="42"/>
        <v>171.96206473514366</v>
      </c>
      <c r="J94" s="306">
        <f t="shared" ca="1" si="43"/>
        <v>169.94177506373666</v>
      </c>
      <c r="K94" s="307">
        <f t="shared" ca="1" si="44"/>
        <v>709.93354108131052</v>
      </c>
      <c r="L94" s="304">
        <f t="shared" ca="1" si="29"/>
        <v>729.99030107533792</v>
      </c>
      <c r="M94" s="306">
        <f t="shared" ca="1" si="45"/>
        <v>1.3027709568530761</v>
      </c>
      <c r="N94" s="304">
        <f t="shared" ca="1" si="46"/>
        <v>74.643277499901131</v>
      </c>
      <c r="P94" s="310">
        <f t="shared" ca="1" si="47"/>
        <v>9</v>
      </c>
      <c r="Q94" s="304">
        <f t="shared" ca="1" si="48"/>
        <v>30.250000000004775</v>
      </c>
      <c r="R94" s="306">
        <f t="shared" ca="1" si="49"/>
        <v>1.6055181128898911E-2</v>
      </c>
      <c r="S94" s="307">
        <f t="shared" ca="1" si="50"/>
        <v>2.9374729570345393</v>
      </c>
      <c r="T94" s="304">
        <f t="shared" ca="1" si="30"/>
        <v>28.816609708508832</v>
      </c>
      <c r="U94" s="311">
        <f t="shared" ca="1" si="31"/>
        <v>0</v>
      </c>
      <c r="V94" s="306">
        <f t="shared" ca="1" si="32"/>
        <v>1.1410143526197722</v>
      </c>
      <c r="W94" s="304">
        <f t="shared" ca="1" si="33"/>
        <v>68.84930660004504</v>
      </c>
      <c r="Y94" s="314" t="str">
        <f t="shared" ca="1" si="51"/>
        <v/>
      </c>
      <c r="Z94" s="315" t="str">
        <f t="shared" ca="1" si="52"/>
        <v/>
      </c>
      <c r="AA94" s="316" t="str">
        <f t="shared" ca="1" si="53"/>
        <v/>
      </c>
      <c r="AC94" s="310" t="e">
        <f t="shared" ca="1" si="54"/>
        <v>#N/A</v>
      </c>
      <c r="AD94" s="323" t="e">
        <f t="shared" ca="1" si="55"/>
        <v>#N/A</v>
      </c>
      <c r="AE94" s="324">
        <f t="shared" ca="1" si="34"/>
        <v>709.93354108131052</v>
      </c>
      <c r="AG94" s="306">
        <f t="shared" ca="1" si="56"/>
        <v>-22.666176070585085</v>
      </c>
      <c r="AH94" s="304">
        <f t="shared" ca="1" si="57"/>
        <v>-13.206042956210659</v>
      </c>
    </row>
    <row r="95" spans="1:34" x14ac:dyDescent="0.2">
      <c r="A95" s="347">
        <f t="shared" ca="1" si="35"/>
        <v>0.01</v>
      </c>
      <c r="B95" s="304">
        <f t="shared" ca="1" si="36"/>
        <v>5.5099999999999802</v>
      </c>
      <c r="D95" s="306">
        <f t="shared" ca="1" si="37"/>
        <v>-3.7054931128922211</v>
      </c>
      <c r="E95" s="307">
        <f t="shared" ca="1" si="38"/>
        <v>-23.302506299986774</v>
      </c>
      <c r="F95" s="304">
        <f t="shared" ca="1" si="39"/>
        <v>23.595285102549933</v>
      </c>
      <c r="G95" s="306">
        <f t="shared" ca="1" si="40"/>
        <v>45.50328498703923</v>
      </c>
      <c r="H95" s="307">
        <f t="shared" ca="1" si="41"/>
        <v>165.58925675736177</v>
      </c>
      <c r="I95" s="304">
        <f t="shared" ca="1" si="42"/>
        <v>171.72754845413473</v>
      </c>
      <c r="J95" s="306">
        <f t="shared" ca="1" si="43"/>
        <v>170.39699318826268</v>
      </c>
      <c r="K95" s="307">
        <f t="shared" ca="1" si="44"/>
        <v>711.59059877419918</v>
      </c>
      <c r="L95" s="304">
        <f t="shared" ca="1" si="29"/>
        <v>731.70780749656092</v>
      </c>
      <c r="M95" s="306">
        <f t="shared" ca="1" si="45"/>
        <v>1.3026196729725643</v>
      </c>
      <c r="N95" s="304">
        <f t="shared" ca="1" si="46"/>
        <v>74.634609572039452</v>
      </c>
      <c r="P95" s="310">
        <f t="shared" ca="1" si="47"/>
        <v>9</v>
      </c>
      <c r="Q95" s="304">
        <f t="shared" ca="1" si="48"/>
        <v>27.750000000004832</v>
      </c>
      <c r="R95" s="306">
        <f t="shared" ca="1" si="49"/>
        <v>1.4728306655436429E-2</v>
      </c>
      <c r="S95" s="307">
        <f t="shared" ca="1" si="50"/>
        <v>2.9373256739679849</v>
      </c>
      <c r="T95" s="304">
        <f t="shared" ca="1" si="30"/>
        <v>28.815164861625934</v>
      </c>
      <c r="U95" s="311">
        <f t="shared" ca="1" si="31"/>
        <v>0</v>
      </c>
      <c r="V95" s="306">
        <f t="shared" ca="1" si="32"/>
        <v>1.1408250565700166</v>
      </c>
      <c r="W95" s="304">
        <f t="shared" ca="1" si="33"/>
        <v>68.650254678591537</v>
      </c>
      <c r="Y95" s="314" t="str">
        <f t="shared" ca="1" si="51"/>
        <v/>
      </c>
      <c r="Z95" s="315" t="str">
        <f t="shared" ca="1" si="52"/>
        <v/>
      </c>
      <c r="AA95" s="316" t="str">
        <f t="shared" ca="1" si="53"/>
        <v/>
      </c>
      <c r="AC95" s="310" t="e">
        <f t="shared" ca="1" si="54"/>
        <v>#N/A</v>
      </c>
      <c r="AD95" s="323" t="e">
        <f t="shared" ca="1" si="55"/>
        <v>#N/A</v>
      </c>
      <c r="AE95" s="324">
        <f t="shared" ca="1" si="34"/>
        <v>711.59059877419918</v>
      </c>
      <c r="AG95" s="306">
        <f t="shared" ca="1" si="56"/>
        <v>-23.451824615702694</v>
      </c>
      <c r="AH95" s="304">
        <f t="shared" ca="1" si="57"/>
        <v>-13.992083671307659</v>
      </c>
    </row>
    <row r="96" spans="1:34" x14ac:dyDescent="0.2">
      <c r="A96" s="347">
        <f t="shared" ca="1" si="35"/>
        <v>0.01</v>
      </c>
      <c r="B96" s="304">
        <f t="shared" ca="1" si="36"/>
        <v>5.51999999999998</v>
      </c>
      <c r="D96" s="306">
        <f t="shared" ca="1" si="37"/>
        <v>-3.9152795149112425</v>
      </c>
      <c r="E96" s="307">
        <f t="shared" ca="1" si="38"/>
        <v>-24.057943309063088</v>
      </c>
      <c r="F96" s="304">
        <f t="shared" ca="1" si="39"/>
        <v>24.374454864508806</v>
      </c>
      <c r="G96" s="306">
        <f t="shared" ca="1" si="40"/>
        <v>45.464132191890116</v>
      </c>
      <c r="H96" s="307">
        <f t="shared" ca="1" si="41"/>
        <v>165.34867732427114</v>
      </c>
      <c r="I96" s="304">
        <f t="shared" ca="1" si="42"/>
        <v>171.485195888297</v>
      </c>
      <c r="J96" s="306">
        <f t="shared" ca="1" si="43"/>
        <v>170.85183027415732</v>
      </c>
      <c r="K96" s="307">
        <f t="shared" ca="1" si="44"/>
        <v>713.24528844460735</v>
      </c>
      <c r="L96" s="304">
        <f t="shared" ca="1" si="29"/>
        <v>733.4229266913195</v>
      </c>
      <c r="M96" s="306">
        <f t="shared" ca="1" si="45"/>
        <v>1.3024680918372218</v>
      </c>
      <c r="N96" s="304">
        <f t="shared" ca="1" si="46"/>
        <v>74.625924612730515</v>
      </c>
      <c r="P96" s="310">
        <f t="shared" ca="1" si="47"/>
        <v>9</v>
      </c>
      <c r="Q96" s="304">
        <f t="shared" ca="1" si="48"/>
        <v>25.250000000004885</v>
      </c>
      <c r="R96" s="306">
        <f t="shared" ca="1" si="49"/>
        <v>1.3401432181973948E-2</v>
      </c>
      <c r="S96" s="307">
        <f t="shared" ca="1" si="50"/>
        <v>2.9371916596461651</v>
      </c>
      <c r="T96" s="304">
        <f t="shared" ca="1" si="30"/>
        <v>28.813850181128881</v>
      </c>
      <c r="U96" s="311">
        <f t="shared" ca="1" si="31"/>
        <v>0</v>
      </c>
      <c r="V96" s="306">
        <f t="shared" ca="1" si="32"/>
        <v>1.1406360612567001</v>
      </c>
      <c r="W96" s="304">
        <f t="shared" ca="1" si="33"/>
        <v>68.44528351476788</v>
      </c>
      <c r="Y96" s="314" t="str">
        <f t="shared" ca="1" si="51"/>
        <v/>
      </c>
      <c r="Z96" s="315" t="str">
        <f t="shared" ca="1" si="52"/>
        <v/>
      </c>
      <c r="AA96" s="316" t="str">
        <f t="shared" ca="1" si="53"/>
        <v/>
      </c>
      <c r="AC96" s="310" t="e">
        <f t="shared" ca="1" si="54"/>
        <v>#N/A</v>
      </c>
      <c r="AD96" s="323" t="e">
        <f t="shared" ca="1" si="55"/>
        <v>#N/A</v>
      </c>
      <c r="AE96" s="324">
        <f t="shared" ca="1" si="34"/>
        <v>713.24528844460735</v>
      </c>
      <c r="AG96" s="306">
        <f t="shared" ca="1" si="56"/>
        <v>-24.235453593172267</v>
      </c>
      <c r="AH96" s="304">
        <f t="shared" ca="1" si="57"/>
        <v>-14.776105786646196</v>
      </c>
    </row>
    <row r="97" spans="1:34" x14ac:dyDescent="0.2">
      <c r="A97" s="347">
        <f t="shared" ca="1" si="35"/>
        <v>0.01</v>
      </c>
      <c r="B97" s="304">
        <f t="shared" ca="1" si="36"/>
        <v>5.5299999999999798</v>
      </c>
      <c r="D97" s="306">
        <f t="shared" ca="1" si="37"/>
        <v>-4.1134826333315102</v>
      </c>
      <c r="E97" s="307">
        <f t="shared" ca="1" si="38"/>
        <v>-24.770340818713606</v>
      </c>
      <c r="F97" s="304">
        <f t="shared" ca="1" si="39"/>
        <v>25.109570359724387</v>
      </c>
      <c r="G97" s="306">
        <f t="shared" ca="1" si="40"/>
        <v>45.422997365556803</v>
      </c>
      <c r="H97" s="307">
        <f t="shared" ca="1" si="41"/>
        <v>165.100973916084</v>
      </c>
      <c r="I97" s="304">
        <f t="shared" ca="1" si="42"/>
        <v>171.23545274770302</v>
      </c>
      <c r="J97" s="306">
        <f t="shared" ca="1" si="43"/>
        <v>171.30626592194454</v>
      </c>
      <c r="K97" s="307">
        <f t="shared" ca="1" si="44"/>
        <v>714.89753670080916</v>
      </c>
      <c r="L97" s="304">
        <f t="shared" ca="1" si="29"/>
        <v>735.1355825458354</v>
      </c>
      <c r="M97" s="306">
        <f t="shared" ca="1" si="45"/>
        <v>1.3023162058897826</v>
      </c>
      <c r="N97" s="304">
        <f t="shared" ca="1" si="46"/>
        <v>74.617222188974907</v>
      </c>
      <c r="P97" s="310">
        <f t="shared" ca="1" si="47"/>
        <v>10</v>
      </c>
      <c r="Q97" s="304">
        <f t="shared" ca="1" si="48"/>
        <v>22.875000000004444</v>
      </c>
      <c r="R97" s="306">
        <f t="shared" ca="1" si="49"/>
        <v>1.2140901432184329E-2</v>
      </c>
      <c r="S97" s="307">
        <f t="shared" ca="1" si="50"/>
        <v>2.9370702506318431</v>
      </c>
      <c r="T97" s="304">
        <f t="shared" ca="1" si="30"/>
        <v>28.812659158698384</v>
      </c>
      <c r="U97" s="311">
        <f t="shared" ca="1" si="31"/>
        <v>0</v>
      </c>
      <c r="V97" s="306">
        <f t="shared" ca="1" si="32"/>
        <v>1.1404473749235866</v>
      </c>
      <c r="W97" s="304">
        <f t="shared" ca="1" si="33"/>
        <v>68.234778165312093</v>
      </c>
      <c r="Y97" s="314" t="str">
        <f t="shared" ca="1" si="51"/>
        <v/>
      </c>
      <c r="Z97" s="315" t="str">
        <f t="shared" ca="1" si="52"/>
        <v/>
      </c>
      <c r="AA97" s="316" t="str">
        <f t="shared" ca="1" si="53"/>
        <v/>
      </c>
      <c r="AC97" s="310" t="e">
        <f t="shared" ca="1" si="54"/>
        <v>#N/A</v>
      </c>
      <c r="AD97" s="323" t="e">
        <f t="shared" ca="1" si="55"/>
        <v>#N/A</v>
      </c>
      <c r="AE97" s="324">
        <f t="shared" ca="1" si="34"/>
        <v>714.89753670080916</v>
      </c>
      <c r="AG97" s="306">
        <f t="shared" ca="1" si="56"/>
        <v>-24.974511573851856</v>
      </c>
      <c r="AH97" s="304">
        <f t="shared" ca="1" si="57"/>
        <v>-15.515557894796705</v>
      </c>
    </row>
    <row r="98" spans="1:34" x14ac:dyDescent="0.2">
      <c r="A98" s="347">
        <f t="shared" ca="1" si="35"/>
        <v>0.01</v>
      </c>
      <c r="B98" s="304">
        <f t="shared" ca="1" si="36"/>
        <v>5.5399999999999796</v>
      </c>
      <c r="D98" s="306">
        <f t="shared" ca="1" si="37"/>
        <v>-4.3001154227967389</v>
      </c>
      <c r="E98" s="307">
        <f t="shared" ca="1" si="38"/>
        <v>-25.439819374131744</v>
      </c>
      <c r="F98" s="304">
        <f t="shared" ca="1" si="39"/>
        <v>25.800686084633934</v>
      </c>
      <c r="G98" s="306">
        <f t="shared" ca="1" si="40"/>
        <v>45.379996211328837</v>
      </c>
      <c r="H98" s="307">
        <f t="shared" ca="1" si="41"/>
        <v>164.84657572234269</v>
      </c>
      <c r="I98" s="304">
        <f t="shared" ca="1" si="42"/>
        <v>170.97876354542481</v>
      </c>
      <c r="J98" s="306">
        <f t="shared" ca="1" si="43"/>
        <v>171.76028088982898</v>
      </c>
      <c r="K98" s="307">
        <f t="shared" ca="1" si="44"/>
        <v>716.54727444900129</v>
      </c>
      <c r="L98" s="304">
        <f t="shared" ca="1" si="29"/>
        <v>736.84570339498168</v>
      </c>
      <c r="M98" s="306">
        <f t="shared" ca="1" si="45"/>
        <v>1.3021640078918677</v>
      </c>
      <c r="N98" s="304">
        <f t="shared" ca="1" si="46"/>
        <v>74.608501886044039</v>
      </c>
      <c r="P98" s="310">
        <f t="shared" ca="1" si="47"/>
        <v>10</v>
      </c>
      <c r="Q98" s="304">
        <f t="shared" ca="1" si="48"/>
        <v>20.625000000004487</v>
      </c>
      <c r="R98" s="306">
        <f t="shared" ca="1" si="49"/>
        <v>1.0946714406068092E-2</v>
      </c>
      <c r="S98" s="307">
        <f t="shared" ca="1" si="50"/>
        <v>2.9369607834877827</v>
      </c>
      <c r="T98" s="304">
        <f t="shared" ca="1" si="30"/>
        <v>28.811585286015148</v>
      </c>
      <c r="U98" s="311">
        <f t="shared" ca="1" si="31"/>
        <v>0</v>
      </c>
      <c r="V98" s="306">
        <f t="shared" ca="1" si="32"/>
        <v>1.1402590053186485</v>
      </c>
      <c r="W98" s="304">
        <f t="shared" ca="1" si="33"/>
        <v>68.019121159501111</v>
      </c>
      <c r="Y98" s="314" t="str">
        <f t="shared" ca="1" si="51"/>
        <v/>
      </c>
      <c r="Z98" s="315" t="str">
        <f t="shared" ca="1" si="52"/>
        <v/>
      </c>
      <c r="AA98" s="316" t="str">
        <f t="shared" ca="1" si="53"/>
        <v/>
      </c>
      <c r="AC98" s="310" t="e">
        <f t="shared" ca="1" si="54"/>
        <v>#N/A</v>
      </c>
      <c r="AD98" s="323" t="e">
        <f t="shared" ca="1" si="55"/>
        <v>#N/A</v>
      </c>
      <c r="AE98" s="324">
        <f t="shared" ca="1" si="34"/>
        <v>716.54727444900129</v>
      </c>
      <c r="AG98" s="306">
        <f t="shared" ca="1" si="56"/>
        <v>-25.669118257396974</v>
      </c>
      <c r="AH98" s="304">
        <f t="shared" ca="1" si="57"/>
        <v>-16.210559716350279</v>
      </c>
    </row>
    <row r="99" spans="1:34" x14ac:dyDescent="0.2">
      <c r="A99" s="347">
        <f t="shared" ca="1" si="35"/>
        <v>0.01</v>
      </c>
      <c r="B99" s="304">
        <f t="shared" ca="1" si="36"/>
        <v>5.5499999999999794</v>
      </c>
      <c r="D99" s="306">
        <f t="shared" ca="1" si="37"/>
        <v>-4.4864866936390984</v>
      </c>
      <c r="E99" s="307">
        <f t="shared" ca="1" si="38"/>
        <v>-26.10753261825149</v>
      </c>
      <c r="F99" s="304">
        <f t="shared" ca="1" si="39"/>
        <v>26.490221257386022</v>
      </c>
      <c r="G99" s="306">
        <f t="shared" ca="1" si="40"/>
        <v>45.335131344392444</v>
      </c>
      <c r="H99" s="307">
        <f t="shared" ca="1" si="41"/>
        <v>164.58550039616017</v>
      </c>
      <c r="I99" s="304">
        <f t="shared" ca="1" si="42"/>
        <v>170.71514600253767</v>
      </c>
      <c r="J99" s="306">
        <f t="shared" ca="1" si="43"/>
        <v>172.21385652760759</v>
      </c>
      <c r="K99" s="307">
        <f t="shared" ca="1" si="44"/>
        <v>718.19443482959377</v>
      </c>
      <c r="L99" s="304">
        <f t="shared" ca="1" si="29"/>
        <v>738.55321988351727</v>
      </c>
      <c r="M99" s="306">
        <f t="shared" ca="1" si="45"/>
        <v>1.3020114905462012</v>
      </c>
      <c r="N99" s="304">
        <f t="shared" ca="1" si="46"/>
        <v>74.599763285834811</v>
      </c>
      <c r="P99" s="310">
        <f t="shared" ca="1" si="47"/>
        <v>10</v>
      </c>
      <c r="Q99" s="304">
        <f t="shared" ca="1" si="48"/>
        <v>18.37500000000453</v>
      </c>
      <c r="R99" s="306">
        <f t="shared" ca="1" si="49"/>
        <v>9.7525273799518551E-3</v>
      </c>
      <c r="S99" s="307">
        <f t="shared" ca="1" si="50"/>
        <v>2.9368632582139833</v>
      </c>
      <c r="T99" s="304">
        <f t="shared" ca="1" si="30"/>
        <v>28.810628563079177</v>
      </c>
      <c r="U99" s="311">
        <f t="shared" ca="1" si="31"/>
        <v>0</v>
      </c>
      <c r="V99" s="306">
        <f t="shared" ca="1" si="32"/>
        <v>1.1400709599300574</v>
      </c>
      <c r="W99" s="304">
        <f t="shared" ca="1" si="33"/>
        <v>67.798354330108822</v>
      </c>
      <c r="Y99" s="314" t="str">
        <f t="shared" ca="1" si="51"/>
        <v/>
      </c>
      <c r="Z99" s="315" t="str">
        <f t="shared" ca="1" si="52"/>
        <v/>
      </c>
      <c r="AA99" s="316" t="str">
        <f t="shared" ca="1" si="53"/>
        <v/>
      </c>
      <c r="AC99" s="310" t="e">
        <f t="shared" ca="1" si="54"/>
        <v>#N/A</v>
      </c>
      <c r="AD99" s="323" t="e">
        <f t="shared" ca="1" si="55"/>
        <v>#N/A</v>
      </c>
      <c r="AE99" s="324">
        <f t="shared" ca="1" si="34"/>
        <v>718.19443482959377</v>
      </c>
      <c r="AG99" s="306">
        <f t="shared" ca="1" si="56"/>
        <v>-26.36195284357732</v>
      </c>
      <c r="AH99" s="304">
        <f t="shared" ca="1" si="57"/>
        <v>-16.903790471227804</v>
      </c>
    </row>
    <row r="100" spans="1:34" x14ac:dyDescent="0.2">
      <c r="A100" s="347">
        <f t="shared" ca="1" si="35"/>
        <v>0.01</v>
      </c>
      <c r="B100" s="304">
        <f t="shared" ca="1" si="36"/>
        <v>5.5599999999999792</v>
      </c>
      <c r="D100" s="306">
        <f t="shared" ca="1" si="37"/>
        <v>-4.6725978923572296</v>
      </c>
      <c r="E100" s="307">
        <f t="shared" ca="1" si="38"/>
        <v>-26.773485920478791</v>
      </c>
      <c r="F100" s="304">
        <f t="shared" ca="1" si="39"/>
        <v>27.178166225809594</v>
      </c>
      <c r="G100" s="306">
        <f t="shared" ca="1" si="40"/>
        <v>45.288405365468869</v>
      </c>
      <c r="H100" s="307">
        <f t="shared" ca="1" si="41"/>
        <v>164.31776553695539</v>
      </c>
      <c r="I100" s="304">
        <f t="shared" ca="1" si="42"/>
        <v>170.44461778420836</v>
      </c>
      <c r="J100" s="306">
        <f t="shared" ca="1" si="43"/>
        <v>172.66697421115688</v>
      </c>
      <c r="K100" s="307">
        <f t="shared" ca="1" si="44"/>
        <v>719.8389511592593</v>
      </c>
      <c r="L100" s="304">
        <f t="shared" ca="1" si="29"/>
        <v>740.25806283302222</v>
      </c>
      <c r="M100" s="306">
        <f t="shared" ca="1" si="45"/>
        <v>1.3018586464945214</v>
      </c>
      <c r="N100" s="304">
        <f t="shared" ca="1" si="46"/>
        <v>74.59100596674989</v>
      </c>
      <c r="P100" s="310">
        <f t="shared" ca="1" si="47"/>
        <v>10</v>
      </c>
      <c r="Q100" s="304">
        <f t="shared" ca="1" si="48"/>
        <v>16.125000000004576</v>
      </c>
      <c r="R100" s="306">
        <f t="shared" ca="1" si="49"/>
        <v>8.5583403538356199E-3</v>
      </c>
      <c r="S100" s="307">
        <f t="shared" ca="1" si="50"/>
        <v>2.936777674810445</v>
      </c>
      <c r="T100" s="304">
        <f t="shared" ca="1" si="30"/>
        <v>28.809788989890468</v>
      </c>
      <c r="U100" s="311">
        <f t="shared" ca="1" si="31"/>
        <v>0</v>
      </c>
      <c r="V100" s="306">
        <f t="shared" ca="1" si="32"/>
        <v>1.1398832462212982</v>
      </c>
      <c r="W100" s="304">
        <f t="shared" ca="1" si="33"/>
        <v>67.572520008205117</v>
      </c>
      <c r="Y100" s="314" t="str">
        <f t="shared" ca="1" si="51"/>
        <v/>
      </c>
      <c r="Z100" s="315" t="str">
        <f t="shared" ca="1" si="52"/>
        <v/>
      </c>
      <c r="AA100" s="316" t="str">
        <f t="shared" ca="1" si="53"/>
        <v/>
      </c>
      <c r="AC100" s="310" t="e">
        <f t="shared" ca="1" si="54"/>
        <v>#N/A</v>
      </c>
      <c r="AD100" s="323" t="e">
        <f t="shared" ca="1" si="55"/>
        <v>#N/A</v>
      </c>
      <c r="AE100" s="324">
        <f t="shared" ca="1" si="34"/>
        <v>719.8389511592593</v>
      </c>
      <c r="AG100" s="306">
        <f t="shared" ca="1" si="56"/>
        <v>-27.053020923359931</v>
      </c>
      <c r="AH100" s="304">
        <f t="shared" ca="1" si="57"/>
        <v>-17.595255770745233</v>
      </c>
    </row>
    <row r="101" spans="1:34" x14ac:dyDescent="0.2">
      <c r="A101" s="347">
        <f t="shared" ca="1" si="35"/>
        <v>0.01</v>
      </c>
      <c r="B101" s="304">
        <f t="shared" ca="1" si="36"/>
        <v>5.569999999999979</v>
      </c>
      <c r="D101" s="306">
        <f t="shared" ca="1" si="37"/>
        <v>-4.8132158332270016</v>
      </c>
      <c r="E101" s="307">
        <f t="shared" ca="1" si="38"/>
        <v>-27.273561906862639</v>
      </c>
      <c r="F101" s="304">
        <f t="shared" ca="1" si="39"/>
        <v>27.695021677996497</v>
      </c>
      <c r="G101" s="306">
        <f t="shared" ca="1" si="40"/>
        <v>45.240273207136596</v>
      </c>
      <c r="H101" s="307">
        <f t="shared" ca="1" si="41"/>
        <v>164.04502991788678</v>
      </c>
      <c r="I101" s="304">
        <f t="shared" ca="1" si="42"/>
        <v>170.16889892285468</v>
      </c>
      <c r="J101" s="306">
        <f t="shared" ca="1" si="43"/>
        <v>173.11961760401991</v>
      </c>
      <c r="K101" s="307">
        <f t="shared" ca="1" si="44"/>
        <v>721.48076513653348</v>
      </c>
      <c r="L101" s="304">
        <f t="shared" ca="1" si="29"/>
        <v>741.96017174869962</v>
      </c>
      <c r="M101" s="306">
        <f t="shared" ca="1" si="45"/>
        <v>1.3017054698478971</v>
      </c>
      <c r="N101" s="304">
        <f t="shared" ca="1" si="46"/>
        <v>74.582229591378351</v>
      </c>
      <c r="P101" s="310">
        <f t="shared" ca="1" si="47"/>
        <v>11</v>
      </c>
      <c r="Q101" s="304">
        <f t="shared" ca="1" si="48"/>
        <v>14.375000000002567</v>
      </c>
      <c r="R101" s="306">
        <f t="shared" ca="1" si="49"/>
        <v>7.6295282224107972E-3</v>
      </c>
      <c r="S101" s="307">
        <f t="shared" ca="1" si="50"/>
        <v>2.9367013795282211</v>
      </c>
      <c r="T101" s="304">
        <f t="shared" ca="1" si="30"/>
        <v>28.809040533171849</v>
      </c>
      <c r="U101" s="311">
        <f t="shared" ca="1" si="31"/>
        <v>0</v>
      </c>
      <c r="V101" s="306">
        <f t="shared" ca="1" si="32"/>
        <v>1.1396958706947959</v>
      </c>
      <c r="W101" s="304">
        <f t="shared" ca="1" si="33"/>
        <v>67.343008396349646</v>
      </c>
      <c r="Y101" s="314" t="str">
        <f t="shared" ca="1" si="51"/>
        <v/>
      </c>
      <c r="Z101" s="315" t="str">
        <f t="shared" ca="1" si="52"/>
        <v/>
      </c>
      <c r="AA101" s="316" t="str">
        <f t="shared" ca="1" si="53"/>
        <v/>
      </c>
      <c r="AC101" s="310" t="e">
        <f t="shared" ca="1" si="54"/>
        <v>#N/A</v>
      </c>
      <c r="AD101" s="323" t="e">
        <f t="shared" ca="1" si="55"/>
        <v>#N/A</v>
      </c>
      <c r="AE101" s="324">
        <f t="shared" ca="1" si="34"/>
        <v>721.48076513653348</v>
      </c>
      <c r="AG101" s="306">
        <f t="shared" ca="1" si="56"/>
        <v>-27.572085769736631</v>
      </c>
      <c r="AH101" s="304">
        <f t="shared" ca="1" si="57"/>
        <v>-18.114718908447102</v>
      </c>
    </row>
    <row r="102" spans="1:34" x14ac:dyDescent="0.2">
      <c r="A102" s="347">
        <f t="shared" ca="1" si="35"/>
        <v>0.01</v>
      </c>
      <c r="B102" s="304">
        <f t="shared" ca="1" si="36"/>
        <v>5.5799999999999788</v>
      </c>
      <c r="D102" s="306">
        <f t="shared" ca="1" si="37"/>
        <v>-4.9083904832714182</v>
      </c>
      <c r="E102" s="307">
        <f t="shared" ca="1" si="38"/>
        <v>-27.608236097962191</v>
      </c>
      <c r="F102" s="304">
        <f t="shared" ca="1" si="39"/>
        <v>28.041166123702702</v>
      </c>
      <c r="G102" s="306">
        <f t="shared" ca="1" si="40"/>
        <v>45.191189302303883</v>
      </c>
      <c r="H102" s="307">
        <f t="shared" ca="1" si="41"/>
        <v>163.76894755690716</v>
      </c>
      <c r="I102" s="304">
        <f t="shared" ca="1" si="42"/>
        <v>169.88970473355258</v>
      </c>
      <c r="J102" s="306">
        <f t="shared" ca="1" si="43"/>
        <v>173.57177491656711</v>
      </c>
      <c r="K102" s="307">
        <f t="shared" ca="1" si="44"/>
        <v>723.1198350239074</v>
      </c>
      <c r="L102" s="304">
        <f t="shared" ca="1" si="29"/>
        <v>743.65950330288285</v>
      </c>
      <c r="M102" s="306">
        <f t="shared" ca="1" si="45"/>
        <v>1.3015519562049738</v>
      </c>
      <c r="N102" s="304">
        <f t="shared" ca="1" si="46"/>
        <v>74.573433907541158</v>
      </c>
      <c r="P102" s="310">
        <f t="shared" ca="1" si="47"/>
        <v>11</v>
      </c>
      <c r="Q102" s="304">
        <f t="shared" ca="1" si="48"/>
        <v>13.125000000002595</v>
      </c>
      <c r="R102" s="306">
        <f t="shared" ca="1" si="49"/>
        <v>6.9660909856795574E-3</v>
      </c>
      <c r="S102" s="307">
        <f t="shared" ca="1" si="50"/>
        <v>2.9366317186183641</v>
      </c>
      <c r="T102" s="304">
        <f t="shared" ca="1" si="30"/>
        <v>28.808357159646153</v>
      </c>
      <c r="U102" s="311">
        <f t="shared" ca="1" si="31"/>
        <v>0</v>
      </c>
      <c r="V102" s="306">
        <f t="shared" ca="1" si="32"/>
        <v>1.1395088379591218</v>
      </c>
      <c r="W102" s="304">
        <f t="shared" ca="1" si="33"/>
        <v>67.111196584650116</v>
      </c>
      <c r="Y102" s="314" t="str">
        <f t="shared" ca="1" si="51"/>
        <v/>
      </c>
      <c r="Z102" s="315" t="str">
        <f t="shared" ca="1" si="52"/>
        <v/>
      </c>
      <c r="AA102" s="316" t="str">
        <f t="shared" ca="1" si="53"/>
        <v/>
      </c>
      <c r="AC102" s="310" t="e">
        <f t="shared" ca="1" si="54"/>
        <v>#N/A</v>
      </c>
      <c r="AD102" s="323" t="e">
        <f t="shared" ca="1" si="55"/>
        <v>#N/A</v>
      </c>
      <c r="AE102" s="324">
        <f t="shared" ca="1" si="34"/>
        <v>723.1198350239074</v>
      </c>
      <c r="AG102" s="306">
        <f t="shared" ca="1" si="56"/>
        <v>-27.919619114975092</v>
      </c>
      <c r="AH102" s="304">
        <f t="shared" ca="1" si="57"/>
        <v>-18.462651633367127</v>
      </c>
    </row>
    <row r="103" spans="1:34" x14ac:dyDescent="0.2">
      <c r="A103" s="347">
        <f t="shared" ca="1" si="35"/>
        <v>0.01</v>
      </c>
      <c r="B103" s="304">
        <f t="shared" ca="1" si="36"/>
        <v>5.5899999999999785</v>
      </c>
      <c r="D103" s="306">
        <f t="shared" ca="1" si="37"/>
        <v>-5.0034586109489112</v>
      </c>
      <c r="E103" s="307">
        <f t="shared" ca="1" si="38"/>
        <v>-27.942099719222782</v>
      </c>
      <c r="F103" s="304">
        <f t="shared" ca="1" si="39"/>
        <v>28.386537914836826</v>
      </c>
      <c r="G103" s="306">
        <f t="shared" ca="1" si="40"/>
        <v>45.141154716194393</v>
      </c>
      <c r="H103" s="307">
        <f t="shared" ca="1" si="41"/>
        <v>163.48952655971493</v>
      </c>
      <c r="I103" s="304">
        <f t="shared" ca="1" si="42"/>
        <v>169.60704332023224</v>
      </c>
      <c r="J103" s="306">
        <f t="shared" ca="1" si="43"/>
        <v>174.0234366366596</v>
      </c>
      <c r="K103" s="307">
        <f t="shared" ca="1" si="44"/>
        <v>724.75612739449048</v>
      </c>
      <c r="L103" s="304">
        <f t="shared" ca="1" si="29"/>
        <v>745.3560227801828</v>
      </c>
      <c r="M103" s="306">
        <f t="shared" ca="1" si="45"/>
        <v>1.3013981011268685</v>
      </c>
      <c r="N103" s="304">
        <f t="shared" ca="1" si="46"/>
        <v>74.564618660909062</v>
      </c>
      <c r="P103" s="310">
        <f t="shared" ca="1" si="47"/>
        <v>11</v>
      </c>
      <c r="Q103" s="304">
        <f t="shared" ca="1" si="48"/>
        <v>11.875000000002622</v>
      </c>
      <c r="R103" s="306">
        <f t="shared" ca="1" si="49"/>
        <v>6.3026537489483158E-3</v>
      </c>
      <c r="S103" s="307">
        <f t="shared" ca="1" si="50"/>
        <v>2.9365686920808747</v>
      </c>
      <c r="T103" s="304">
        <f t="shared" ca="1" si="30"/>
        <v>28.807738869313383</v>
      </c>
      <c r="U103" s="311">
        <f t="shared" ca="1" si="31"/>
        <v>0</v>
      </c>
      <c r="V103" s="306">
        <f t="shared" ca="1" si="32"/>
        <v>1.1393221516720573</v>
      </c>
      <c r="W103" s="304">
        <f t="shared" ca="1" si="33"/>
        <v>66.877105691902543</v>
      </c>
      <c r="Y103" s="314" t="str">
        <f t="shared" ca="1" si="51"/>
        <v/>
      </c>
      <c r="Z103" s="315" t="str">
        <f t="shared" ca="1" si="52"/>
        <v/>
      </c>
      <c r="AA103" s="316" t="str">
        <f t="shared" ca="1" si="53"/>
        <v/>
      </c>
      <c r="AC103" s="310" t="e">
        <f t="shared" ca="1" si="54"/>
        <v>#N/A</v>
      </c>
      <c r="AD103" s="323" t="e">
        <f t="shared" ca="1" si="55"/>
        <v>#N/A</v>
      </c>
      <c r="AE103" s="324">
        <f t="shared" ca="1" si="34"/>
        <v>724.75612739449048</v>
      </c>
      <c r="AG103" s="306">
        <f t="shared" ca="1" si="56"/>
        <v>-28.266342073714206</v>
      </c>
      <c r="AH103" s="304">
        <f t="shared" ca="1" si="57"/>
        <v>-18.809775073065534</v>
      </c>
    </row>
    <row r="104" spans="1:34" x14ac:dyDescent="0.2">
      <c r="A104" s="347">
        <f t="shared" ca="1" si="35"/>
        <v>0.01</v>
      </c>
      <c r="B104" s="304">
        <f t="shared" ca="1" si="36"/>
        <v>5.5999999999999783</v>
      </c>
      <c r="D104" s="306">
        <f t="shared" ca="1" si="37"/>
        <v>-5.0984215439301899</v>
      </c>
      <c r="E104" s="307">
        <f t="shared" ca="1" si="38"/>
        <v>-28.275157341665562</v>
      </c>
      <c r="F104" s="304">
        <f t="shared" ca="1" si="39"/>
        <v>28.731140334757956</v>
      </c>
      <c r="G104" s="306">
        <f t="shared" ca="1" si="40"/>
        <v>45.090170500755093</v>
      </c>
      <c r="H104" s="307">
        <f t="shared" ca="1" si="41"/>
        <v>163.20677498629829</v>
      </c>
      <c r="I104" s="304">
        <f t="shared" ca="1" si="42"/>
        <v>169.32092273908552</v>
      </c>
      <c r="J104" s="306">
        <f t="shared" ca="1" si="43"/>
        <v>174.47459326274435</v>
      </c>
      <c r="K104" s="307">
        <f t="shared" ca="1" si="44"/>
        <v>726.38960890222052</v>
      </c>
      <c r="L104" s="304">
        <f t="shared" ca="1" si="29"/>
        <v>747.0496955459663</v>
      </c>
      <c r="M104" s="306">
        <f t="shared" ca="1" si="45"/>
        <v>1.3012439001363763</v>
      </c>
      <c r="N104" s="304">
        <f t="shared" ca="1" si="46"/>
        <v>74.55578359495712</v>
      </c>
      <c r="P104" s="310">
        <f t="shared" ca="1" si="47"/>
        <v>11</v>
      </c>
      <c r="Q104" s="304">
        <f t="shared" ca="1" si="48"/>
        <v>10.62500000000265</v>
      </c>
      <c r="R104" s="306">
        <f t="shared" ca="1" si="49"/>
        <v>5.6392165122170759E-3</v>
      </c>
      <c r="S104" s="307">
        <f t="shared" ca="1" si="50"/>
        <v>2.9365122999157527</v>
      </c>
      <c r="T104" s="304">
        <f t="shared" ca="1" si="30"/>
        <v>28.807185662173534</v>
      </c>
      <c r="U104" s="311">
        <f t="shared" ca="1" si="31"/>
        <v>0</v>
      </c>
      <c r="V104" s="306">
        <f t="shared" ca="1" si="32"/>
        <v>1.1391358154800846</v>
      </c>
      <c r="W104" s="304">
        <f t="shared" ca="1" si="33"/>
        <v>66.640756903742542</v>
      </c>
      <c r="Y104" s="314" t="str">
        <f t="shared" ca="1" si="51"/>
        <v/>
      </c>
      <c r="Z104" s="315" t="str">
        <f t="shared" ca="1" si="52"/>
        <v/>
      </c>
      <c r="AA104" s="316" t="str">
        <f t="shared" ca="1" si="53"/>
        <v/>
      </c>
      <c r="AC104" s="310" t="e">
        <f t="shared" ca="1" si="54"/>
        <v>#N/A</v>
      </c>
      <c r="AD104" s="323" t="e">
        <f t="shared" ca="1" si="55"/>
        <v>#N/A</v>
      </c>
      <c r="AE104" s="324">
        <f t="shared" ca="1" si="34"/>
        <v>726.38960890222052</v>
      </c>
      <c r="AG104" s="306">
        <f t="shared" ca="1" si="56"/>
        <v>-28.612259419856251</v>
      </c>
      <c r="AH104" s="304">
        <f t="shared" ca="1" si="57"/>
        <v>-19.156094014492545</v>
      </c>
    </row>
    <row r="105" spans="1:34" x14ac:dyDescent="0.2">
      <c r="A105" s="347">
        <f t="shared" ca="1" si="35"/>
        <v>0.01</v>
      </c>
      <c r="B105" s="304">
        <f t="shared" ca="1" si="36"/>
        <v>5.6099999999999781</v>
      </c>
      <c r="D105" s="306">
        <f t="shared" ca="1" si="37"/>
        <v>-5.1932806268092504</v>
      </c>
      <c r="E105" s="307">
        <f t="shared" ca="1" si="38"/>
        <v>-28.607413566803118</v>
      </c>
      <c r="F105" s="304">
        <f t="shared" ca="1" si="39"/>
        <v>29.074976778166192</v>
      </c>
      <c r="G105" s="306">
        <f t="shared" ca="1" si="40"/>
        <v>45.038237694487002</v>
      </c>
      <c r="H105" s="307">
        <f t="shared" ca="1" si="41"/>
        <v>162.92070085063025</v>
      </c>
      <c r="I105" s="304">
        <f t="shared" ca="1" si="42"/>
        <v>169.03135099822654</v>
      </c>
      <c r="J105" s="306">
        <f t="shared" ca="1" si="43"/>
        <v>174.92523530372057</v>
      </c>
      <c r="K105" s="307">
        <f t="shared" ca="1" si="44"/>
        <v>728.02024628140521</v>
      </c>
      <c r="L105" s="304">
        <f t="shared" ca="1" si="29"/>
        <v>748.74048704587881</v>
      </c>
      <c r="M105" s="306">
        <f t="shared" ca="1" si="45"/>
        <v>1.3010893487171635</v>
      </c>
      <c r="N105" s="304">
        <f t="shared" ca="1" si="46"/>
        <v>74.546928450918486</v>
      </c>
      <c r="P105" s="310">
        <f t="shared" ca="1" si="47"/>
        <v>12</v>
      </c>
      <c r="Q105" s="304">
        <f t="shared" ca="1" si="48"/>
        <v>9.3750000000026787</v>
      </c>
      <c r="R105" s="306">
        <f t="shared" ca="1" si="49"/>
        <v>4.975779275485836E-3</v>
      </c>
      <c r="S105" s="307">
        <f t="shared" ca="1" si="50"/>
        <v>2.9364625421229977</v>
      </c>
      <c r="T105" s="304">
        <f t="shared" ca="1" si="30"/>
        <v>28.806697538226608</v>
      </c>
      <c r="U105" s="311">
        <f t="shared" ca="1" si="31"/>
        <v>0</v>
      </c>
      <c r="V105" s="306">
        <f t="shared" ca="1" si="32"/>
        <v>1.1389498330184511</v>
      </c>
      <c r="W105" s="304">
        <f t="shared" ca="1" si="33"/>
        <v>66.402171471324024</v>
      </c>
      <c r="Y105" s="314" t="str">
        <f t="shared" ca="1" si="51"/>
        <v/>
      </c>
      <c r="Z105" s="315" t="str">
        <f t="shared" ca="1" si="52"/>
        <v/>
      </c>
      <c r="AA105" s="316" t="str">
        <f t="shared" ca="1" si="53"/>
        <v/>
      </c>
      <c r="AC105" s="310" t="e">
        <f t="shared" ca="1" si="54"/>
        <v>#N/A</v>
      </c>
      <c r="AD105" s="323" t="e">
        <f t="shared" ca="1" si="55"/>
        <v>#N/A</v>
      </c>
      <c r="AE105" s="324">
        <f t="shared" ca="1" si="34"/>
        <v>728.02024628140521</v>
      </c>
      <c r="AG105" s="306">
        <f t="shared" ca="1" si="56"/>
        <v>-28.957375961231381</v>
      </c>
      <c r="AH105" s="304">
        <f t="shared" ca="1" si="57"/>
        <v>-19.501613278655338</v>
      </c>
    </row>
    <row r="106" spans="1:34" x14ac:dyDescent="0.2">
      <c r="A106" s="347">
        <f t="shared" ca="1" si="35"/>
        <v>0.01</v>
      </c>
      <c r="B106" s="304">
        <f t="shared" ca="1" si="36"/>
        <v>5.6199999999999779</v>
      </c>
      <c r="D106" s="306">
        <f t="shared" ca="1" si="37"/>
        <v>-5.288037221039616</v>
      </c>
      <c r="E106" s="307">
        <f t="shared" ca="1" si="38"/>
        <v>-28.938873026074255</v>
      </c>
      <c r="F106" s="304">
        <f t="shared" ca="1" si="39"/>
        <v>29.41805074559408</v>
      </c>
      <c r="G106" s="306">
        <f t="shared" ca="1" si="40"/>
        <v>44.985357322276606</v>
      </c>
      <c r="H106" s="307">
        <f t="shared" ca="1" si="41"/>
        <v>162.6313121203695</v>
      </c>
      <c r="I106" s="304">
        <f t="shared" ca="1" si="42"/>
        <v>168.7383360573582</v>
      </c>
      <c r="J106" s="306">
        <f t="shared" ca="1" si="43"/>
        <v>175.3753532788044</v>
      </c>
      <c r="K106" s="307">
        <f t="shared" ca="1" si="44"/>
        <v>729.64800634626022</v>
      </c>
      <c r="L106" s="304">
        <f t="shared" ca="1" si="29"/>
        <v>750.42836280536301</v>
      </c>
      <c r="M106" s="306">
        <f t="shared" ca="1" si="45"/>
        <v>1.3009344423129472</v>
      </c>
      <c r="N106" s="304">
        <f t="shared" ca="1" si="46"/>
        <v>74.538052967737343</v>
      </c>
      <c r="P106" s="310">
        <f t="shared" ca="1" si="47"/>
        <v>12</v>
      </c>
      <c r="Q106" s="304">
        <f t="shared" ca="1" si="48"/>
        <v>8.1250000000027072</v>
      </c>
      <c r="R106" s="306">
        <f t="shared" ca="1" si="49"/>
        <v>4.3123420387545953E-3</v>
      </c>
      <c r="S106" s="307">
        <f t="shared" ca="1" si="50"/>
        <v>2.9364194187026103</v>
      </c>
      <c r="T106" s="304">
        <f t="shared" ca="1" si="30"/>
        <v>28.806274497472607</v>
      </c>
      <c r="U106" s="311">
        <f t="shared" ca="1" si="31"/>
        <v>0</v>
      </c>
      <c r="V106" s="306">
        <f t="shared" ca="1" si="32"/>
        <v>1.1387642079112459</v>
      </c>
      <c r="W106" s="304">
        <f t="shared" ca="1" si="33"/>
        <v>66.161370710023576</v>
      </c>
      <c r="Y106" s="314" t="str">
        <f t="shared" ca="1" si="51"/>
        <v/>
      </c>
      <c r="Z106" s="315" t="str">
        <f t="shared" ca="1" si="52"/>
        <v/>
      </c>
      <c r="AA106" s="316" t="str">
        <f t="shared" ca="1" si="53"/>
        <v/>
      </c>
      <c r="AC106" s="310" t="e">
        <f t="shared" ca="1" si="54"/>
        <v>#N/A</v>
      </c>
      <c r="AD106" s="323" t="e">
        <f t="shared" ca="1" si="55"/>
        <v>#N/A</v>
      </c>
      <c r="AE106" s="324">
        <f t="shared" ca="1" si="34"/>
        <v>729.64800634626022</v>
      </c>
      <c r="AG106" s="306">
        <f t="shared" ca="1" si="56"/>
        <v>-29.301696539039426</v>
      </c>
      <c r="AH106" s="304">
        <f t="shared" ca="1" si="57"/>
        <v>-19.846337720062397</v>
      </c>
    </row>
    <row r="107" spans="1:34" x14ac:dyDescent="0.2">
      <c r="A107" s="347">
        <f t="shared" ca="1" si="35"/>
        <v>0.01</v>
      </c>
      <c r="B107" s="304">
        <f t="shared" ca="1" si="36"/>
        <v>5.6299999999999777</v>
      </c>
      <c r="D107" s="306">
        <f t="shared" ca="1" si="37"/>
        <v>-5.3826927048741293</v>
      </c>
      <c r="E107" s="307">
        <f t="shared" ca="1" si="38"/>
        <v>-29.269540380285648</v>
      </c>
      <c r="F107" s="304">
        <f t="shared" ca="1" si="39"/>
        <v>29.760365838280233</v>
      </c>
      <c r="G107" s="306">
        <f t="shared" ca="1" si="40"/>
        <v>44.931530395227867</v>
      </c>
      <c r="H107" s="307">
        <f t="shared" ca="1" si="41"/>
        <v>162.33861671656663</v>
      </c>
      <c r="I107" s="304">
        <f t="shared" ca="1" si="42"/>
        <v>168.4418858274438</v>
      </c>
      <c r="J107" s="306">
        <f t="shared" ca="1" si="43"/>
        <v>175.82493771739192</v>
      </c>
      <c r="K107" s="307">
        <f t="shared" ca="1" si="44"/>
        <v>731.2728559904449</v>
      </c>
      <c r="L107" s="304">
        <f t="shared" ca="1" si="29"/>
        <v>752.11328842917453</v>
      </c>
      <c r="M107" s="306">
        <f t="shared" ca="1" si="45"/>
        <v>1.3007791763266585</v>
      </c>
      <c r="N107" s="304">
        <f t="shared" ca="1" si="46"/>
        <v>74.529156882021056</v>
      </c>
      <c r="P107" s="310">
        <f t="shared" ca="1" si="47"/>
        <v>12</v>
      </c>
      <c r="Q107" s="304">
        <f t="shared" ca="1" si="48"/>
        <v>6.8750000000027338</v>
      </c>
      <c r="R107" s="306">
        <f t="shared" ca="1" si="49"/>
        <v>3.6489048020233545E-3</v>
      </c>
      <c r="S107" s="307">
        <f t="shared" ca="1" si="50"/>
        <v>2.9363829296545898</v>
      </c>
      <c r="T107" s="304">
        <f t="shared" ca="1" si="30"/>
        <v>28.805916539911529</v>
      </c>
      <c r="U107" s="311">
        <f t="shared" ca="1" si="31"/>
        <v>0</v>
      </c>
      <c r="V107" s="306">
        <f t="shared" ca="1" si="32"/>
        <v>1.138578943771468</v>
      </c>
      <c r="W107" s="304">
        <f t="shared" ca="1" si="33"/>
        <v>65.918375998168756</v>
      </c>
      <c r="Y107" s="314" t="str">
        <f t="shared" ca="1" si="51"/>
        <v/>
      </c>
      <c r="Z107" s="315" t="str">
        <f t="shared" ca="1" si="52"/>
        <v/>
      </c>
      <c r="AA107" s="316" t="str">
        <f t="shared" ca="1" si="53"/>
        <v/>
      </c>
      <c r="AC107" s="310" t="e">
        <f t="shared" ca="1" si="54"/>
        <v>#N/A</v>
      </c>
      <c r="AD107" s="323" t="e">
        <f t="shared" ca="1" si="55"/>
        <v>#N/A</v>
      </c>
      <c r="AE107" s="324">
        <f t="shared" ca="1" si="34"/>
        <v>731.2728559904449</v>
      </c>
      <c r="AG107" s="306">
        <f t="shared" ca="1" si="56"/>
        <v>-29.64522602729928</v>
      </c>
      <c r="AH107" s="304">
        <f t="shared" ca="1" si="57"/>
        <v>-20.190272226175477</v>
      </c>
    </row>
    <row r="108" spans="1:34" x14ac:dyDescent="0.2">
      <c r="A108" s="347">
        <f t="shared" ca="1" si="35"/>
        <v>0.01</v>
      </c>
      <c r="B108" s="304">
        <f t="shared" ca="1" si="36"/>
        <v>5.6399999999999775</v>
      </c>
      <c r="D108" s="306">
        <f t="shared" ca="1" si="37"/>
        <v>-5.4772484733081219</v>
      </c>
      <c r="E108" s="307">
        <f t="shared" ca="1" si="38"/>
        <v>-29.599420319059611</v>
      </c>
      <c r="F108" s="304">
        <f t="shared" ca="1" si="39"/>
        <v>30.101925753391843</v>
      </c>
      <c r="G108" s="306">
        <f t="shared" ca="1" si="40"/>
        <v>44.876757910494788</v>
      </c>
      <c r="H108" s="307">
        <f t="shared" ca="1" si="41"/>
        <v>162.04262251337605</v>
      </c>
      <c r="I108" s="304">
        <f t="shared" ca="1" si="42"/>
        <v>168.14200817038449</v>
      </c>
      <c r="J108" s="306">
        <f t="shared" ca="1" si="43"/>
        <v>176.27397915892053</v>
      </c>
      <c r="K108" s="307">
        <f t="shared" ca="1" si="44"/>
        <v>732.89476218659456</v>
      </c>
      <c r="L108" s="304">
        <f t="shared" ca="1" si="29"/>
        <v>753.795229600894</v>
      </c>
      <c r="M108" s="306">
        <f t="shared" ca="1" si="45"/>
        <v>1.3006235461195939</v>
      </c>
      <c r="N108" s="304">
        <f t="shared" ca="1" si="46"/>
        <v>74.520239927991511</v>
      </c>
      <c r="P108" s="310">
        <f t="shared" ca="1" si="47"/>
        <v>12</v>
      </c>
      <c r="Q108" s="304">
        <f t="shared" ca="1" si="48"/>
        <v>5.6250000000027613</v>
      </c>
      <c r="R108" s="306">
        <f t="shared" ca="1" si="49"/>
        <v>2.9854675652921138E-3</v>
      </c>
      <c r="S108" s="307">
        <f t="shared" ca="1" si="50"/>
        <v>2.9363530749789368</v>
      </c>
      <c r="T108" s="304">
        <f t="shared" ca="1" si="30"/>
        <v>28.805623665543372</v>
      </c>
      <c r="U108" s="311">
        <f t="shared" ca="1" si="31"/>
        <v>0</v>
      </c>
      <c r="V108" s="306">
        <f t="shared" ca="1" si="32"/>
        <v>1.1383940442011009</v>
      </c>
      <c r="W108" s="304">
        <f t="shared" ca="1" si="33"/>
        <v>65.673208775791792</v>
      </c>
      <c r="Y108" s="314" t="str">
        <f t="shared" ca="1" si="51"/>
        <v/>
      </c>
      <c r="Z108" s="315" t="str">
        <f t="shared" ca="1" si="52"/>
        <v/>
      </c>
      <c r="AA108" s="316" t="str">
        <f t="shared" ca="1" si="53"/>
        <v/>
      </c>
      <c r="AC108" s="310" t="e">
        <f t="shared" ca="1" si="54"/>
        <v>#N/A</v>
      </c>
      <c r="AD108" s="323" t="e">
        <f t="shared" ca="1" si="55"/>
        <v>#N/A</v>
      </c>
      <c r="AE108" s="324">
        <f t="shared" ca="1" si="34"/>
        <v>732.89476218659456</v>
      </c>
      <c r="AG108" s="306">
        <f t="shared" ca="1" si="56"/>
        <v>-29.987969332305159</v>
      </c>
      <c r="AH108" s="304">
        <f t="shared" ca="1" si="57"/>
        <v>-20.533421716868464</v>
      </c>
    </row>
    <row r="109" spans="1:34" x14ac:dyDescent="0.2">
      <c r="A109" s="347">
        <f t="shared" ca="1" si="35"/>
        <v>0.01</v>
      </c>
      <c r="B109" s="304">
        <f t="shared" ca="1" si="36"/>
        <v>5.6499999999999773</v>
      </c>
      <c r="D109" s="306">
        <f t="shared" ca="1" si="37"/>
        <v>-5.5717059380261587</v>
      </c>
      <c r="E109" s="307">
        <f t="shared" ca="1" si="38"/>
        <v>-29.928517560288576</v>
      </c>
      <c r="F109" s="304">
        <f t="shared" ca="1" si="39"/>
        <v>30.44273427956723</v>
      </c>
      <c r="G109" s="306">
        <f t="shared" ca="1" si="40"/>
        <v>44.821040851114525</v>
      </c>
      <c r="H109" s="307">
        <f t="shared" ca="1" si="41"/>
        <v>161.74333733777317</v>
      </c>
      <c r="I109" s="304">
        <f t="shared" ca="1" si="42"/>
        <v>167.83871089870169</v>
      </c>
      <c r="J109" s="306">
        <f t="shared" ca="1" si="43"/>
        <v>176.72246815272857</v>
      </c>
      <c r="K109" s="307">
        <f t="shared" ca="1" si="44"/>
        <v>734.5136919858503</v>
      </c>
      <c r="L109" s="304">
        <f t="shared" ca="1" si="29"/>
        <v>755.47415208243672</v>
      </c>
      <c r="M109" s="306">
        <f t="shared" ca="1" si="45"/>
        <v>1.3004675470105487</v>
      </c>
      <c r="N109" s="304">
        <f t="shared" ca="1" si="46"/>
        <v>74.511301837435411</v>
      </c>
      <c r="P109" s="310">
        <f t="shared" ca="1" si="47"/>
        <v>12</v>
      </c>
      <c r="Q109" s="304">
        <f t="shared" ca="1" si="48"/>
        <v>4.3750000000027898</v>
      </c>
      <c r="R109" s="306">
        <f t="shared" ca="1" si="49"/>
        <v>2.3220303285608739E-3</v>
      </c>
      <c r="S109" s="307">
        <f t="shared" ca="1" si="50"/>
        <v>2.9363298546756513</v>
      </c>
      <c r="T109" s="304">
        <f t="shared" ca="1" si="30"/>
        <v>28.805395874368141</v>
      </c>
      <c r="U109" s="311">
        <f t="shared" ca="1" si="31"/>
        <v>0</v>
      </c>
      <c r="V109" s="306">
        <f t="shared" ca="1" si="32"/>
        <v>1.1382095127911835</v>
      </c>
      <c r="W109" s="304">
        <f t="shared" ca="1" si="33"/>
        <v>65.425890543407277</v>
      </c>
      <c r="Y109" s="314" t="str">
        <f t="shared" ca="1" si="51"/>
        <v/>
      </c>
      <c r="Z109" s="315" t="str">
        <f t="shared" ca="1" si="52"/>
        <v/>
      </c>
      <c r="AA109" s="316" t="str">
        <f t="shared" ca="1" si="53"/>
        <v/>
      </c>
      <c r="AC109" s="310" t="e">
        <f t="shared" ca="1" si="54"/>
        <v>#N/A</v>
      </c>
      <c r="AD109" s="323" t="e">
        <f t="shared" ca="1" si="55"/>
        <v>#N/A</v>
      </c>
      <c r="AE109" s="324">
        <f t="shared" ca="1" si="34"/>
        <v>734.5136919858503</v>
      </c>
      <c r="AG109" s="306">
        <f t="shared" ca="1" si="56"/>
        <v>-30.329931392090337</v>
      </c>
      <c r="AH109" s="304">
        <f t="shared" ca="1" si="57"/>
        <v>-20.875791143893824</v>
      </c>
    </row>
    <row r="110" spans="1:34" x14ac:dyDescent="0.2">
      <c r="A110" s="347">
        <f t="shared" ca="1" si="35"/>
        <v>0.01</v>
      </c>
      <c r="B110" s="304">
        <f t="shared" ca="1" si="36"/>
        <v>5.659999999999977</v>
      </c>
      <c r="D110" s="306">
        <f t="shared" ca="1" si="37"/>
        <v>-5.666066527352303</v>
      </c>
      <c r="E110" s="307">
        <f t="shared" ca="1" si="38"/>
        <v>-30.256836849595821</v>
      </c>
      <c r="F110" s="304">
        <f t="shared" ca="1" si="39"/>
        <v>30.782795292751466</v>
      </c>
      <c r="G110" s="306">
        <f t="shared" ca="1" si="40"/>
        <v>44.764380185840999</v>
      </c>
      <c r="H110" s="307">
        <f t="shared" ca="1" si="41"/>
        <v>161.4407689692772</v>
      </c>
      <c r="I110" s="304">
        <f t="shared" ca="1" si="42"/>
        <v>167.53200177522518</v>
      </c>
      <c r="J110" s="306">
        <f t="shared" ca="1" si="43"/>
        <v>177.17039525791336</v>
      </c>
      <c r="K110" s="307">
        <f t="shared" ca="1" si="44"/>
        <v>736.12961251738557</v>
      </c>
      <c r="L110" s="304">
        <f t="shared" ca="1" si="29"/>
        <v>757.15002171355809</v>
      </c>
      <c r="M110" s="306">
        <f t="shared" ca="1" si="45"/>
        <v>1.3003111742749378</v>
      </c>
      <c r="N110" s="304">
        <f t="shared" ca="1" si="46"/>
        <v>74.502342339654007</v>
      </c>
      <c r="P110" s="310">
        <f t="shared" ca="1" si="47"/>
        <v>12</v>
      </c>
      <c r="Q110" s="304">
        <f t="shared" ca="1" si="48"/>
        <v>3.1250000000028173</v>
      </c>
      <c r="R110" s="306">
        <f t="shared" ca="1" si="49"/>
        <v>1.6585930918296332E-3</v>
      </c>
      <c r="S110" s="307">
        <f t="shared" ca="1" si="50"/>
        <v>2.9363132687447329</v>
      </c>
      <c r="T110" s="304">
        <f t="shared" ca="1" si="30"/>
        <v>28.805233166385833</v>
      </c>
      <c r="U110" s="311">
        <f t="shared" ca="1" si="31"/>
        <v>0</v>
      </c>
      <c r="V110" s="306">
        <f t="shared" ca="1" si="32"/>
        <v>1.1380253531218816</v>
      </c>
      <c r="W110" s="304">
        <f t="shared" ca="1" si="33"/>
        <v>65.176442860814603</v>
      </c>
      <c r="Y110" s="314" t="str">
        <f t="shared" ca="1" si="51"/>
        <v/>
      </c>
      <c r="Z110" s="315" t="str">
        <f t="shared" ca="1" si="52"/>
        <v/>
      </c>
      <c r="AA110" s="316" t="str">
        <f t="shared" ca="1" si="53"/>
        <v/>
      </c>
      <c r="AC110" s="310" t="e">
        <f t="shared" ca="1" si="54"/>
        <v>#N/A</v>
      </c>
      <c r="AD110" s="323" t="e">
        <f t="shared" ca="1" si="55"/>
        <v>#N/A</v>
      </c>
      <c r="AE110" s="324">
        <f t="shared" ca="1" si="34"/>
        <v>736.12961251738557</v>
      </c>
      <c r="AG110" s="306">
        <f t="shared" ca="1" si="56"/>
        <v>-30.671117175897912</v>
      </c>
      <c r="AH110" s="304">
        <f t="shared" ca="1" si="57"/>
        <v>-21.217385490356058</v>
      </c>
    </row>
    <row r="111" spans="1:34" x14ac:dyDescent="0.2">
      <c r="A111" s="347">
        <f t="shared" ca="1" si="35"/>
        <v>0.01</v>
      </c>
      <c r="B111" s="304">
        <f t="shared" ca="1" si="36"/>
        <v>5.6699999999999768</v>
      </c>
      <c r="D111" s="306">
        <f t="shared" ca="1" si="37"/>
        <v>-5.7603316862039673</v>
      </c>
      <c r="E111" s="307">
        <f t="shared" ca="1" si="38"/>
        <v>-30.584382959802618</v>
      </c>
      <c r="F111" s="304">
        <f t="shared" ca="1" si="39"/>
        <v>31.12211275230122</v>
      </c>
      <c r="G111" s="306">
        <f t="shared" ca="1" si="40"/>
        <v>44.706776868978956</v>
      </c>
      <c r="H111" s="307">
        <f t="shared" ca="1" si="41"/>
        <v>161.13492513967918</v>
      </c>
      <c r="I111" s="304">
        <f t="shared" ca="1" si="42"/>
        <v>167.22188851278617</v>
      </c>
      <c r="J111" s="306">
        <f t="shared" ca="1" si="43"/>
        <v>177.61775104318747</v>
      </c>
      <c r="K111" s="307">
        <f t="shared" ca="1" si="44"/>
        <v>737.7424909879303</v>
      </c>
      <c r="L111" s="304">
        <f t="shared" ca="1" si="29"/>
        <v>758.82280441135674</v>
      </c>
      <c r="M111" s="306">
        <f t="shared" ca="1" si="45"/>
        <v>1.300154423143898</v>
      </c>
      <c r="N111" s="304">
        <f t="shared" ca="1" si="46"/>
        <v>74.493361161411514</v>
      </c>
      <c r="P111" s="310">
        <f t="shared" ca="1" si="47"/>
        <v>12</v>
      </c>
      <c r="Q111" s="304">
        <f t="shared" ca="1" si="48"/>
        <v>1.8750000000028457</v>
      </c>
      <c r="R111" s="306">
        <f t="shared" ca="1" si="49"/>
        <v>9.9515585509839309E-4</v>
      </c>
      <c r="S111" s="307">
        <f t="shared" ca="1" si="50"/>
        <v>2.9363033171861819</v>
      </c>
      <c r="T111" s="304">
        <f t="shared" ca="1" si="30"/>
        <v>28.805135541596446</v>
      </c>
      <c r="U111" s="311">
        <f t="shared" ca="1" si="31"/>
        <v>0</v>
      </c>
      <c r="V111" s="306">
        <f t="shared" ca="1" si="32"/>
        <v>1.137841568762564</v>
      </c>
      <c r="W111" s="304">
        <f t="shared" ca="1" si="33"/>
        <v>64.924887345924901</v>
      </c>
      <c r="Y111" s="314" t="str">
        <f t="shared" ca="1" si="51"/>
        <v/>
      </c>
      <c r="Z111" s="315" t="str">
        <f t="shared" ca="1" si="52"/>
        <v/>
      </c>
      <c r="AA111" s="316" t="str">
        <f t="shared" ca="1" si="53"/>
        <v/>
      </c>
      <c r="AC111" s="310" t="e">
        <f t="shared" ca="1" si="54"/>
        <v>#N/A</v>
      </c>
      <c r="AD111" s="323" t="e">
        <f t="shared" ca="1" si="55"/>
        <v>#N/A</v>
      </c>
      <c r="AE111" s="324">
        <f t="shared" ca="1" si="34"/>
        <v>737.7424909879303</v>
      </c>
      <c r="AG111" s="306">
        <f t="shared" ca="1" si="56"/>
        <v>-31.011531683658774</v>
      </c>
      <c r="AH111" s="304">
        <f t="shared" ca="1" si="57"/>
        <v>-21.558209770192487</v>
      </c>
    </row>
    <row r="112" spans="1:34" x14ac:dyDescent="0.2">
      <c r="A112" s="347">
        <f t="shared" ca="1" si="35"/>
        <v>0.01</v>
      </c>
      <c r="B112" s="304">
        <f t="shared" ca="1" si="36"/>
        <v>5.6799999999999766</v>
      </c>
      <c r="D112" s="306">
        <f t="shared" ca="1" si="37"/>
        <v>-5.8545028760494633</v>
      </c>
      <c r="E112" s="307">
        <f t="shared" ca="1" si="38"/>
        <v>-30.911160690401879</v>
      </c>
      <c r="F112" s="304">
        <f t="shared" ca="1" si="39"/>
        <v>31.460690697337174</v>
      </c>
      <c r="G112" s="306">
        <f t="shared" ca="1" si="40"/>
        <v>44.648231840218465</v>
      </c>
      <c r="H112" s="307">
        <f t="shared" ca="1" si="41"/>
        <v>160.82581353277516</v>
      </c>
      <c r="I112" s="304">
        <f t="shared" ca="1" si="42"/>
        <v>166.90837877391556</v>
      </c>
      <c r="J112" s="306">
        <f t="shared" ca="1" si="43"/>
        <v>178.06452608673345</v>
      </c>
      <c r="K112" s="307">
        <f t="shared" ca="1" si="44"/>
        <v>739.35229468129262</v>
      </c>
      <c r="L112" s="304">
        <f t="shared" ca="1" si="29"/>
        <v>760.49246616977462</v>
      </c>
      <c r="M112" s="306">
        <f t="shared" ca="1" si="45"/>
        <v>1.2999972888033742</v>
      </c>
      <c r="N112" s="304">
        <f t="shared" ca="1" si="46"/>
        <v>74.48435802688293</v>
      </c>
      <c r="P112" s="310">
        <f t="shared" ca="1" si="47"/>
        <v>12</v>
      </c>
      <c r="Q112" s="304">
        <f t="shared" ca="1" si="48"/>
        <v>0.62500000000287237</v>
      </c>
      <c r="R112" s="306">
        <f t="shared" ca="1" si="49"/>
        <v>3.3171861836715213E-4</v>
      </c>
      <c r="S112" s="307">
        <f t="shared" ca="1" si="50"/>
        <v>2.9362999999999984</v>
      </c>
      <c r="T112" s="304">
        <f t="shared" ca="1" si="30"/>
        <v>28.805102999999985</v>
      </c>
      <c r="U112" s="311">
        <f t="shared" ca="1" si="31"/>
        <v>0</v>
      </c>
      <c r="V112" s="306">
        <f t="shared" ca="1" si="32"/>
        <v>1.1376581632718727</v>
      </c>
      <c r="W112" s="304">
        <f t="shared" ca="1" si="33"/>
        <v>64.67124567361185</v>
      </c>
      <c r="Y112" s="314" t="str">
        <f t="shared" ca="1" si="51"/>
        <v/>
      </c>
      <c r="Z112" s="315" t="str">
        <f t="shared" ca="1" si="52"/>
        <v/>
      </c>
      <c r="AA112" s="316" t="str">
        <f t="shared" ca="1" si="53"/>
        <v/>
      </c>
      <c r="AC112" s="310" t="e">
        <f t="shared" ca="1" si="54"/>
        <v>#N/A</v>
      </c>
      <c r="AD112" s="323" t="e">
        <f t="shared" ca="1" si="55"/>
        <v>#N/A</v>
      </c>
      <c r="AE112" s="324">
        <f t="shared" ca="1" si="34"/>
        <v>739.35229468129262</v>
      </c>
      <c r="AG112" s="306">
        <f t="shared" ca="1" si="56"/>
        <v>-31.351179945476925</v>
      </c>
      <c r="AH112" s="304">
        <f t="shared" ca="1" si="57"/>
        <v>-21.898269027661364</v>
      </c>
    </row>
    <row r="113" spans="1:34" x14ac:dyDescent="0.2">
      <c r="A113" s="347">
        <f t="shared" ca="1" si="35"/>
        <v>0.01</v>
      </c>
      <c r="B113" s="304">
        <f t="shared" ca="1" si="36"/>
        <v>5.6899999999999764</v>
      </c>
      <c r="D113" s="306">
        <f t="shared" ca="1" si="37"/>
        <v>-5.8916498348958539</v>
      </c>
      <c r="E113" s="307">
        <f t="shared" ca="1" si="38"/>
        <v>-31.032103064198978</v>
      </c>
      <c r="F113" s="304">
        <f t="shared" ca="1" si="39"/>
        <v>31.586436303642991</v>
      </c>
      <c r="G113" s="306">
        <f t="shared" ca="1" si="40"/>
        <v>44.589315341869508</v>
      </c>
      <c r="H113" s="307">
        <f t="shared" ca="1" si="41"/>
        <v>160.51549250213316</v>
      </c>
      <c r="I113" s="304">
        <f t="shared" ca="1" si="42"/>
        <v>166.59360844840069</v>
      </c>
      <c r="J113" s="306">
        <f t="shared" ca="1" si="43"/>
        <v>178.51071382264388</v>
      </c>
      <c r="K113" s="307">
        <f t="shared" ca="1" si="44"/>
        <v>740.95900121146713</v>
      </c>
      <c r="L113" s="304">
        <f t="shared" ca="1" si="29"/>
        <v>762.15898369419278</v>
      </c>
      <c r="M113" s="306">
        <f t="shared" ca="1" si="45"/>
        <v>1.2998397684055814</v>
      </c>
      <c r="N113" s="304">
        <f t="shared" ca="1" si="46"/>
        <v>74.475332772902178</v>
      </c>
      <c r="P113" s="310">
        <f t="shared" ca="1" si="47"/>
        <v>13</v>
      </c>
      <c r="Q113" s="304">
        <f t="shared" ca="1" si="48"/>
        <v>0</v>
      </c>
      <c r="R113" s="306">
        <f t="shared" ca="1" si="49"/>
        <v>0</v>
      </c>
      <c r="S113" s="307">
        <f t="shared" ca="1" si="50"/>
        <v>2.9362999999999984</v>
      </c>
      <c r="T113" s="304">
        <f t="shared" ca="1" si="30"/>
        <v>28.805102999999985</v>
      </c>
      <c r="U113" s="311">
        <f t="shared" ca="1" si="31"/>
        <v>0</v>
      </c>
      <c r="V113" s="306">
        <f t="shared" ca="1" si="32"/>
        <v>1.137475139029875</v>
      </c>
      <c r="W113" s="304">
        <f t="shared" ca="1" si="33"/>
        <v>64.417185391438636</v>
      </c>
      <c r="Y113" s="314" t="str">
        <f t="shared" ca="1" si="51"/>
        <v>Fin de propulsion</v>
      </c>
      <c r="Z113" s="315" t="str">
        <f t="shared" ca="1" si="52"/>
        <v/>
      </c>
      <c r="AA113" s="316" t="str">
        <f t="shared" ca="1" si="53"/>
        <v/>
      </c>
      <c r="AC113" s="310" t="e">
        <f t="shared" ca="1" si="54"/>
        <v>#N/A</v>
      </c>
      <c r="AD113" s="323" t="e">
        <f t="shared" ca="1" si="55"/>
        <v>#N/A</v>
      </c>
      <c r="AE113" s="324">
        <f t="shared" ca="1" si="34"/>
        <v>740.95900121146713</v>
      </c>
      <c r="AG113" s="306">
        <f t="shared" ca="1" si="56"/>
        <v>-31.477239233142718</v>
      </c>
      <c r="AH113" s="304">
        <f t="shared" ca="1" si="57"/>
        <v>-22.024740548858048</v>
      </c>
    </row>
    <row r="114" spans="1:34" x14ac:dyDescent="0.2">
      <c r="A114" s="347">
        <f t="shared" ca="1" si="35"/>
        <v>0.01</v>
      </c>
      <c r="B114" s="304">
        <f t="shared" ca="1" si="36"/>
        <v>5.6999999999999762</v>
      </c>
      <c r="D114" s="306">
        <f t="shared" ca="1" si="37"/>
        <v>-5.8718342615733157</v>
      </c>
      <c r="E114" s="307">
        <f t="shared" ca="1" si="38"/>
        <v>-30.947807592715165</v>
      </c>
      <c r="F114" s="304">
        <f t="shared" ca="1" si="39"/>
        <v>31.499924323577424</v>
      </c>
      <c r="G114" s="306">
        <f t="shared" ca="1" si="40"/>
        <v>44.530596999253774</v>
      </c>
      <c r="H114" s="307">
        <f t="shared" ca="1" si="41"/>
        <v>160.206014426206</v>
      </c>
      <c r="I114" s="304">
        <f t="shared" ca="1" si="42"/>
        <v>166.27970750347041</v>
      </c>
      <c r="J114" s="306">
        <f t="shared" ca="1" si="43"/>
        <v>178.9563133843495</v>
      </c>
      <c r="K114" s="307">
        <f t="shared" ca="1" si="44"/>
        <v>742.56260874610882</v>
      </c>
      <c r="L114" s="304">
        <f t="shared" ca="1" si="29"/>
        <v>763.82235500667571</v>
      </c>
      <c r="M114" s="306">
        <f t="shared" ca="1" si="45"/>
        <v>1.2996818610989398</v>
      </c>
      <c r="N114" s="304">
        <f t="shared" ca="1" si="46"/>
        <v>74.466285350677339</v>
      </c>
      <c r="P114" s="310">
        <f t="shared" ca="1" si="47"/>
        <v>13</v>
      </c>
      <c r="Q114" s="304">
        <f t="shared" ca="1" si="48"/>
        <v>0</v>
      </c>
      <c r="R114" s="306">
        <f t="shared" ca="1" si="49"/>
        <v>0</v>
      </c>
      <c r="S114" s="307">
        <f t="shared" ca="1" si="50"/>
        <v>2.9362999999999984</v>
      </c>
      <c r="T114" s="304">
        <f t="shared" ca="1" si="30"/>
        <v>28.805102999999985</v>
      </c>
      <c r="U114" s="311">
        <f t="shared" ca="1" si="31"/>
        <v>0</v>
      </c>
      <c r="V114" s="306">
        <f t="shared" ca="1" si="32"/>
        <v>1.1372924960746718</v>
      </c>
      <c r="W114" s="304">
        <f t="shared" ca="1" si="33"/>
        <v>64.164355853653532</v>
      </c>
      <c r="Y114" s="314" t="str">
        <f t="shared" ca="1" si="51"/>
        <v/>
      </c>
      <c r="Z114" s="315" t="str">
        <f t="shared" ca="1" si="52"/>
        <v/>
      </c>
      <c r="AA114" s="316" t="str">
        <f t="shared" ca="1" si="53"/>
        <v/>
      </c>
      <c r="AC114" s="310" t="e">
        <f t="shared" ca="1" si="54"/>
        <v>#N/A</v>
      </c>
      <c r="AD114" s="323" t="e">
        <f t="shared" ca="1" si="55"/>
        <v>#N/A</v>
      </c>
      <c r="AE114" s="324">
        <f t="shared" ca="1" si="34"/>
        <v>742.56260874610882</v>
      </c>
      <c r="AG114" s="306">
        <f t="shared" ca="1" si="56"/>
        <v>-31.390301799904496</v>
      </c>
      <c r="AH114" s="304">
        <f t="shared" ca="1" si="57"/>
        <v>-21.938216596205656</v>
      </c>
    </row>
    <row r="115" spans="1:34" x14ac:dyDescent="0.2">
      <c r="A115" s="347">
        <f t="shared" ca="1" si="35"/>
        <v>0.01</v>
      </c>
      <c r="B115" s="304">
        <f t="shared" ca="1" si="36"/>
        <v>5.709999999999976</v>
      </c>
      <c r="D115" s="306">
        <f t="shared" ca="1" si="37"/>
        <v>-5.8521126743847898</v>
      </c>
      <c r="E115" s="307">
        <f t="shared" ca="1" si="38"/>
        <v>-30.863920466235463</v>
      </c>
      <c r="F115" s="304">
        <f t="shared" ca="1" si="39"/>
        <v>31.41383149664815</v>
      </c>
      <c r="G115" s="306">
        <f t="shared" ca="1" si="40"/>
        <v>44.472075872509926</v>
      </c>
      <c r="H115" s="307">
        <f t="shared" ca="1" si="41"/>
        <v>159.89737522154365</v>
      </c>
      <c r="I115" s="304">
        <f t="shared" ca="1" si="42"/>
        <v>165.96667176017419</v>
      </c>
      <c r="J115" s="306">
        <f t="shared" ca="1" si="43"/>
        <v>179.40132674870833</v>
      </c>
      <c r="K115" s="307">
        <f t="shared" ca="1" si="44"/>
        <v>744.16312569434751</v>
      </c>
      <c r="L115" s="304">
        <f t="shared" ca="1" si="29"/>
        <v>765.48258875194415</v>
      </c>
      <c r="M115" s="306">
        <f t="shared" ca="1" si="45"/>
        <v>1.2995235660286781</v>
      </c>
      <c r="N115" s="304">
        <f t="shared" ca="1" si="46"/>
        <v>74.457215711233616</v>
      </c>
      <c r="P115" s="310">
        <f t="shared" ca="1" si="47"/>
        <v>13</v>
      </c>
      <c r="Q115" s="304">
        <f t="shared" ca="1" si="48"/>
        <v>0</v>
      </c>
      <c r="R115" s="306">
        <f t="shared" ca="1" si="49"/>
        <v>0</v>
      </c>
      <c r="S115" s="307">
        <f t="shared" ca="1" si="50"/>
        <v>2.9362999999999984</v>
      </c>
      <c r="T115" s="304">
        <f t="shared" ca="1" si="30"/>
        <v>28.805102999999985</v>
      </c>
      <c r="U115" s="311">
        <f t="shared" ca="1" si="31"/>
        <v>0</v>
      </c>
      <c r="V115" s="306">
        <f t="shared" ca="1" si="32"/>
        <v>1.1371102332784455</v>
      </c>
      <c r="W115" s="304">
        <f t="shared" ca="1" si="33"/>
        <v>63.912749190326551</v>
      </c>
      <c r="Y115" s="314" t="str">
        <f t="shared" ca="1" si="51"/>
        <v/>
      </c>
      <c r="Z115" s="315" t="str">
        <f t="shared" ca="1" si="52"/>
        <v/>
      </c>
      <c r="AA115" s="316" t="str">
        <f t="shared" ca="1" si="53"/>
        <v/>
      </c>
      <c r="AC115" s="310" t="e">
        <f t="shared" ca="1" si="54"/>
        <v>#N/A</v>
      </c>
      <c r="AD115" s="323" t="e">
        <f t="shared" ca="1" si="55"/>
        <v>#N/A</v>
      </c>
      <c r="AE115" s="324">
        <f t="shared" ca="1" si="34"/>
        <v>744.16312569434751</v>
      </c>
      <c r="AG115" s="306">
        <f t="shared" ca="1" si="56"/>
        <v>-31.303782263699318</v>
      </c>
      <c r="AH115" s="304">
        <f t="shared" ca="1" si="57"/>
        <v>-21.852111791592673</v>
      </c>
    </row>
    <row r="116" spans="1:34" x14ac:dyDescent="0.2">
      <c r="A116" s="347">
        <f t="shared" ca="1" si="35"/>
        <v>0.01</v>
      </c>
      <c r="B116" s="304">
        <f t="shared" ca="1" si="36"/>
        <v>5.7199999999999758</v>
      </c>
      <c r="D116" s="306">
        <f t="shared" ca="1" si="37"/>
        <v>-5.8324844686515469</v>
      </c>
      <c r="E116" s="307">
        <f t="shared" ca="1" si="38"/>
        <v>-30.780439073528399</v>
      </c>
      <c r="F116" s="304">
        <f t="shared" ca="1" si="39"/>
        <v>31.328155142559151</v>
      </c>
      <c r="G116" s="306">
        <f t="shared" ca="1" si="40"/>
        <v>44.413751027823409</v>
      </c>
      <c r="H116" s="307">
        <f t="shared" ca="1" si="41"/>
        <v>159.58957083080838</v>
      </c>
      <c r="I116" s="304">
        <f t="shared" ca="1" si="42"/>
        <v>165.65449706640351</v>
      </c>
      <c r="J116" s="306">
        <f t="shared" ca="1" si="43"/>
        <v>179.84575588320999</v>
      </c>
      <c r="K116" s="307">
        <f t="shared" ca="1" si="44"/>
        <v>745.76056042460925</v>
      </c>
      <c r="L116" s="304">
        <f t="shared" ca="1" si="29"/>
        <v>767.13969353308164</v>
      </c>
      <c r="M116" s="306">
        <f t="shared" ca="1" si="45"/>
        <v>1.2993648823368216</v>
      </c>
      <c r="N116" s="304">
        <f t="shared" ca="1" si="46"/>
        <v>74.448123805412678</v>
      </c>
      <c r="P116" s="310">
        <f t="shared" ca="1" si="47"/>
        <v>13</v>
      </c>
      <c r="Q116" s="304">
        <f t="shared" ca="1" si="48"/>
        <v>0</v>
      </c>
      <c r="R116" s="306">
        <f t="shared" ca="1" si="49"/>
        <v>0</v>
      </c>
      <c r="S116" s="307">
        <f t="shared" ca="1" si="50"/>
        <v>2.9362999999999984</v>
      </c>
      <c r="T116" s="304">
        <f t="shared" ca="1" si="30"/>
        <v>28.805102999999985</v>
      </c>
      <c r="U116" s="311">
        <f t="shared" ca="1" si="31"/>
        <v>0</v>
      </c>
      <c r="V116" s="306">
        <f t="shared" ca="1" si="32"/>
        <v>1.1369283495189972</v>
      </c>
      <c r="W116" s="304">
        <f t="shared" ca="1" si="33"/>
        <v>63.662357594923613</v>
      </c>
      <c r="Y116" s="314" t="str">
        <f t="shared" ca="1" si="51"/>
        <v/>
      </c>
      <c r="Z116" s="315" t="str">
        <f t="shared" ca="1" si="52"/>
        <v/>
      </c>
      <c r="AA116" s="316" t="str">
        <f t="shared" ca="1" si="53"/>
        <v/>
      </c>
      <c r="AC116" s="310" t="e">
        <f t="shared" ca="1" si="54"/>
        <v>#N/A</v>
      </c>
      <c r="AD116" s="323" t="e">
        <f t="shared" ca="1" si="55"/>
        <v>#N/A</v>
      </c>
      <c r="AE116" s="324">
        <f t="shared" ca="1" si="34"/>
        <v>745.76056042460925</v>
      </c>
      <c r="AG116" s="306">
        <f t="shared" ca="1" si="56"/>
        <v>-31.217677940338206</v>
      </c>
      <c r="AH116" s="304">
        <f t="shared" ca="1" si="57"/>
        <v>-21.766423454799096</v>
      </c>
    </row>
    <row r="117" spans="1:34" x14ac:dyDescent="0.2">
      <c r="A117" s="347">
        <f t="shared" ca="1" si="35"/>
        <v>0.01</v>
      </c>
      <c r="B117" s="304">
        <f t="shared" ca="1" si="36"/>
        <v>5.7299999999999756</v>
      </c>
      <c r="D117" s="306">
        <f t="shared" ca="1" si="37"/>
        <v>-5.8129490445623917</v>
      </c>
      <c r="E117" s="307">
        <f t="shared" ca="1" si="38"/>
        <v>-30.69736082439676</v>
      </c>
      <c r="F117" s="304">
        <f t="shared" ca="1" si="39"/>
        <v>31.242892602604641</v>
      </c>
      <c r="G117" s="306">
        <f t="shared" ca="1" si="40"/>
        <v>44.355621537377786</v>
      </c>
      <c r="H117" s="307">
        <f t="shared" ca="1" si="41"/>
        <v>159.28259722256442</v>
      </c>
      <c r="I117" s="304">
        <f t="shared" ca="1" si="42"/>
        <v>165.34317929667611</v>
      </c>
      <c r="J117" s="306">
        <f t="shared" ca="1" si="43"/>
        <v>180.289602746036</v>
      </c>
      <c r="K117" s="307">
        <f t="shared" ca="1" si="44"/>
        <v>747.35492126487611</v>
      </c>
      <c r="L117" s="304">
        <f t="shared" ca="1" si="29"/>
        <v>768.79367791180016</v>
      </c>
      <c r="M117" s="306">
        <f t="shared" ca="1" si="45"/>
        <v>1.2992058091621785</v>
      </c>
      <c r="N117" s="304">
        <f t="shared" ca="1" si="46"/>
        <v>74.439009583871893</v>
      </c>
      <c r="P117" s="310">
        <f t="shared" ca="1" si="47"/>
        <v>13</v>
      </c>
      <c r="Q117" s="304">
        <f t="shared" ca="1" si="48"/>
        <v>0</v>
      </c>
      <c r="R117" s="306">
        <f t="shared" ca="1" si="49"/>
        <v>0</v>
      </c>
      <c r="S117" s="307">
        <f t="shared" ca="1" si="50"/>
        <v>2.9362999999999984</v>
      </c>
      <c r="T117" s="304">
        <f t="shared" ca="1" si="30"/>
        <v>28.805102999999985</v>
      </c>
      <c r="U117" s="311">
        <f t="shared" ca="1" si="31"/>
        <v>0</v>
      </c>
      <c r="V117" s="306">
        <f t="shared" ca="1" si="32"/>
        <v>1.136746843679709</v>
      </c>
      <c r="W117" s="304">
        <f t="shared" ca="1" si="33"/>
        <v>63.413173323693016</v>
      </c>
      <c r="Y117" s="314" t="str">
        <f t="shared" ca="1" si="51"/>
        <v/>
      </c>
      <c r="Z117" s="315" t="str">
        <f t="shared" ca="1" si="52"/>
        <v/>
      </c>
      <c r="AA117" s="316" t="str">
        <f t="shared" ca="1" si="53"/>
        <v/>
      </c>
      <c r="AC117" s="310" t="e">
        <f t="shared" ca="1" si="54"/>
        <v>#N/A</v>
      </c>
      <c r="AD117" s="323" t="e">
        <f t="shared" ca="1" si="55"/>
        <v>#N/A</v>
      </c>
      <c r="AE117" s="324">
        <f t="shared" ca="1" si="34"/>
        <v>747.35492126487611</v>
      </c>
      <c r="AG117" s="306">
        <f t="shared" ca="1" si="56"/>
        <v>-31.13198616720495</v>
      </c>
      <c r="AH117" s="304">
        <f t="shared" ca="1" si="57"/>
        <v>-21.681148927195331</v>
      </c>
    </row>
    <row r="118" spans="1:34" x14ac:dyDescent="0.2">
      <c r="A118" s="347">
        <f t="shared" ca="1" si="35"/>
        <v>0.01</v>
      </c>
      <c r="B118" s="304">
        <f t="shared" ca="1" si="36"/>
        <v>5.7399999999999753</v>
      </c>
      <c r="D118" s="306">
        <f t="shared" ca="1" si="37"/>
        <v>-5.7935058071265582</v>
      </c>
      <c r="E118" s="307">
        <f t="shared" ca="1" si="38"/>
        <v>-30.614683149473962</v>
      </c>
      <c r="F118" s="304">
        <f t="shared" ca="1" si="39"/>
        <v>31.158041239460065</v>
      </c>
      <c r="G118" s="306">
        <f t="shared" ca="1" si="40"/>
        <v>44.29768647930652</v>
      </c>
      <c r="H118" s="307">
        <f t="shared" ca="1" si="41"/>
        <v>158.97645039106968</v>
      </c>
      <c r="I118" s="304">
        <f t="shared" ca="1" si="42"/>
        <v>165.03271435192229</v>
      </c>
      <c r="J118" s="306">
        <f t="shared" ca="1" si="43"/>
        <v>180.73286928611941</v>
      </c>
      <c r="K118" s="307">
        <f t="shared" ca="1" si="44"/>
        <v>748.94621650294425</v>
      </c>
      <c r="L118" s="304">
        <f t="shared" ca="1" si="29"/>
        <v>770.44455040870309</v>
      </c>
      <c r="M118" s="306">
        <f t="shared" ca="1" si="45"/>
        <v>1.2990463456403292</v>
      </c>
      <c r="N118" s="304">
        <f t="shared" ca="1" si="46"/>
        <v>74.429872997083635</v>
      </c>
      <c r="P118" s="310">
        <f t="shared" ca="1" si="47"/>
        <v>13</v>
      </c>
      <c r="Q118" s="304">
        <f t="shared" ca="1" si="48"/>
        <v>0</v>
      </c>
      <c r="R118" s="306">
        <f t="shared" ca="1" si="49"/>
        <v>0</v>
      </c>
      <c r="S118" s="307">
        <f t="shared" ca="1" si="50"/>
        <v>2.9362999999999984</v>
      </c>
      <c r="T118" s="304">
        <f t="shared" ca="1" si="30"/>
        <v>28.805102999999985</v>
      </c>
      <c r="U118" s="311">
        <f t="shared" ca="1" si="31"/>
        <v>0</v>
      </c>
      <c r="V118" s="306">
        <f t="shared" ca="1" si="32"/>
        <v>1.1365657146495092</v>
      </c>
      <c r="W118" s="304">
        <f t="shared" ca="1" si="33"/>
        <v>63.165188695059143</v>
      </c>
      <c r="Y118" s="314" t="str">
        <f t="shared" ca="1" si="51"/>
        <v/>
      </c>
      <c r="Z118" s="315" t="str">
        <f t="shared" ca="1" si="52"/>
        <v/>
      </c>
      <c r="AA118" s="316" t="str">
        <f t="shared" ca="1" si="53"/>
        <v/>
      </c>
      <c r="AC118" s="310" t="e">
        <f t="shared" ca="1" si="54"/>
        <v>#N/A</v>
      </c>
      <c r="AD118" s="323" t="e">
        <f t="shared" ca="1" si="55"/>
        <v>#N/A</v>
      </c>
      <c r="AE118" s="324">
        <f t="shared" ca="1" si="34"/>
        <v>748.94621650294425</v>
      </c>
      <c r="AG118" s="306">
        <f t="shared" ca="1" si="56"/>
        <v>-31.046704303047065</v>
      </c>
      <c r="AH118" s="304">
        <f t="shared" ca="1" si="57"/>
        <v>-21.59628557153324</v>
      </c>
    </row>
    <row r="119" spans="1:34" x14ac:dyDescent="0.2">
      <c r="A119" s="347">
        <f t="shared" ca="1" si="35"/>
        <v>0.01</v>
      </c>
      <c r="B119" s="304">
        <f t="shared" ca="1" si="36"/>
        <v>5.7499999999999751</v>
      </c>
      <c r="D119" s="306">
        <f t="shared" ca="1" si="37"/>
        <v>-5.7741541661271389</v>
      </c>
      <c r="E119" s="307">
        <f t="shared" ca="1" si="38"/>
        <v>-30.532403500022923</v>
      </c>
      <c r="F119" s="304">
        <f t="shared" ca="1" si="39"/>
        <v>31.073598436975647</v>
      </c>
      <c r="G119" s="306">
        <f t="shared" ca="1" si="40"/>
        <v>44.239944937645248</v>
      </c>
      <c r="H119" s="307">
        <f t="shared" ca="1" si="41"/>
        <v>158.67112635606944</v>
      </c>
      <c r="I119" s="304">
        <f t="shared" ca="1" si="42"/>
        <v>164.72309815927343</v>
      </c>
      <c r="J119" s="306">
        <f t="shared" ca="1" si="43"/>
        <v>181.17555744320416</v>
      </c>
      <c r="K119" s="307">
        <f t="shared" ca="1" si="44"/>
        <v>750.53445438667995</v>
      </c>
      <c r="L119" s="304">
        <f t="shared" ca="1" si="29"/>
        <v>772.09231950354695</v>
      </c>
      <c r="M119" s="306">
        <f t="shared" ca="1" si="45"/>
        <v>1.2988864909036126</v>
      </c>
      <c r="N119" s="304">
        <f t="shared" ca="1" si="46"/>
        <v>74.420713995334594</v>
      </c>
      <c r="P119" s="310">
        <f t="shared" ca="1" si="47"/>
        <v>13</v>
      </c>
      <c r="Q119" s="304">
        <f t="shared" ca="1" si="48"/>
        <v>0</v>
      </c>
      <c r="R119" s="306">
        <f t="shared" ca="1" si="49"/>
        <v>0</v>
      </c>
      <c r="S119" s="307">
        <f t="shared" ca="1" si="50"/>
        <v>2.9362999999999984</v>
      </c>
      <c r="T119" s="304">
        <f t="shared" ca="1" si="30"/>
        <v>28.805102999999985</v>
      </c>
      <c r="U119" s="311">
        <f t="shared" ca="1" si="31"/>
        <v>0</v>
      </c>
      <c r="V119" s="306">
        <f t="shared" ca="1" si="32"/>
        <v>1.1363849613228327</v>
      </c>
      <c r="W119" s="304">
        <f t="shared" ca="1" si="33"/>
        <v>62.918396089022806</v>
      </c>
      <c r="Y119" s="314" t="str">
        <f t="shared" ca="1" si="51"/>
        <v/>
      </c>
      <c r="Z119" s="315" t="str">
        <f t="shared" ca="1" si="52"/>
        <v/>
      </c>
      <c r="AA119" s="316" t="str">
        <f t="shared" ca="1" si="53"/>
        <v/>
      </c>
      <c r="AC119" s="310" t="e">
        <f t="shared" ca="1" si="54"/>
        <v>#N/A</v>
      </c>
      <c r="AD119" s="323" t="e">
        <f t="shared" ca="1" si="55"/>
        <v>#N/A</v>
      </c>
      <c r="AE119" s="324">
        <f t="shared" ca="1" si="34"/>
        <v>750.53445438667995</v>
      </c>
      <c r="AG119" s="306">
        <f t="shared" ca="1" si="56"/>
        <v>-30.961829727769246</v>
      </c>
      <c r="AH119" s="304">
        <f t="shared" ca="1" si="57"/>
        <v>-21.511830771739664</v>
      </c>
    </row>
    <row r="120" spans="1:34" x14ac:dyDescent="0.2">
      <c r="A120" s="347">
        <f t="shared" ca="1" si="35"/>
        <v>0.01</v>
      </c>
      <c r="B120" s="304">
        <f t="shared" ca="1" si="36"/>
        <v>5.7599999999999749</v>
      </c>
      <c r="D120" s="306">
        <f t="shared" ca="1" si="37"/>
        <v>-5.7548935360750413</v>
      </c>
      <c r="E120" s="307">
        <f t="shared" ca="1" si="38"/>
        <v>-30.450519347737092</v>
      </c>
      <c r="F120" s="304">
        <f t="shared" ca="1" si="39"/>
        <v>30.989561599972166</v>
      </c>
      <c r="G120" s="306">
        <f t="shared" ca="1" si="40"/>
        <v>44.182396002284499</v>
      </c>
      <c r="H120" s="307">
        <f t="shared" ca="1" si="41"/>
        <v>158.36662116259205</v>
      </c>
      <c r="I120" s="304">
        <f t="shared" ca="1" si="42"/>
        <v>164.41432667185251</v>
      </c>
      <c r="J120" s="306">
        <f t="shared" ca="1" si="43"/>
        <v>181.6176691479038</v>
      </c>
      <c r="K120" s="307">
        <f t="shared" ca="1" si="44"/>
        <v>752.11964312427324</v>
      </c>
      <c r="L120" s="304">
        <f t="shared" ca="1" si="29"/>
        <v>773.73699363549986</v>
      </c>
      <c r="M120" s="306">
        <f t="shared" ca="1" si="45"/>
        <v>1.2987262440811136</v>
      </c>
      <c r="N120" s="304">
        <f t="shared" ca="1" si="46"/>
        <v>74.411532528725019</v>
      </c>
      <c r="P120" s="310">
        <f t="shared" ca="1" si="47"/>
        <v>13</v>
      </c>
      <c r="Q120" s="304">
        <f t="shared" ca="1" si="48"/>
        <v>0</v>
      </c>
      <c r="R120" s="306">
        <f t="shared" ca="1" si="49"/>
        <v>0</v>
      </c>
      <c r="S120" s="307">
        <f t="shared" ca="1" si="50"/>
        <v>2.9362999999999984</v>
      </c>
      <c r="T120" s="304">
        <f t="shared" ca="1" si="30"/>
        <v>28.805102999999985</v>
      </c>
      <c r="U120" s="311">
        <f t="shared" ca="1" si="31"/>
        <v>0</v>
      </c>
      <c r="V120" s="306">
        <f t="shared" ca="1" si="32"/>
        <v>1.1362045825995901</v>
      </c>
      <c r="W120" s="304">
        <f t="shared" ca="1" si="33"/>
        <v>62.672787946568697</v>
      </c>
      <c r="Y120" s="314" t="str">
        <f t="shared" ca="1" si="51"/>
        <v/>
      </c>
      <c r="Z120" s="315" t="str">
        <f t="shared" ca="1" si="52"/>
        <v/>
      </c>
      <c r="AA120" s="316" t="str">
        <f t="shared" ca="1" si="53"/>
        <v/>
      </c>
      <c r="AC120" s="310" t="e">
        <f t="shared" ca="1" si="54"/>
        <v>#N/A</v>
      </c>
      <c r="AD120" s="323" t="e">
        <f t="shared" ca="1" si="55"/>
        <v>#N/A</v>
      </c>
      <c r="AE120" s="324">
        <f t="shared" ca="1" si="34"/>
        <v>752.11964312427324</v>
      </c>
      <c r="AG120" s="306">
        <f t="shared" ca="1" si="56"/>
        <v>-30.877359842229026</v>
      </c>
      <c r="AH120" s="304">
        <f t="shared" ca="1" si="57"/>
        <v>-21.427781932712204</v>
      </c>
    </row>
    <row r="121" spans="1:34" x14ac:dyDescent="0.2">
      <c r="A121" s="347">
        <f t="shared" ca="1" si="35"/>
        <v>0.01</v>
      </c>
      <c r="B121" s="304">
        <f t="shared" ca="1" si="36"/>
        <v>5.7699999999999747</v>
      </c>
      <c r="D121" s="306">
        <f t="shared" ca="1" si="37"/>
        <v>-5.7357233361635043</v>
      </c>
      <c r="E121" s="307">
        <f t="shared" ca="1" si="38"/>
        <v>-30.369028184543836</v>
      </c>
      <c r="F121" s="304">
        <f t="shared" ca="1" si="39"/>
        <v>30.905928154039128</v>
      </c>
      <c r="G121" s="306">
        <f t="shared" ca="1" si="40"/>
        <v>44.125038768922863</v>
      </c>
      <c r="H121" s="307">
        <f t="shared" ca="1" si="41"/>
        <v>158.06293088074662</v>
      </c>
      <c r="I121" s="304">
        <f t="shared" ca="1" si="42"/>
        <v>164.10639586856641</v>
      </c>
      <c r="J121" s="306">
        <f t="shared" ca="1" si="43"/>
        <v>182.05920632175983</v>
      </c>
      <c r="K121" s="307">
        <f t="shared" ca="1" si="44"/>
        <v>753.70179088448992</v>
      </c>
      <c r="L121" s="304">
        <f t="shared" ca="1" si="29"/>
        <v>775.37858120339934</v>
      </c>
      <c r="M121" s="306">
        <f t="shared" ca="1" si="45"/>
        <v>1.2985656042986509</v>
      </c>
      <c r="N121" s="304">
        <f t="shared" ca="1" si="46"/>
        <v>74.402328547168011</v>
      </c>
      <c r="P121" s="310">
        <f t="shared" ca="1" si="47"/>
        <v>13</v>
      </c>
      <c r="Q121" s="304">
        <f t="shared" ca="1" si="48"/>
        <v>0</v>
      </c>
      <c r="R121" s="306">
        <f t="shared" ca="1" si="49"/>
        <v>0</v>
      </c>
      <c r="S121" s="307">
        <f t="shared" ca="1" si="50"/>
        <v>2.9362999999999984</v>
      </c>
      <c r="T121" s="304">
        <f t="shared" ca="1" si="30"/>
        <v>28.805102999999985</v>
      </c>
      <c r="U121" s="311">
        <f t="shared" ca="1" si="31"/>
        <v>0</v>
      </c>
      <c r="V121" s="306">
        <f t="shared" ca="1" si="32"/>
        <v>1.1360245773851267</v>
      </c>
      <c r="W121" s="304">
        <f t="shared" ca="1" si="33"/>
        <v>62.428356769078874</v>
      </c>
      <c r="Y121" s="314" t="str">
        <f t="shared" ca="1" si="51"/>
        <v/>
      </c>
      <c r="Z121" s="315" t="str">
        <f t="shared" ca="1" si="52"/>
        <v/>
      </c>
      <c r="AA121" s="316" t="str">
        <f t="shared" ca="1" si="53"/>
        <v/>
      </c>
      <c r="AC121" s="310" t="e">
        <f t="shared" ca="1" si="54"/>
        <v>#N/A</v>
      </c>
      <c r="AD121" s="323" t="e">
        <f t="shared" ca="1" si="55"/>
        <v>#N/A</v>
      </c>
      <c r="AE121" s="324">
        <f t="shared" ca="1" si="34"/>
        <v>753.70179088448992</v>
      </c>
      <c r="AG121" s="306">
        <f t="shared" ca="1" si="56"/>
        <v>-30.793292068034901</v>
      </c>
      <c r="AH121" s="304">
        <f t="shared" ca="1" si="57"/>
        <v>-21.344136480117402</v>
      </c>
    </row>
    <row r="122" spans="1:34" x14ac:dyDescent="0.2">
      <c r="A122" s="347">
        <f t="shared" ca="1" si="35"/>
        <v>0.01</v>
      </c>
      <c r="B122" s="304">
        <f t="shared" ca="1" si="36"/>
        <v>5.7799999999999745</v>
      </c>
      <c r="D122" s="306">
        <f t="shared" ca="1" si="37"/>
        <v>-5.7166429902230309</v>
      </c>
      <c r="E122" s="307">
        <f t="shared" ca="1" si="38"/>
        <v>-30.287927522409852</v>
      </c>
      <c r="F122" s="304">
        <f t="shared" ca="1" si="39"/>
        <v>30.822695545335069</v>
      </c>
      <c r="G122" s="306">
        <f t="shared" ca="1" si="40"/>
        <v>44.067872339020632</v>
      </c>
      <c r="H122" s="307">
        <f t="shared" ca="1" si="41"/>
        <v>157.76005160552253</v>
      </c>
      <c r="I122" s="304">
        <f t="shared" ca="1" si="42"/>
        <v>163.79930175390052</v>
      </c>
      <c r="J122" s="306">
        <f t="shared" ca="1" si="43"/>
        <v>182.50017087729955</v>
      </c>
      <c r="K122" s="307">
        <f t="shared" ca="1" si="44"/>
        <v>755.28090579692127</v>
      </c>
      <c r="L122" s="304">
        <f t="shared" ca="1" si="29"/>
        <v>777.01709056600635</v>
      </c>
      <c r="M122" s="306">
        <f t="shared" ca="1" si="45"/>
        <v>1.2984045706787635</v>
      </c>
      <c r="N122" s="304">
        <f t="shared" ca="1" si="46"/>
        <v>74.393102000388751</v>
      </c>
      <c r="P122" s="310">
        <f t="shared" ca="1" si="47"/>
        <v>13</v>
      </c>
      <c r="Q122" s="304">
        <f t="shared" ca="1" si="48"/>
        <v>0</v>
      </c>
      <c r="R122" s="306">
        <f t="shared" ca="1" si="49"/>
        <v>0</v>
      </c>
      <c r="S122" s="307">
        <f t="shared" ca="1" si="50"/>
        <v>2.9362999999999984</v>
      </c>
      <c r="T122" s="304">
        <f t="shared" ca="1" si="30"/>
        <v>28.805102999999985</v>
      </c>
      <c r="U122" s="311">
        <f t="shared" ca="1" si="31"/>
        <v>0</v>
      </c>
      <c r="V122" s="306">
        <f t="shared" ca="1" si="32"/>
        <v>1.1358449445901921</v>
      </c>
      <c r="W122" s="304">
        <f t="shared" ca="1" si="33"/>
        <v>62.185095117753484</v>
      </c>
      <c r="Y122" s="314" t="str">
        <f t="shared" ca="1" si="51"/>
        <v/>
      </c>
      <c r="Z122" s="315" t="str">
        <f t="shared" ca="1" si="52"/>
        <v/>
      </c>
      <c r="AA122" s="316" t="str">
        <f t="shared" ca="1" si="53"/>
        <v/>
      </c>
      <c r="AC122" s="310" t="e">
        <f t="shared" ca="1" si="54"/>
        <v>#N/A</v>
      </c>
      <c r="AD122" s="323" t="e">
        <f t="shared" ca="1" si="55"/>
        <v>#N/A</v>
      </c>
      <c r="AE122" s="324">
        <f t="shared" ca="1" si="34"/>
        <v>755.28090579692127</v>
      </c>
      <c r="AG122" s="306">
        <f t="shared" ca="1" si="56"/>
        <v>-30.709623847346514</v>
      </c>
      <c r="AH122" s="304">
        <f t="shared" ca="1" si="57"/>
        <v>-21.260891860191027</v>
      </c>
    </row>
    <row r="123" spans="1:34" x14ac:dyDescent="0.2">
      <c r="A123" s="347">
        <f t="shared" ca="1" si="35"/>
        <v>0.01</v>
      </c>
      <c r="B123" s="304">
        <f t="shared" ca="1" si="36"/>
        <v>5.7899999999999743</v>
      </c>
      <c r="D123" s="306">
        <f t="shared" ca="1" si="37"/>
        <v>-5.6976519266769321</v>
      </c>
      <c r="E123" s="307">
        <f t="shared" ca="1" si="38"/>
        <v>-30.207214893148937</v>
      </c>
      <c r="F123" s="304">
        <f t="shared" ca="1" si="39"/>
        <v>30.739861240390209</v>
      </c>
      <c r="G123" s="306">
        <f t="shared" ca="1" si="40"/>
        <v>44.010895819753863</v>
      </c>
      <c r="H123" s="307">
        <f t="shared" ca="1" si="41"/>
        <v>157.45797945659103</v>
      </c>
      <c r="I123" s="304">
        <f t="shared" ca="1" si="42"/>
        <v>163.49304035771513</v>
      </c>
      <c r="J123" s="306">
        <f t="shared" ca="1" si="43"/>
        <v>182.94056471809341</v>
      </c>
      <c r="K123" s="307">
        <f t="shared" ca="1" si="44"/>
        <v>756.85699595223184</v>
      </c>
      <c r="L123" s="304">
        <f t="shared" ca="1" si="29"/>
        <v>778.65253004225929</v>
      </c>
      <c r="M123" s="306">
        <f t="shared" ca="1" si="45"/>
        <v>1.2982431423406984</v>
      </c>
      <c r="N123" s="304">
        <f t="shared" ca="1" si="46"/>
        <v>74.383852837923797</v>
      </c>
      <c r="P123" s="310">
        <f t="shared" ca="1" si="47"/>
        <v>13</v>
      </c>
      <c r="Q123" s="304">
        <f t="shared" ca="1" si="48"/>
        <v>0</v>
      </c>
      <c r="R123" s="306">
        <f t="shared" ca="1" si="49"/>
        <v>0</v>
      </c>
      <c r="S123" s="307">
        <f t="shared" ca="1" si="50"/>
        <v>2.9362999999999984</v>
      </c>
      <c r="T123" s="304">
        <f t="shared" ca="1" si="30"/>
        <v>28.805102999999985</v>
      </c>
      <c r="U123" s="311">
        <f t="shared" ca="1" si="31"/>
        <v>0</v>
      </c>
      <c r="V123" s="306">
        <f t="shared" ca="1" si="32"/>
        <v>1.1356656831309011</v>
      </c>
      <c r="W123" s="304">
        <f t="shared" ca="1" si="33"/>
        <v>61.942995613037482</v>
      </c>
      <c r="Y123" s="314" t="str">
        <f t="shared" ca="1" si="51"/>
        <v/>
      </c>
      <c r="Z123" s="315" t="str">
        <f t="shared" ca="1" si="52"/>
        <v/>
      </c>
      <c r="AA123" s="316" t="str">
        <f t="shared" ca="1" si="53"/>
        <v/>
      </c>
      <c r="AC123" s="310" t="e">
        <f t="shared" ca="1" si="54"/>
        <v>#N/A</v>
      </c>
      <c r="AD123" s="323" t="e">
        <f t="shared" ca="1" si="55"/>
        <v>#N/A</v>
      </c>
      <c r="AE123" s="324">
        <f t="shared" ca="1" si="34"/>
        <v>756.85699595223184</v>
      </c>
      <c r="AG123" s="306">
        <f t="shared" ca="1" si="56"/>
        <v>-30.626352642677247</v>
      </c>
      <c r="AH123" s="304">
        <f t="shared" ca="1" si="57"/>
        <v>-21.178045539540754</v>
      </c>
    </row>
    <row r="124" spans="1:34" x14ac:dyDescent="0.2">
      <c r="A124" s="347">
        <f t="shared" ca="1" si="35"/>
        <v>0.01</v>
      </c>
      <c r="B124" s="304">
        <f t="shared" ca="1" si="36"/>
        <v>5.7999999999999741</v>
      </c>
      <c r="D124" s="306">
        <f t="shared" ca="1" si="37"/>
        <v>-5.6787495784972979</v>
      </c>
      <c r="E124" s="307">
        <f t="shared" ca="1" si="38"/>
        <v>-30.126887848231796</v>
      </c>
      <c r="F124" s="304">
        <f t="shared" ca="1" si="39"/>
        <v>30.657422725911253</v>
      </c>
      <c r="G124" s="306">
        <f t="shared" ca="1" si="40"/>
        <v>43.954108323968889</v>
      </c>
      <c r="H124" s="307">
        <f t="shared" ca="1" si="41"/>
        <v>157.15671057810872</v>
      </c>
      <c r="I124" s="304">
        <f t="shared" ca="1" si="42"/>
        <v>163.18760773504408</v>
      </c>
      <c r="J124" s="306">
        <f t="shared" ca="1" si="43"/>
        <v>183.38038973881203</v>
      </c>
      <c r="K124" s="307">
        <f t="shared" ca="1" si="44"/>
        <v>758.43006940240537</v>
      </c>
      <c r="L124" s="304">
        <f t="shared" ca="1" si="29"/>
        <v>780.28490791152433</v>
      </c>
      <c r="M124" s="306">
        <f t="shared" ca="1" si="45"/>
        <v>1.2980813184003972</v>
      </c>
      <c r="N124" s="304">
        <f t="shared" ca="1" si="46"/>
        <v>74.374581009120377</v>
      </c>
      <c r="P124" s="310">
        <f t="shared" ca="1" si="47"/>
        <v>13</v>
      </c>
      <c r="Q124" s="304">
        <f t="shared" ca="1" si="48"/>
        <v>0</v>
      </c>
      <c r="R124" s="306">
        <f t="shared" ca="1" si="49"/>
        <v>0</v>
      </c>
      <c r="S124" s="307">
        <f t="shared" ca="1" si="50"/>
        <v>2.9362999999999984</v>
      </c>
      <c r="T124" s="304">
        <f t="shared" ca="1" si="30"/>
        <v>28.805102999999985</v>
      </c>
      <c r="U124" s="311">
        <f t="shared" ca="1" si="31"/>
        <v>0</v>
      </c>
      <c r="V124" s="306">
        <f t="shared" ca="1" si="32"/>
        <v>1.1354867919287026</v>
      </c>
      <c r="W124" s="304">
        <f t="shared" ca="1" si="33"/>
        <v>61.702050934054363</v>
      </c>
      <c r="Y124" s="314" t="str">
        <f t="shared" ca="1" si="51"/>
        <v/>
      </c>
      <c r="Z124" s="315" t="str">
        <f t="shared" ca="1" si="52"/>
        <v/>
      </c>
      <c r="AA124" s="316" t="str">
        <f t="shared" ca="1" si="53"/>
        <v/>
      </c>
      <c r="AC124" s="310" t="e">
        <f t="shared" ca="1" si="54"/>
        <v>#N/A</v>
      </c>
      <c r="AD124" s="323" t="e">
        <f t="shared" ca="1" si="55"/>
        <v>#N/A</v>
      </c>
      <c r="AE124" s="324">
        <f t="shared" ca="1" si="34"/>
        <v>758.43006940240537</v>
      </c>
      <c r="AG124" s="306">
        <f t="shared" ca="1" si="56"/>
        <v>-30.543475936698936</v>
      </c>
      <c r="AH124" s="304">
        <f t="shared" ca="1" si="57"/>
        <v>-21.095595004950965</v>
      </c>
    </row>
    <row r="125" spans="1:34" x14ac:dyDescent="0.2">
      <c r="A125" s="347">
        <f t="shared" ca="1" si="35"/>
        <v>0.01</v>
      </c>
      <c r="B125" s="304">
        <f t="shared" ca="1" si="36"/>
        <v>5.8099999999999739</v>
      </c>
      <c r="D125" s="306">
        <f t="shared" ca="1" si="37"/>
        <v>-5.6599353831615176</v>
      </c>
      <c r="E125" s="307">
        <f t="shared" ca="1" si="38"/>
        <v>-30.046943958598163</v>
      </c>
      <c r="F125" s="304">
        <f t="shared" ca="1" si="39"/>
        <v>30.575377508588549</v>
      </c>
      <c r="G125" s="306">
        <f t="shared" ca="1" si="40"/>
        <v>43.897508970137274</v>
      </c>
      <c r="H125" s="307">
        <f t="shared" ca="1" si="41"/>
        <v>156.85624113852273</v>
      </c>
      <c r="I125" s="304">
        <f t="shared" ca="1" si="42"/>
        <v>162.88299996589475</v>
      </c>
      <c r="J125" s="306">
        <f t="shared" ca="1" si="43"/>
        <v>183.81964782528254</v>
      </c>
      <c r="K125" s="307">
        <f t="shared" ca="1" si="44"/>
        <v>760.00013416098852</v>
      </c>
      <c r="L125" s="304">
        <f t="shared" ca="1" si="29"/>
        <v>781.91423241384439</v>
      </c>
      <c r="M125" s="306">
        <f t="shared" ca="1" si="45"/>
        <v>1.2979190979704842</v>
      </c>
      <c r="N125" s="304">
        <f t="shared" ca="1" si="46"/>
        <v>74.365286463135561</v>
      </c>
      <c r="P125" s="310">
        <f t="shared" ca="1" si="47"/>
        <v>13</v>
      </c>
      <c r="Q125" s="304">
        <f t="shared" ca="1" si="48"/>
        <v>0</v>
      </c>
      <c r="R125" s="306">
        <f t="shared" ca="1" si="49"/>
        <v>0</v>
      </c>
      <c r="S125" s="307">
        <f t="shared" ca="1" si="50"/>
        <v>2.9362999999999984</v>
      </c>
      <c r="T125" s="304">
        <f t="shared" ca="1" si="30"/>
        <v>28.805102999999985</v>
      </c>
      <c r="U125" s="311">
        <f t="shared" ca="1" si="31"/>
        <v>0</v>
      </c>
      <c r="V125" s="306">
        <f t="shared" ca="1" si="32"/>
        <v>1.1353082699103425</v>
      </c>
      <c r="W125" s="304">
        <f t="shared" ca="1" si="33"/>
        <v>61.462253818045333</v>
      </c>
      <c r="Y125" s="314" t="str">
        <f t="shared" ca="1" si="51"/>
        <v/>
      </c>
      <c r="Z125" s="315" t="str">
        <f t="shared" ca="1" si="52"/>
        <v/>
      </c>
      <c r="AA125" s="316" t="str">
        <f t="shared" ca="1" si="53"/>
        <v/>
      </c>
      <c r="AC125" s="310" t="e">
        <f t="shared" ca="1" si="54"/>
        <v>#N/A</v>
      </c>
      <c r="AD125" s="323" t="e">
        <f t="shared" ca="1" si="55"/>
        <v>#N/A</v>
      </c>
      <c r="AE125" s="324">
        <f t="shared" ca="1" si="34"/>
        <v>760.00013416098852</v>
      </c>
      <c r="AG125" s="306">
        <f t="shared" ca="1" si="56"/>
        <v>-30.460991232048876</v>
      </c>
      <c r="AH125" s="304">
        <f t="shared" ca="1" si="57"/>
        <v>-21.013537763189863</v>
      </c>
    </row>
    <row r="126" spans="1:34" x14ac:dyDescent="0.2">
      <c r="A126" s="347">
        <f t="shared" ca="1" si="35"/>
        <v>0.01</v>
      </c>
      <c r="B126" s="304">
        <f t="shared" ca="1" si="36"/>
        <v>5.8199999999999736</v>
      </c>
      <c r="D126" s="306">
        <f t="shared" ca="1" si="37"/>
        <v>-5.6412087826091994</v>
      </c>
      <c r="E126" s="307">
        <f t="shared" ca="1" si="38"/>
        <v>-29.967380814470708</v>
      </c>
      <c r="F126" s="304">
        <f t="shared" ca="1" si="39"/>
        <v>30.493723114905045</v>
      </c>
      <c r="G126" s="306">
        <f t="shared" ca="1" si="40"/>
        <v>43.841096882311184</v>
      </c>
      <c r="H126" s="307">
        <f t="shared" ca="1" si="41"/>
        <v>156.55656733037802</v>
      </c>
      <c r="I126" s="304">
        <f t="shared" ca="1" si="42"/>
        <v>162.57921315505061</v>
      </c>
      <c r="J126" s="306">
        <f t="shared" ca="1" si="43"/>
        <v>184.2583408545448</v>
      </c>
      <c r="K126" s="307">
        <f t="shared" ca="1" si="44"/>
        <v>761.56719820333308</v>
      </c>
      <c r="L126" s="304">
        <f t="shared" ca="1" si="29"/>
        <v>783.54051175018662</v>
      </c>
      <c r="M126" s="306">
        <f t="shared" ca="1" si="45"/>
        <v>1.2977564801602521</v>
      </c>
      <c r="N126" s="304">
        <f t="shared" ca="1" si="46"/>
        <v>74.3559691489356</v>
      </c>
      <c r="P126" s="310">
        <f t="shared" ca="1" si="47"/>
        <v>13</v>
      </c>
      <c r="Q126" s="304">
        <f t="shared" ca="1" si="48"/>
        <v>0</v>
      </c>
      <c r="R126" s="306">
        <f t="shared" ca="1" si="49"/>
        <v>0</v>
      </c>
      <c r="S126" s="307">
        <f t="shared" ca="1" si="50"/>
        <v>2.9362999999999984</v>
      </c>
      <c r="T126" s="304">
        <f t="shared" ca="1" si="30"/>
        <v>28.805102999999985</v>
      </c>
      <c r="U126" s="311">
        <f t="shared" ca="1" si="31"/>
        <v>0</v>
      </c>
      <c r="V126" s="306">
        <f t="shared" ca="1" si="32"/>
        <v>1.1351301160078304</v>
      </c>
      <c r="W126" s="304">
        <f t="shared" ca="1" si="33"/>
        <v>61.223597059815589</v>
      </c>
      <c r="Y126" s="314" t="str">
        <f t="shared" ca="1" si="51"/>
        <v/>
      </c>
      <c r="Z126" s="315" t="str">
        <f t="shared" ca="1" si="52"/>
        <v/>
      </c>
      <c r="AA126" s="316" t="str">
        <f t="shared" ca="1" si="53"/>
        <v/>
      </c>
      <c r="AC126" s="310" t="e">
        <f t="shared" ca="1" si="54"/>
        <v>#N/A</v>
      </c>
      <c r="AD126" s="323" t="e">
        <f t="shared" ca="1" si="55"/>
        <v>#N/A</v>
      </c>
      <c r="AE126" s="324">
        <f t="shared" ca="1" si="34"/>
        <v>761.56719820333308</v>
      </c>
      <c r="AG126" s="306">
        <f t="shared" ca="1" si="56"/>
        <v>-30.378896051138803</v>
      </c>
      <c r="AH126" s="304">
        <f t="shared" ca="1" si="57"/>
        <v>-20.931871340818503</v>
      </c>
    </row>
    <row r="127" spans="1:34" x14ac:dyDescent="0.2">
      <c r="A127" s="347">
        <f t="shared" ca="1" si="35"/>
        <v>0.01</v>
      </c>
      <c r="B127" s="304">
        <f t="shared" ca="1" si="36"/>
        <v>5.8299999999999734</v>
      </c>
      <c r="D127" s="306">
        <f t="shared" ca="1" si="37"/>
        <v>-5.6225692231996725</v>
      </c>
      <c r="E127" s="307">
        <f t="shared" ca="1" si="38"/>
        <v>-29.888196025171311</v>
      </c>
      <c r="F127" s="304">
        <f t="shared" ca="1" si="39"/>
        <v>30.412457090947754</v>
      </c>
      <c r="G127" s="306">
        <f t="shared" ca="1" si="40"/>
        <v>43.784871190079187</v>
      </c>
      <c r="H127" s="307">
        <f t="shared" ca="1" si="41"/>
        <v>156.2576853701263</v>
      </c>
      <c r="I127" s="304">
        <f t="shared" ca="1" si="42"/>
        <v>162.27624343187517</v>
      </c>
      <c r="J127" s="306">
        <f t="shared" ca="1" si="43"/>
        <v>184.69647069490674</v>
      </c>
      <c r="K127" s="307">
        <f t="shared" ca="1" si="44"/>
        <v>763.13126946683565</v>
      </c>
      <c r="L127" s="304">
        <f t="shared" ca="1" si="29"/>
        <v>785.16375408268732</v>
      </c>
      <c r="M127" s="306">
        <f t="shared" ca="1" si="45"/>
        <v>1.2975934640756499</v>
      </c>
      <c r="N127" s="304">
        <f t="shared" ca="1" si="46"/>
        <v>74.34662901529515</v>
      </c>
      <c r="P127" s="310">
        <f t="shared" ca="1" si="47"/>
        <v>13</v>
      </c>
      <c r="Q127" s="304">
        <f t="shared" ca="1" si="48"/>
        <v>0</v>
      </c>
      <c r="R127" s="306">
        <f t="shared" ca="1" si="49"/>
        <v>0</v>
      </c>
      <c r="S127" s="307">
        <f t="shared" ca="1" si="50"/>
        <v>2.9362999999999984</v>
      </c>
      <c r="T127" s="304">
        <f t="shared" ca="1" si="30"/>
        <v>28.805102999999985</v>
      </c>
      <c r="U127" s="311">
        <f t="shared" ca="1" si="31"/>
        <v>0</v>
      </c>
      <c r="V127" s="306">
        <f t="shared" ca="1" si="32"/>
        <v>1.1349523291584067</v>
      </c>
      <c r="W127" s="304">
        <f t="shared" ca="1" si="33"/>
        <v>60.986073511186284</v>
      </c>
      <c r="Y127" s="314" t="str">
        <f t="shared" ca="1" si="51"/>
        <v/>
      </c>
      <c r="Z127" s="315" t="str">
        <f t="shared" ca="1" si="52"/>
        <v/>
      </c>
      <c r="AA127" s="316" t="str">
        <f t="shared" ca="1" si="53"/>
        <v/>
      </c>
      <c r="AC127" s="310" t="e">
        <f t="shared" ca="1" si="54"/>
        <v>#N/A</v>
      </c>
      <c r="AD127" s="323" t="e">
        <f t="shared" ca="1" si="55"/>
        <v>#N/A</v>
      </c>
      <c r="AE127" s="324">
        <f t="shared" ca="1" si="34"/>
        <v>763.13126946683565</v>
      </c>
      <c r="AG127" s="306">
        <f t="shared" ca="1" si="56"/>
        <v>-30.297187935966139</v>
      </c>
      <c r="AH127" s="304">
        <f t="shared" ca="1" si="57"/>
        <v>-20.850593284002187</v>
      </c>
    </row>
    <row r="128" spans="1:34" x14ac:dyDescent="0.2">
      <c r="A128" s="347">
        <f t="shared" ca="1" si="35"/>
        <v>0.01</v>
      </c>
      <c r="B128" s="304">
        <f t="shared" ca="1" si="36"/>
        <v>5.8399999999999732</v>
      </c>
      <c r="D128" s="306">
        <f t="shared" ca="1" si="37"/>
        <v>-5.6040161556698873</v>
      </c>
      <c r="E128" s="307">
        <f t="shared" ca="1" si="38"/>
        <v>-29.809387218939229</v>
      </c>
      <c r="F128" s="304">
        <f t="shared" ca="1" si="39"/>
        <v>30.331577002221078</v>
      </c>
      <c r="G128" s="306">
        <f t="shared" ca="1" si="40"/>
        <v>43.728831028522485</v>
      </c>
      <c r="H128" s="307">
        <f t="shared" ca="1" si="41"/>
        <v>155.95959149793691</v>
      </c>
      <c r="I128" s="304">
        <f t="shared" ca="1" si="42"/>
        <v>161.97408695011811</v>
      </c>
      <c r="J128" s="306">
        <f t="shared" ca="1" si="43"/>
        <v>185.13403920599976</v>
      </c>
      <c r="K128" s="307">
        <f t="shared" ca="1" si="44"/>
        <v>764.69235585117599</v>
      </c>
      <c r="L128" s="304">
        <f t="shared" ca="1" si="29"/>
        <v>786.78396753489471</v>
      </c>
      <c r="M128" s="306">
        <f t="shared" ca="1" si="45"/>
        <v>1.2974300488192687</v>
      </c>
      <c r="N128" s="304">
        <f t="shared" ca="1" si="46"/>
        <v>74.337266010796455</v>
      </c>
      <c r="P128" s="310">
        <f t="shared" ca="1" si="47"/>
        <v>13</v>
      </c>
      <c r="Q128" s="304">
        <f t="shared" ca="1" si="48"/>
        <v>0</v>
      </c>
      <c r="R128" s="306">
        <f t="shared" ca="1" si="49"/>
        <v>0</v>
      </c>
      <c r="S128" s="307">
        <f t="shared" ca="1" si="50"/>
        <v>2.9362999999999984</v>
      </c>
      <c r="T128" s="304">
        <f t="shared" ca="1" si="30"/>
        <v>28.805102999999985</v>
      </c>
      <c r="U128" s="311">
        <f t="shared" ca="1" si="31"/>
        <v>0</v>
      </c>
      <c r="V128" s="306">
        <f t="shared" ca="1" si="32"/>
        <v>1.1347749083045067</v>
      </c>
      <c r="W128" s="304">
        <f t="shared" ca="1" si="33"/>
        <v>60.749676080452659</v>
      </c>
      <c r="Y128" s="314" t="str">
        <f t="shared" ca="1" si="51"/>
        <v/>
      </c>
      <c r="Z128" s="315" t="str">
        <f t="shared" ca="1" si="52"/>
        <v/>
      </c>
      <c r="AA128" s="316" t="str">
        <f t="shared" ca="1" si="53"/>
        <v/>
      </c>
      <c r="AC128" s="310" t="e">
        <f t="shared" ca="1" si="54"/>
        <v>#N/A</v>
      </c>
      <c r="AD128" s="323" t="e">
        <f t="shared" ca="1" si="55"/>
        <v>#N/A</v>
      </c>
      <c r="AE128" s="324">
        <f t="shared" ca="1" si="34"/>
        <v>764.69235585117599</v>
      </c>
      <c r="AG128" s="306">
        <f t="shared" ca="1" si="56"/>
        <v>-30.215864447927338</v>
      </c>
      <c r="AH128" s="304">
        <f t="shared" ca="1" si="57"/>
        <v>-20.769701158323848</v>
      </c>
    </row>
    <row r="129" spans="1:34" x14ac:dyDescent="0.2">
      <c r="A129" s="347">
        <f t="shared" ca="1" si="35"/>
        <v>0.01</v>
      </c>
      <c r="B129" s="304">
        <f t="shared" ca="1" si="36"/>
        <v>5.849999999999973</v>
      </c>
      <c r="D129" s="306">
        <f t="shared" ca="1" si="37"/>
        <v>-5.5855490350928259</v>
      </c>
      <c r="E129" s="307">
        <f t="shared" ca="1" si="38"/>
        <v>-29.730952042751326</v>
      </c>
      <c r="F129" s="304">
        <f t="shared" ca="1" si="39"/>
        <v>30.251080433462302</v>
      </c>
      <c r="G129" s="306">
        <f t="shared" ca="1" si="40"/>
        <v>43.672975538171556</v>
      </c>
      <c r="H129" s="307">
        <f t="shared" ca="1" si="41"/>
        <v>155.66228197750939</v>
      </c>
      <c r="I129" s="304">
        <f t="shared" ca="1" si="42"/>
        <v>161.67273988772311</v>
      </c>
      <c r="J129" s="306">
        <f t="shared" ca="1" si="43"/>
        <v>185.57104823883321</v>
      </c>
      <c r="K129" s="307">
        <f t="shared" ca="1" si="44"/>
        <v>766.25046521855324</v>
      </c>
      <c r="L129" s="304">
        <f t="shared" ca="1" si="29"/>
        <v>788.40116019201082</v>
      </c>
      <c r="M129" s="306">
        <f t="shared" ca="1" si="45"/>
        <v>1.2972662334903298</v>
      </c>
      <c r="N129" s="304">
        <f t="shared" ca="1" si="46"/>
        <v>74.327880083828703</v>
      </c>
      <c r="P129" s="310">
        <f t="shared" ca="1" si="47"/>
        <v>13</v>
      </c>
      <c r="Q129" s="304">
        <f t="shared" ca="1" si="48"/>
        <v>0</v>
      </c>
      <c r="R129" s="306">
        <f t="shared" ca="1" si="49"/>
        <v>0</v>
      </c>
      <c r="S129" s="307">
        <f t="shared" ca="1" si="50"/>
        <v>2.9362999999999984</v>
      </c>
      <c r="T129" s="304">
        <f t="shared" ca="1" si="30"/>
        <v>28.805102999999985</v>
      </c>
      <c r="U129" s="311">
        <f t="shared" ca="1" si="31"/>
        <v>0</v>
      </c>
      <c r="V129" s="306">
        <f t="shared" ca="1" si="32"/>
        <v>1.1345978523937306</v>
      </c>
      <c r="W129" s="304">
        <f t="shared" ca="1" si="33"/>
        <v>60.514397731848447</v>
      </c>
      <c r="Y129" s="314" t="str">
        <f t="shared" ca="1" si="51"/>
        <v/>
      </c>
      <c r="Z129" s="315" t="str">
        <f t="shared" ca="1" si="52"/>
        <v/>
      </c>
      <c r="AA129" s="316" t="str">
        <f t="shared" ca="1" si="53"/>
        <v/>
      </c>
      <c r="AC129" s="310" t="e">
        <f t="shared" ca="1" si="54"/>
        <v>#N/A</v>
      </c>
      <c r="AD129" s="323" t="e">
        <f t="shared" ca="1" si="55"/>
        <v>#N/A</v>
      </c>
      <c r="AE129" s="324">
        <f t="shared" ca="1" si="34"/>
        <v>766.25046521855324</v>
      </c>
      <c r="AG129" s="306">
        <f t="shared" ca="1" si="56"/>
        <v>-30.134923167633215</v>
      </c>
      <c r="AH129" s="304">
        <f t="shared" ca="1" si="57"/>
        <v>-20.689192548599493</v>
      </c>
    </row>
    <row r="130" spans="1:34" x14ac:dyDescent="0.2">
      <c r="A130" s="347">
        <f t="shared" ca="1" si="35"/>
        <v>0.01</v>
      </c>
      <c r="B130" s="304">
        <f t="shared" ca="1" si="36"/>
        <v>5.8599999999999728</v>
      </c>
      <c r="D130" s="306">
        <f t="shared" ca="1" si="37"/>
        <v>-5.5671673208363543</v>
      </c>
      <c r="E130" s="307">
        <f t="shared" ca="1" si="38"/>
        <v>-29.652888162144336</v>
      </c>
      <c r="F130" s="304">
        <f t="shared" ca="1" si="39"/>
        <v>30.170964988459151</v>
      </c>
      <c r="G130" s="306">
        <f t="shared" ca="1" si="40"/>
        <v>43.617303864963191</v>
      </c>
      <c r="H130" s="307">
        <f t="shared" ca="1" si="41"/>
        <v>155.36575309588795</v>
      </c>
      <c r="I130" s="304">
        <f t="shared" ca="1" si="42"/>
        <v>161.37219844663747</v>
      </c>
      <c r="J130" s="306">
        <f t="shared" ca="1" si="43"/>
        <v>186.00749963584889</v>
      </c>
      <c r="K130" s="307">
        <f t="shared" ca="1" si="44"/>
        <v>767.80560539392025</v>
      </c>
      <c r="L130" s="304">
        <f t="shared" ca="1" si="29"/>
        <v>790.01534010113039</v>
      </c>
      <c r="M130" s="306">
        <f t="shared" ca="1" si="45"/>
        <v>1.2971020171846703</v>
      </c>
      <c r="N130" s="304">
        <f t="shared" ca="1" si="46"/>
        <v>74.318471182587189</v>
      </c>
      <c r="P130" s="310">
        <f t="shared" ca="1" si="47"/>
        <v>13</v>
      </c>
      <c r="Q130" s="304">
        <f t="shared" ca="1" si="48"/>
        <v>0</v>
      </c>
      <c r="R130" s="306">
        <f t="shared" ca="1" si="49"/>
        <v>0</v>
      </c>
      <c r="S130" s="307">
        <f t="shared" ca="1" si="50"/>
        <v>2.9362999999999984</v>
      </c>
      <c r="T130" s="304">
        <f t="shared" ca="1" si="30"/>
        <v>28.805102999999985</v>
      </c>
      <c r="U130" s="311">
        <f t="shared" ca="1" si="31"/>
        <v>0</v>
      </c>
      <c r="V130" s="306">
        <f t="shared" ca="1" si="32"/>
        <v>1.1344211603788061</v>
      </c>
      <c r="W130" s="304">
        <f t="shared" ca="1" si="33"/>
        <v>60.280231485015634</v>
      </c>
      <c r="Y130" s="314" t="str">
        <f t="shared" ca="1" si="51"/>
        <v/>
      </c>
      <c r="Z130" s="315" t="str">
        <f t="shared" ca="1" si="52"/>
        <v/>
      </c>
      <c r="AA130" s="316" t="str">
        <f t="shared" ca="1" si="53"/>
        <v/>
      </c>
      <c r="AC130" s="310" t="e">
        <f t="shared" ca="1" si="54"/>
        <v>#N/A</v>
      </c>
      <c r="AD130" s="323" t="e">
        <f t="shared" ca="1" si="55"/>
        <v>#N/A</v>
      </c>
      <c r="AE130" s="324">
        <f t="shared" ca="1" si="34"/>
        <v>767.80560539392025</v>
      </c>
      <c r="AG130" s="306">
        <f t="shared" ca="1" si="56"/>
        <v>-30.054361694726438</v>
      </c>
      <c r="AH130" s="304">
        <f t="shared" ca="1" si="57"/>
        <v>-20.609065058695801</v>
      </c>
    </row>
    <row r="131" spans="1:34" x14ac:dyDescent="0.2">
      <c r="A131" s="347">
        <f t="shared" ca="1" si="35"/>
        <v>0.01</v>
      </c>
      <c r="B131" s="304">
        <f t="shared" ca="1" si="36"/>
        <v>5.8699999999999726</v>
      </c>
      <c r="D131" s="306">
        <f t="shared" ca="1" si="37"/>
        <v>-5.5488704765225094</v>
      </c>
      <c r="E131" s="307">
        <f t="shared" ca="1" si="38"/>
        <v>-29.575193261038947</v>
      </c>
      <c r="F131" s="304">
        <f t="shared" ca="1" si="39"/>
        <v>30.091228289869239</v>
      </c>
      <c r="G131" s="306">
        <f t="shared" ca="1" si="40"/>
        <v>43.561815160197966</v>
      </c>
      <c r="H131" s="307">
        <f t="shared" ca="1" si="41"/>
        <v>155.07000116327757</v>
      </c>
      <c r="I131" s="304">
        <f t="shared" ca="1" si="42"/>
        <v>161.0724588526237</v>
      </c>
      <c r="J131" s="306">
        <f t="shared" ca="1" si="43"/>
        <v>186.44339523097469</v>
      </c>
      <c r="K131" s="307">
        <f t="shared" ca="1" si="44"/>
        <v>769.35778416521612</v>
      </c>
      <c r="L131" s="304">
        <f t="shared" ca="1" si="29"/>
        <v>791.62651527147864</v>
      </c>
      <c r="M131" s="306">
        <f t="shared" ca="1" si="45"/>
        <v>1.2969373989947302</v>
      </c>
      <c r="N131" s="304">
        <f t="shared" ca="1" si="46"/>
        <v>74.309039255072534</v>
      </c>
      <c r="P131" s="310">
        <f t="shared" ca="1" si="47"/>
        <v>13</v>
      </c>
      <c r="Q131" s="304">
        <f t="shared" ca="1" si="48"/>
        <v>0</v>
      </c>
      <c r="R131" s="306">
        <f t="shared" ca="1" si="49"/>
        <v>0</v>
      </c>
      <c r="S131" s="307">
        <f t="shared" ca="1" si="50"/>
        <v>2.9362999999999984</v>
      </c>
      <c r="T131" s="304">
        <f t="shared" ca="1" si="30"/>
        <v>28.805102999999985</v>
      </c>
      <c r="U131" s="311">
        <f t="shared" ca="1" si="31"/>
        <v>0</v>
      </c>
      <c r="V131" s="306">
        <f t="shared" ca="1" si="32"/>
        <v>1.1342448312175613</v>
      </c>
      <c r="W131" s="304">
        <f t="shared" ca="1" si="33"/>
        <v>60.047170414480952</v>
      </c>
      <c r="Y131" s="314" t="str">
        <f t="shared" ca="1" si="51"/>
        <v/>
      </c>
      <c r="Z131" s="315" t="str">
        <f t="shared" ca="1" si="52"/>
        <v/>
      </c>
      <c r="AA131" s="316" t="str">
        <f t="shared" ca="1" si="53"/>
        <v/>
      </c>
      <c r="AC131" s="310" t="e">
        <f t="shared" ca="1" si="54"/>
        <v>#N/A</v>
      </c>
      <c r="AD131" s="323" t="e">
        <f t="shared" ca="1" si="55"/>
        <v>#N/A</v>
      </c>
      <c r="AE131" s="324">
        <f t="shared" ca="1" si="34"/>
        <v>769.35778416521612</v>
      </c>
      <c r="AG131" s="306">
        <f t="shared" ca="1" si="56"/>
        <v>-29.974177647700877</v>
      </c>
      <c r="AH131" s="304">
        <f t="shared" ca="1" si="57"/>
        <v>-20.529316311349543</v>
      </c>
    </row>
    <row r="132" spans="1:34" x14ac:dyDescent="0.2">
      <c r="A132" s="347">
        <f t="shared" ca="1" si="35"/>
        <v>0.01</v>
      </c>
      <c r="B132" s="304">
        <f t="shared" ca="1" si="36"/>
        <v>5.8799999999999724</v>
      </c>
      <c r="D132" s="306">
        <f t="shared" ca="1" si="37"/>
        <v>-5.5306579699873266</v>
      </c>
      <c r="E132" s="307">
        <f t="shared" ca="1" si="38"/>
        <v>-29.497865041566087</v>
      </c>
      <c r="F132" s="304">
        <f t="shared" ca="1" si="39"/>
        <v>30.011867979041742</v>
      </c>
      <c r="G132" s="306">
        <f t="shared" ca="1" si="40"/>
        <v>43.506508580498092</v>
      </c>
      <c r="H132" s="307">
        <f t="shared" ca="1" si="41"/>
        <v>154.77502251286191</v>
      </c>
      <c r="I132" s="304">
        <f t="shared" ca="1" si="42"/>
        <v>160.7735173550727</v>
      </c>
      <c r="J132" s="306">
        <f t="shared" ca="1" si="43"/>
        <v>186.87873684967818</v>
      </c>
      <c r="K132" s="307">
        <f t="shared" ca="1" si="44"/>
        <v>770.90700928359684</v>
      </c>
      <c r="L132" s="304">
        <f t="shared" ref="L132:L195" ca="1" si="58">SQRT(pos_x^2+pos_z^2)</f>
        <v>793.23469367464691</v>
      </c>
      <c r="M132" s="306">
        <f t="shared" ca="1" si="45"/>
        <v>1.2967723780095388</v>
      </c>
      <c r="N132" s="304">
        <f t="shared" ca="1" si="46"/>
        <v>74.299584249089975</v>
      </c>
      <c r="P132" s="310">
        <f t="shared" ca="1" si="47"/>
        <v>13</v>
      </c>
      <c r="Q132" s="304">
        <f t="shared" ca="1" si="48"/>
        <v>0</v>
      </c>
      <c r="R132" s="306">
        <f t="shared" ca="1" si="49"/>
        <v>0</v>
      </c>
      <c r="S132" s="307">
        <f t="shared" ca="1" si="50"/>
        <v>2.9362999999999984</v>
      </c>
      <c r="T132" s="304">
        <f t="shared" ref="T132:T195" ca="1" si="59">m*g</f>
        <v>28.805102999999985</v>
      </c>
      <c r="U132" s="311">
        <f t="shared" ref="U132:U195" ca="1" si="60">IF(pos_xz&lt;L_rampe,Poids*COS(Beta),0)</f>
        <v>0</v>
      </c>
      <c r="V132" s="306">
        <f t="shared" ref="V132:V195" ca="1" si="61">Rho_moyen*(20000-Alt_rampe-pos_z)/(20000+Alt_rampe+pos_z)</f>
        <v>1.1340688638728851</v>
      </c>
      <c r="W132" s="304">
        <f t="shared" ref="W132:W195" ca="1" si="62">1/2*Rho*Sref*Cx*vit_xz^2</f>
        <v>59.815207649137115</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770.90700928359684</v>
      </c>
      <c r="AG132" s="306">
        <f t="shared" ca="1" si="56"/>
        <v>-29.894368663723213</v>
      </c>
      <c r="AH132" s="304">
        <f t="shared" ca="1" si="57"/>
        <v>-20.449943947989301</v>
      </c>
    </row>
    <row r="133" spans="1:34" x14ac:dyDescent="0.2">
      <c r="A133" s="347">
        <f t="shared" ref="A133:A196" ca="1" si="64">IF(B132+0.01&lt;=T_ini+ROUNDUP(Temps_fin_propu,0), 0.01, IF(K132&gt;0, 0.1, 0.0001))</f>
        <v>0.01</v>
      </c>
      <c r="B133" s="304">
        <f t="shared" ref="B133:B196" ca="1" si="65">B132+pas</f>
        <v>5.8899999999999721</v>
      </c>
      <c r="D133" s="306">
        <f t="shared" ref="D133:D196" ca="1" si="66">IF(AND(L132&lt;L_rampe,Poussee&lt;Poids*SIN(M132)),0,(-W132+Poussee)/m*COS(M132)-U132/m*SIN(M132))</f>
        <v>-5.5125292732409639</v>
      </c>
      <c r="E133" s="307">
        <f t="shared" ref="E133:E196" ca="1" si="67">IF(AND(L132&lt;L_rampe,Poussee&lt;Poids*SIN(M132)),0,(-W132+Poussee)/m*SIN(M132)+U132/m*COS(M132)-Poids/m)</f>
        <v>-29.420901223894823</v>
      </c>
      <c r="F133" s="304">
        <f t="shared" ref="F133:F196" ca="1" si="68">SQRT(acc_x^2+acc_z^2)</f>
        <v>29.932881715840765</v>
      </c>
      <c r="G133" s="306">
        <f t="shared" ref="G133:G196" ca="1" si="69">G132+acc_x*pas</f>
        <v>43.45138328776568</v>
      </c>
      <c r="H133" s="307">
        <f t="shared" ref="H133:H196" ca="1" si="70">H132+acc_z*pas</f>
        <v>154.48081350062296</v>
      </c>
      <c r="I133" s="304">
        <f t="shared" ref="I133:I196" ca="1" si="71">SQRT(vit_x^2+vit_z^2)</f>
        <v>160.47537022681885</v>
      </c>
      <c r="J133" s="306">
        <f t="shared" ref="J133:J196" ca="1" si="72">J132+0.5*(vit_x+G132)*pas*(K132&gt;=0)</f>
        <v>187.31352630901949</v>
      </c>
      <c r="K133" s="307">
        <f t="shared" ref="K133:K196" ca="1" si="73">K132+0.5*(vit_z+H132)*pas</f>
        <v>772.45328846366431</v>
      </c>
      <c r="L133" s="304">
        <f t="shared" ca="1" si="58"/>
        <v>794.83988324482607</v>
      </c>
      <c r="M133" s="306">
        <f t="shared" ref="M133:M196" ca="1" si="74">IF(AND(L132&gt;L_rampe,G133&gt;0),ATAN2(G133,H133),$M$4)</f>
        <v>1.2966069533147015</v>
      </c>
      <c r="N133" s="304">
        <f t="shared" ref="N133:N196" ca="1" si="75">DEGREES(Beta)</f>
        <v>74.290106112248566</v>
      </c>
      <c r="P133" s="310">
        <f t="shared" ref="P133:P196" ca="1" si="76">MATCH(t-pas/2-T_ini,CdP_t)</f>
        <v>13</v>
      </c>
      <c r="Q133" s="304">
        <f t="shared" ref="Q133:Q196" ca="1" si="77">(INDEX(CdP,2,i_P+1)-INDEX(CdP,2,i_P+0))/(INDEX(CdP,1,i_P+1)-INDEX(CdP,1,i_P+0))*(t-pas/2-T_ini-INDEX(CdP,1,i_P+0))+INDEX(CdP,2,i_P+0)</f>
        <v>0</v>
      </c>
      <c r="R133" s="306">
        <f t="shared" ref="R133:R196" ca="1" si="78">Poussee/(g*ISP)</f>
        <v>0</v>
      </c>
      <c r="S133" s="307">
        <f t="shared" ref="S133:S196" ca="1" si="79">S132-Débit*pas</f>
        <v>2.9362999999999984</v>
      </c>
      <c r="T133" s="304">
        <f t="shared" ca="1" si="59"/>
        <v>28.805102999999985</v>
      </c>
      <c r="U133" s="311">
        <f t="shared" ca="1" si="60"/>
        <v>0</v>
      </c>
      <c r="V133" s="306">
        <f t="shared" ca="1" si="61"/>
        <v>1.1338932573127021</v>
      </c>
      <c r="W133" s="304">
        <f t="shared" ca="1" si="62"/>
        <v>59.584336371730764</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772.45328846366431</v>
      </c>
      <c r="AG133" s="306">
        <f t="shared" ref="AG133:AG196" ca="1" si="85">IF(AND(L132&lt;L_rampe,Poussee&lt;Poids*SIN(M132)),0,(-W132+Poussee)/m-Poids*SIN(M132)/m)</f>
        <v>-29.814932398456172</v>
      </c>
      <c r="AH133" s="304">
        <f t="shared" ref="AH133:AH196" ca="1" si="86">IF(AND(L132&lt;L_rampe,Poussee&lt;Poids*SIN(M132)), g*SIN(M132), (-W132+Poussee)/m)</f>
        <v>-20.370945628558779</v>
      </c>
    </row>
    <row r="134" spans="1:34" x14ac:dyDescent="0.2">
      <c r="A134" s="347">
        <f t="shared" ca="1" si="64"/>
        <v>0.01</v>
      </c>
      <c r="B134" s="304">
        <f t="shared" ca="1" si="65"/>
        <v>5.8999999999999719</v>
      </c>
      <c r="D134" s="306">
        <f t="shared" ca="1" si="66"/>
        <v>-5.4944838624284182</v>
      </c>
      <c r="E134" s="307">
        <f t="shared" ca="1" si="67"/>
        <v>-29.344299546062466</v>
      </c>
      <c r="F134" s="304">
        <f t="shared" ca="1" si="68"/>
        <v>29.854267178470955</v>
      </c>
      <c r="G134" s="306">
        <f t="shared" ca="1" si="69"/>
        <v>43.396438449141392</v>
      </c>
      <c r="H134" s="307">
        <f t="shared" ca="1" si="70"/>
        <v>154.18737050516233</v>
      </c>
      <c r="I134" s="304">
        <f t="shared" ca="1" si="71"/>
        <v>160.17801376395676</v>
      </c>
      <c r="J134" s="306">
        <f t="shared" ca="1" si="72"/>
        <v>187.74776541770402</v>
      </c>
      <c r="K134" s="307">
        <f t="shared" ca="1" si="73"/>
        <v>773.99662938369329</v>
      </c>
      <c r="L134" s="304">
        <f t="shared" ca="1" si="58"/>
        <v>796.44209187903891</v>
      </c>
      <c r="M134" s="306">
        <f t="shared" ca="1" si="74"/>
        <v>1.2964411239923859</v>
      </c>
      <c r="N134" s="304">
        <f t="shared" ca="1" si="75"/>
        <v>74.280604791960357</v>
      </c>
      <c r="P134" s="310">
        <f t="shared" ca="1" si="76"/>
        <v>13</v>
      </c>
      <c r="Q134" s="304">
        <f t="shared" ca="1" si="77"/>
        <v>0</v>
      </c>
      <c r="R134" s="306">
        <f t="shared" ca="1" si="78"/>
        <v>0</v>
      </c>
      <c r="S134" s="307">
        <f t="shared" ca="1" si="79"/>
        <v>2.9362999999999984</v>
      </c>
      <c r="T134" s="304">
        <f t="shared" ca="1" si="59"/>
        <v>28.805102999999985</v>
      </c>
      <c r="U134" s="311">
        <f t="shared" ca="1" si="60"/>
        <v>0</v>
      </c>
      <c r="V134" s="306">
        <f t="shared" ca="1" si="61"/>
        <v>1.1337180105099354</v>
      </c>
      <c r="W134" s="304">
        <f t="shared" ca="1" si="62"/>
        <v>59.354549818355309</v>
      </c>
      <c r="Y134" s="314" t="str">
        <f t="shared" ca="1" si="80"/>
        <v/>
      </c>
      <c r="Z134" s="315" t="str">
        <f t="shared" ca="1" si="81"/>
        <v/>
      </c>
      <c r="AA134" s="316" t="str">
        <f t="shared" ca="1" si="82"/>
        <v/>
      </c>
      <c r="AC134" s="310" t="e">
        <f t="shared" ca="1" si="83"/>
        <v>#N/A</v>
      </c>
      <c r="AD134" s="323" t="e">
        <f t="shared" ca="1" si="84"/>
        <v>#N/A</v>
      </c>
      <c r="AE134" s="324">
        <f t="shared" ca="1" si="63"/>
        <v>773.99662938369329</v>
      </c>
      <c r="AG134" s="306">
        <f t="shared" ca="1" si="85"/>
        <v>-29.735866525884042</v>
      </c>
      <c r="AH134" s="304">
        <f t="shared" ca="1" si="86"/>
        <v>-20.292319031342437</v>
      </c>
    </row>
    <row r="135" spans="1:34" x14ac:dyDescent="0.2">
      <c r="A135" s="347">
        <f t="shared" ca="1" si="64"/>
        <v>0.01</v>
      </c>
      <c r="B135" s="304">
        <f t="shared" ca="1" si="65"/>
        <v>5.9099999999999717</v>
      </c>
      <c r="D135" s="306">
        <f t="shared" ca="1" si="66"/>
        <v>-5.4765212177905598</v>
      </c>
      <c r="E135" s="307">
        <f t="shared" ca="1" si="67"/>
        <v>-29.268057763806254</v>
      </c>
      <c r="F135" s="304">
        <f t="shared" ca="1" si="68"/>
        <v>29.776022063304723</v>
      </c>
      <c r="G135" s="306">
        <f t="shared" ca="1" si="69"/>
        <v>43.341673236963487</v>
      </c>
      <c r="H135" s="307">
        <f t="shared" ca="1" si="70"/>
        <v>153.89468992752427</v>
      </c>
      <c r="I135" s="304">
        <f t="shared" ca="1" si="71"/>
        <v>159.88144428565985</v>
      </c>
      <c r="J135" s="306">
        <f t="shared" ca="1" si="72"/>
        <v>188.18145597613454</v>
      </c>
      <c r="K135" s="307">
        <f t="shared" ca="1" si="73"/>
        <v>775.53703968585671</v>
      </c>
      <c r="L135" s="304">
        <f t="shared" ca="1" si="58"/>
        <v>798.04132743737023</v>
      </c>
      <c r="M135" s="306">
        <f t="shared" ca="1" si="74"/>
        <v>1.2962748891213083</v>
      </c>
      <c r="N135" s="304">
        <f t="shared" ca="1" si="75"/>
        <v>74.271080235439712</v>
      </c>
      <c r="P135" s="310">
        <f t="shared" ca="1" si="76"/>
        <v>13</v>
      </c>
      <c r="Q135" s="304">
        <f t="shared" ca="1" si="77"/>
        <v>0</v>
      </c>
      <c r="R135" s="306">
        <f t="shared" ca="1" si="78"/>
        <v>0</v>
      </c>
      <c r="S135" s="307">
        <f t="shared" ca="1" si="79"/>
        <v>2.9362999999999984</v>
      </c>
      <c r="T135" s="304">
        <f t="shared" ca="1" si="59"/>
        <v>28.805102999999985</v>
      </c>
      <c r="U135" s="311">
        <f t="shared" ca="1" si="60"/>
        <v>0</v>
      </c>
      <c r="V135" s="306">
        <f t="shared" ca="1" si="61"/>
        <v>1.1335431224424763</v>
      </c>
      <c r="W135" s="304">
        <f t="shared" ca="1" si="62"/>
        <v>59.125841277949768</v>
      </c>
      <c r="Y135" s="314" t="str">
        <f t="shared" ca="1" si="80"/>
        <v/>
      </c>
      <c r="Z135" s="315" t="str">
        <f t="shared" ca="1" si="81"/>
        <v/>
      </c>
      <c r="AA135" s="316" t="str">
        <f t="shared" ca="1" si="82"/>
        <v/>
      </c>
      <c r="AC135" s="310" t="e">
        <f t="shared" ca="1" si="83"/>
        <v>#N/A</v>
      </c>
      <c r="AD135" s="323" t="e">
        <f t="shared" ca="1" si="84"/>
        <v>#N/A</v>
      </c>
      <c r="AE135" s="324">
        <f t="shared" ca="1" si="63"/>
        <v>775.53703968585671</v>
      </c>
      <c r="AG135" s="306">
        <f t="shared" ca="1" si="85"/>
        <v>-29.657168738139845</v>
      </c>
      <c r="AH135" s="304">
        <f t="shared" ca="1" si="86"/>
        <v>-20.214061852792746</v>
      </c>
    </row>
    <row r="136" spans="1:34" x14ac:dyDescent="0.2">
      <c r="A136" s="347">
        <f t="shared" ca="1" si="64"/>
        <v>0.01</v>
      </c>
      <c r="B136" s="304">
        <f t="shared" ca="1" si="65"/>
        <v>5.9199999999999715</v>
      </c>
      <c r="D136" s="306">
        <f t="shared" ca="1" si="66"/>
        <v>-5.4586408236256538</v>
      </c>
      <c r="E136" s="307">
        <f t="shared" ca="1" si="67"/>
        <v>-29.192173650397123</v>
      </c>
      <c r="F136" s="304">
        <f t="shared" ca="1" si="68"/>
        <v>29.698144084711636</v>
      </c>
      <c r="G136" s="306">
        <f t="shared" ca="1" si="69"/>
        <v>43.287086828727233</v>
      </c>
      <c r="H136" s="307">
        <f t="shared" ca="1" si="70"/>
        <v>153.60276819102029</v>
      </c>
      <c r="I136" s="304">
        <f t="shared" ca="1" si="71"/>
        <v>159.58565813400051</v>
      </c>
      <c r="J136" s="306">
        <f t="shared" ca="1" si="72"/>
        <v>188.614599776463</v>
      </c>
      <c r="K136" s="307">
        <f t="shared" ca="1" si="73"/>
        <v>777.07452697644942</v>
      </c>
      <c r="L136" s="304">
        <f t="shared" ca="1" si="58"/>
        <v>799.6375977431951</v>
      </c>
      <c r="M136" s="306">
        <f t="shared" ca="1" si="74"/>
        <v>1.2961082477767201</v>
      </c>
      <c r="N136" s="304">
        <f t="shared" ca="1" si="75"/>
        <v>74.261532389702424</v>
      </c>
      <c r="P136" s="310">
        <f t="shared" ca="1" si="76"/>
        <v>13</v>
      </c>
      <c r="Q136" s="304">
        <f t="shared" ca="1" si="77"/>
        <v>0</v>
      </c>
      <c r="R136" s="306">
        <f t="shared" ca="1" si="78"/>
        <v>0</v>
      </c>
      <c r="S136" s="307">
        <f t="shared" ca="1" si="79"/>
        <v>2.9362999999999984</v>
      </c>
      <c r="T136" s="304">
        <f t="shared" ca="1" si="59"/>
        <v>28.805102999999985</v>
      </c>
      <c r="U136" s="311">
        <f t="shared" ca="1" si="60"/>
        <v>0</v>
      </c>
      <c r="V136" s="306">
        <f t="shared" ca="1" si="61"/>
        <v>1.1333685920931551</v>
      </c>
      <c r="W136" s="304">
        <f t="shared" ca="1" si="62"/>
        <v>58.898204091803024</v>
      </c>
      <c r="Y136" s="314" t="str">
        <f t="shared" ca="1" si="80"/>
        <v/>
      </c>
      <c r="Z136" s="315" t="str">
        <f t="shared" ca="1" si="81"/>
        <v/>
      </c>
      <c r="AA136" s="316" t="str">
        <f t="shared" ca="1" si="82"/>
        <v/>
      </c>
      <c r="AC136" s="310" t="e">
        <f t="shared" ca="1" si="83"/>
        <v>#N/A</v>
      </c>
      <c r="AD136" s="323" t="e">
        <f t="shared" ca="1" si="84"/>
        <v>#N/A</v>
      </c>
      <c r="AE136" s="324">
        <f t="shared" ca="1" si="63"/>
        <v>777.07452697644942</v>
      </c>
      <c r="AG136" s="306">
        <f t="shared" ca="1" si="85"/>
        <v>-29.578836745334591</v>
      </c>
      <c r="AH136" s="304">
        <f t="shared" ca="1" si="86"/>
        <v>-20.136171807359535</v>
      </c>
    </row>
    <row r="137" spans="1:34" x14ac:dyDescent="0.2">
      <c r="A137" s="347">
        <f t="shared" ca="1" si="64"/>
        <v>0.01</v>
      </c>
      <c r="B137" s="304">
        <f t="shared" ca="1" si="65"/>
        <v>5.9299999999999713</v>
      </c>
      <c r="D137" s="306">
        <f t="shared" ca="1" si="66"/>
        <v>-5.4408421682513035</v>
      </c>
      <c r="E137" s="307">
        <f t="shared" ca="1" si="67"/>
        <v>-29.116644996475181</v>
      </c>
      <c r="F137" s="304">
        <f t="shared" ca="1" si="68"/>
        <v>29.620630974889522</v>
      </c>
      <c r="G137" s="306">
        <f t="shared" ca="1" si="69"/>
        <v>43.232678407044723</v>
      </c>
      <c r="H137" s="307">
        <f t="shared" ca="1" si="70"/>
        <v>153.31160174105554</v>
      </c>
      <c r="I137" s="304">
        <f t="shared" ca="1" si="71"/>
        <v>159.29065167377203</v>
      </c>
      <c r="J137" s="306">
        <f t="shared" ca="1" si="72"/>
        <v>189.04719860264186</v>
      </c>
      <c r="K137" s="307">
        <f t="shared" ca="1" si="73"/>
        <v>778.60909882610974</v>
      </c>
      <c r="L137" s="304">
        <f t="shared" ca="1" si="58"/>
        <v>801.23091058340572</v>
      </c>
      <c r="M137" s="306">
        <f t="shared" ca="1" si="74"/>
        <v>1.2959411990303935</v>
      </c>
      <c r="N137" s="304">
        <f t="shared" ca="1" si="75"/>
        <v>74.251961201564967</v>
      </c>
      <c r="P137" s="310">
        <f t="shared" ca="1" si="76"/>
        <v>13</v>
      </c>
      <c r="Q137" s="304">
        <f t="shared" ca="1" si="77"/>
        <v>0</v>
      </c>
      <c r="R137" s="306">
        <f t="shared" ca="1" si="78"/>
        <v>0</v>
      </c>
      <c r="S137" s="307">
        <f t="shared" ca="1" si="79"/>
        <v>2.9362999999999984</v>
      </c>
      <c r="T137" s="304">
        <f t="shared" ca="1" si="59"/>
        <v>28.805102999999985</v>
      </c>
      <c r="U137" s="311">
        <f t="shared" ca="1" si="60"/>
        <v>0</v>
      </c>
      <c r="V137" s="306">
        <f t="shared" ca="1" si="61"/>
        <v>1.1331944184497058</v>
      </c>
      <c r="W137" s="304">
        <f t="shared" ca="1" si="62"/>
        <v>58.67163165306328</v>
      </c>
      <c r="Y137" s="314" t="str">
        <f t="shared" ca="1" si="80"/>
        <v/>
      </c>
      <c r="Z137" s="315" t="str">
        <f t="shared" ca="1" si="81"/>
        <v/>
      </c>
      <c r="AA137" s="316" t="str">
        <f t="shared" ca="1" si="82"/>
        <v/>
      </c>
      <c r="AC137" s="310" t="e">
        <f t="shared" ca="1" si="83"/>
        <v>#N/A</v>
      </c>
      <c r="AD137" s="323" t="e">
        <f t="shared" ca="1" si="84"/>
        <v>#N/A</v>
      </c>
      <c r="AE137" s="324">
        <f t="shared" ca="1" si="63"/>
        <v>778.60909882610974</v>
      </c>
      <c r="AG137" s="306">
        <f t="shared" ca="1" si="85"/>
        <v>-29.500868275388328</v>
      </c>
      <c r="AH137" s="304">
        <f t="shared" ca="1" si="86"/>
        <v>-20.058646627321139</v>
      </c>
    </row>
    <row r="138" spans="1:34" x14ac:dyDescent="0.2">
      <c r="A138" s="347">
        <f t="shared" ca="1" si="64"/>
        <v>0.01</v>
      </c>
      <c r="B138" s="304">
        <f t="shared" ca="1" si="65"/>
        <v>5.9399999999999711</v>
      </c>
      <c r="D138" s="306">
        <f t="shared" ca="1" si="66"/>
        <v>-5.4231247439667714</v>
      </c>
      <c r="E138" s="307">
        <f t="shared" ca="1" si="67"/>
        <v>-29.041469609886974</v>
      </c>
      <c r="F138" s="304">
        <f t="shared" ca="1" si="68"/>
        <v>29.543480483697472</v>
      </c>
      <c r="G138" s="306">
        <f t="shared" ca="1" si="69"/>
        <v>43.178447159605057</v>
      </c>
      <c r="H138" s="307">
        <f t="shared" ca="1" si="70"/>
        <v>153.02118704495666</v>
      </c>
      <c r="I138" s="304">
        <f t="shared" ca="1" si="71"/>
        <v>158.99642129231216</v>
      </c>
      <c r="J138" s="306">
        <f t="shared" ca="1" si="72"/>
        <v>189.47925423047511</v>
      </c>
      <c r="K138" s="307">
        <f t="shared" ca="1" si="73"/>
        <v>780.14076277003983</v>
      </c>
      <c r="L138" s="304">
        <f t="shared" ca="1" si="58"/>
        <v>802.82127370863589</v>
      </c>
      <c r="M138" s="306">
        <f t="shared" ca="1" si="74"/>
        <v>1.2957737419506086</v>
      </c>
      <c r="N138" s="304">
        <f t="shared" ca="1" si="75"/>
        <v>74.242366617643697</v>
      </c>
      <c r="P138" s="310">
        <f t="shared" ca="1" si="76"/>
        <v>13</v>
      </c>
      <c r="Q138" s="304">
        <f t="shared" ca="1" si="77"/>
        <v>0</v>
      </c>
      <c r="R138" s="306">
        <f t="shared" ca="1" si="78"/>
        <v>0</v>
      </c>
      <c r="S138" s="307">
        <f t="shared" ca="1" si="79"/>
        <v>2.9362999999999984</v>
      </c>
      <c r="T138" s="304">
        <f t="shared" ca="1" si="59"/>
        <v>28.805102999999985</v>
      </c>
      <c r="U138" s="311">
        <f t="shared" ca="1" si="60"/>
        <v>0</v>
      </c>
      <c r="V138" s="306">
        <f t="shared" ca="1" si="61"/>
        <v>1.1330206005047385</v>
      </c>
      <c r="W138" s="304">
        <f t="shared" ca="1" si="62"/>
        <v>58.446117406253244</v>
      </c>
      <c r="Y138" s="314" t="str">
        <f t="shared" ca="1" si="80"/>
        <v/>
      </c>
      <c r="Z138" s="315" t="str">
        <f t="shared" ca="1" si="81"/>
        <v/>
      </c>
      <c r="AA138" s="316" t="str">
        <f t="shared" ca="1" si="82"/>
        <v/>
      </c>
      <c r="AC138" s="310" t="e">
        <f t="shared" ca="1" si="83"/>
        <v>#N/A</v>
      </c>
      <c r="AD138" s="323" t="e">
        <f t="shared" ca="1" si="84"/>
        <v>#N/A</v>
      </c>
      <c r="AE138" s="324">
        <f t="shared" ca="1" si="63"/>
        <v>780.14076277003983</v>
      </c>
      <c r="AG138" s="306">
        <f t="shared" ca="1" si="85"/>
        <v>-29.423261073862967</v>
      </c>
      <c r="AH138" s="304">
        <f t="shared" ca="1" si="86"/>
        <v>-19.981484062617344</v>
      </c>
    </row>
    <row r="139" spans="1:34" x14ac:dyDescent="0.2">
      <c r="A139" s="347">
        <f t="shared" ca="1" si="64"/>
        <v>0.01</v>
      </c>
      <c r="B139" s="304">
        <f t="shared" ca="1" si="65"/>
        <v>5.9499999999999709</v>
      </c>
      <c r="D139" s="306">
        <f t="shared" ca="1" si="66"/>
        <v>-5.4054880470157567</v>
      </c>
      <c r="E139" s="307">
        <f t="shared" ca="1" si="67"/>
        <v>-28.966645315524616</v>
      </c>
      <c r="F139" s="304">
        <f t="shared" ca="1" si="68"/>
        <v>29.466690378490668</v>
      </c>
      <c r="G139" s="306">
        <f t="shared" ca="1" si="69"/>
        <v>43.124392279134902</v>
      </c>
      <c r="H139" s="307">
        <f t="shared" ca="1" si="70"/>
        <v>152.73152059180143</v>
      </c>
      <c r="I139" s="304">
        <f t="shared" ca="1" si="71"/>
        <v>158.70296339932841</v>
      </c>
      <c r="J139" s="306">
        <f t="shared" ca="1" si="72"/>
        <v>189.91076842766881</v>
      </c>
      <c r="K139" s="307">
        <f t="shared" ca="1" si="73"/>
        <v>781.66952630822357</v>
      </c>
      <c r="L139" s="304">
        <f t="shared" ca="1" si="58"/>
        <v>804.40869483348467</v>
      </c>
      <c r="M139" s="306">
        <f t="shared" ca="1" si="74"/>
        <v>1.2956058756021387</v>
      </c>
      <c r="N139" s="304">
        <f t="shared" ca="1" si="75"/>
        <v>74.232748584354098</v>
      </c>
      <c r="P139" s="310">
        <f t="shared" ca="1" si="76"/>
        <v>13</v>
      </c>
      <c r="Q139" s="304">
        <f t="shared" ca="1" si="77"/>
        <v>0</v>
      </c>
      <c r="R139" s="306">
        <f t="shared" ca="1" si="78"/>
        <v>0</v>
      </c>
      <c r="S139" s="307">
        <f t="shared" ca="1" si="79"/>
        <v>2.9362999999999984</v>
      </c>
      <c r="T139" s="304">
        <f t="shared" ca="1" si="59"/>
        <v>28.805102999999985</v>
      </c>
      <c r="U139" s="311">
        <f t="shared" ca="1" si="60"/>
        <v>0</v>
      </c>
      <c r="V139" s="306">
        <f t="shared" ca="1" si="61"/>
        <v>1.1328471372557067</v>
      </c>
      <c r="W139" s="304">
        <f t="shared" ca="1" si="62"/>
        <v>58.221654846790329</v>
      </c>
      <c r="Y139" s="314" t="str">
        <f t="shared" ca="1" si="80"/>
        <v/>
      </c>
      <c r="Z139" s="315" t="str">
        <f t="shared" ca="1" si="81"/>
        <v/>
      </c>
      <c r="AA139" s="316" t="str">
        <f t="shared" ca="1" si="82"/>
        <v/>
      </c>
      <c r="AC139" s="310" t="e">
        <f t="shared" ca="1" si="83"/>
        <v>#N/A</v>
      </c>
      <c r="AD139" s="323" t="e">
        <f t="shared" ca="1" si="84"/>
        <v>#N/A</v>
      </c>
      <c r="AE139" s="324">
        <f t="shared" ca="1" si="63"/>
        <v>781.66952630822357</v>
      </c>
      <c r="AG139" s="306">
        <f t="shared" ca="1" si="85"/>
        <v>-29.346012903797124</v>
      </c>
      <c r="AH139" s="304">
        <f t="shared" ca="1" si="86"/>
        <v>-19.90468188068429</v>
      </c>
    </row>
    <row r="140" spans="1:34" x14ac:dyDescent="0.2">
      <c r="A140" s="347">
        <f t="shared" ca="1" si="64"/>
        <v>0.01</v>
      </c>
      <c r="B140" s="304">
        <f t="shared" ca="1" si="65"/>
        <v>5.9599999999999707</v>
      </c>
      <c r="D140" s="306">
        <f t="shared" ca="1" si="66"/>
        <v>-5.3879315775495451</v>
      </c>
      <c r="E140" s="307">
        <f t="shared" ca="1" si="67"/>
        <v>-28.89216995516658</v>
      </c>
      <c r="F140" s="304">
        <f t="shared" ca="1" si="68"/>
        <v>29.390258443957006</v>
      </c>
      <c r="G140" s="306">
        <f t="shared" ca="1" si="69"/>
        <v>43.070512963359405</v>
      </c>
      <c r="H140" s="307">
        <f t="shared" ca="1" si="70"/>
        <v>152.44259889224975</v>
      </c>
      <c r="I140" s="304">
        <f t="shared" ca="1" si="71"/>
        <v>158.41027442672478</v>
      </c>
      <c r="J140" s="306">
        <f t="shared" ca="1" si="72"/>
        <v>190.34174295388129</v>
      </c>
      <c r="K140" s="307">
        <f t="shared" ca="1" si="73"/>
        <v>783.19539690564386</v>
      </c>
      <c r="L140" s="304">
        <f t="shared" ca="1" si="58"/>
        <v>805.99318163673718</v>
      </c>
      <c r="M140" s="306">
        <f t="shared" ca="1" si="74"/>
        <v>1.2954375990462361</v>
      </c>
      <c r="N140" s="304">
        <f t="shared" ca="1" si="75"/>
        <v>74.223107047909892</v>
      </c>
      <c r="P140" s="310">
        <f t="shared" ca="1" si="76"/>
        <v>13</v>
      </c>
      <c r="Q140" s="304">
        <f t="shared" ca="1" si="77"/>
        <v>0</v>
      </c>
      <c r="R140" s="306">
        <f t="shared" ca="1" si="78"/>
        <v>0</v>
      </c>
      <c r="S140" s="307">
        <f t="shared" ca="1" si="79"/>
        <v>2.9362999999999984</v>
      </c>
      <c r="T140" s="304">
        <f t="shared" ca="1" si="59"/>
        <v>28.805102999999985</v>
      </c>
      <c r="U140" s="311">
        <f t="shared" ca="1" si="60"/>
        <v>0</v>
      </c>
      <c r="V140" s="306">
        <f t="shared" ca="1" si="61"/>
        <v>1.1326740277048775</v>
      </c>
      <c r="W140" s="304">
        <f t="shared" ca="1" si="62"/>
        <v>57.99823752051222</v>
      </c>
      <c r="Y140" s="314" t="str">
        <f t="shared" ca="1" si="80"/>
        <v/>
      </c>
      <c r="Z140" s="315" t="str">
        <f t="shared" ca="1" si="81"/>
        <v/>
      </c>
      <c r="AA140" s="316" t="str">
        <f t="shared" ca="1" si="82"/>
        <v/>
      </c>
      <c r="AC140" s="310" t="e">
        <f t="shared" ca="1" si="83"/>
        <v>#N/A</v>
      </c>
      <c r="AD140" s="323" t="e">
        <f t="shared" ca="1" si="84"/>
        <v>#N/A</v>
      </c>
      <c r="AE140" s="324">
        <f t="shared" ca="1" si="63"/>
        <v>783.19539690564386</v>
      </c>
      <c r="AG140" s="306">
        <f t="shared" ca="1" si="85"/>
        <v>-29.269121545542561</v>
      </c>
      <c r="AH140" s="304">
        <f t="shared" ca="1" si="86"/>
        <v>-19.828237866291033</v>
      </c>
    </row>
    <row r="141" spans="1:34" x14ac:dyDescent="0.2">
      <c r="A141" s="347">
        <f t="shared" ca="1" si="64"/>
        <v>0.01</v>
      </c>
      <c r="B141" s="304">
        <f t="shared" ca="1" si="65"/>
        <v>5.9699999999999704</v>
      </c>
      <c r="D141" s="306">
        <f t="shared" ca="1" si="66"/>
        <v>-5.3704548395905967</v>
      </c>
      <c r="E141" s="307">
        <f t="shared" ca="1" si="67"/>
        <v>-28.818041387320299</v>
      </c>
      <c r="F141" s="304">
        <f t="shared" ca="1" si="68"/>
        <v>29.314182481955516</v>
      </c>
      <c r="G141" s="306">
        <f t="shared" ca="1" si="69"/>
        <v>43.016808414963499</v>
      </c>
      <c r="H141" s="307">
        <f t="shared" ca="1" si="70"/>
        <v>152.15441847837656</v>
      </c>
      <c r="I141" s="304">
        <f t="shared" ca="1" si="71"/>
        <v>158.11835082843047</v>
      </c>
      <c r="J141" s="306">
        <f t="shared" ca="1" si="72"/>
        <v>190.77217956077291</v>
      </c>
      <c r="K141" s="307">
        <f t="shared" ca="1" si="73"/>
        <v>784.71838199249703</v>
      </c>
      <c r="L141" s="304">
        <f t="shared" ca="1" si="58"/>
        <v>807.57474176158473</v>
      </c>
      <c r="M141" s="306">
        <f t="shared" ca="1" si="74"/>
        <v>1.2952689113406191</v>
      </c>
      <c r="N141" s="304">
        <f t="shared" ca="1" si="75"/>
        <v>74.213441954322292</v>
      </c>
      <c r="P141" s="310">
        <f t="shared" ca="1" si="76"/>
        <v>13</v>
      </c>
      <c r="Q141" s="304">
        <f t="shared" ca="1" si="77"/>
        <v>0</v>
      </c>
      <c r="R141" s="306">
        <f t="shared" ca="1" si="78"/>
        <v>0</v>
      </c>
      <c r="S141" s="307">
        <f t="shared" ca="1" si="79"/>
        <v>2.9362999999999984</v>
      </c>
      <c r="T141" s="304">
        <f t="shared" ca="1" si="59"/>
        <v>28.805102999999985</v>
      </c>
      <c r="U141" s="311">
        <f t="shared" ca="1" si="60"/>
        <v>0</v>
      </c>
      <c r="V141" s="306">
        <f t="shared" ca="1" si="61"/>
        <v>1.1325012708593016</v>
      </c>
      <c r="W141" s="304">
        <f t="shared" ca="1" si="62"/>
        <v>57.775859023207609</v>
      </c>
      <c r="Y141" s="314" t="str">
        <f t="shared" ca="1" si="80"/>
        <v/>
      </c>
      <c r="Z141" s="315" t="str">
        <f t="shared" ca="1" si="81"/>
        <v/>
      </c>
      <c r="AA141" s="316" t="str">
        <f t="shared" ca="1" si="82"/>
        <v/>
      </c>
      <c r="AC141" s="310" t="e">
        <f t="shared" ca="1" si="83"/>
        <v>#N/A</v>
      </c>
      <c r="AD141" s="323" t="e">
        <f t="shared" ca="1" si="84"/>
        <v>#N/A</v>
      </c>
      <c r="AE141" s="324">
        <f t="shared" ca="1" si="63"/>
        <v>784.71838199249703</v>
      </c>
      <c r="AG141" s="306">
        <f t="shared" ca="1" si="85"/>
        <v>-29.192584796602553</v>
      </c>
      <c r="AH141" s="304">
        <f t="shared" ca="1" si="86"/>
        <v>-19.752149821378012</v>
      </c>
    </row>
    <row r="142" spans="1:34" x14ac:dyDescent="0.2">
      <c r="A142" s="347">
        <f t="shared" ca="1" si="64"/>
        <v>0.01</v>
      </c>
      <c r="B142" s="304">
        <f t="shared" ca="1" si="65"/>
        <v>5.9799999999999702</v>
      </c>
      <c r="D142" s="306">
        <f t="shared" ca="1" si="66"/>
        <v>-5.3530573409964912</v>
      </c>
      <c r="E142" s="307">
        <f t="shared" ca="1" si="67"/>
        <v>-28.744257487066456</v>
      </c>
      <c r="F142" s="304">
        <f t="shared" ca="1" si="68"/>
        <v>29.238460311356555</v>
      </c>
      <c r="G142" s="306">
        <f t="shared" ca="1" si="69"/>
        <v>42.963277841553534</v>
      </c>
      <c r="H142" s="307">
        <f t="shared" ca="1" si="70"/>
        <v>151.8669759035059</v>
      </c>
      <c r="I142" s="304">
        <f t="shared" ca="1" si="71"/>
        <v>157.82718908022969</v>
      </c>
      <c r="J142" s="306">
        <f t="shared" ca="1" si="72"/>
        <v>191.2020799920555</v>
      </c>
      <c r="K142" s="307">
        <f t="shared" ca="1" si="73"/>
        <v>786.23848896440643</v>
      </c>
      <c r="L142" s="304">
        <f t="shared" ca="1" si="58"/>
        <v>809.15338281584252</v>
      </c>
      <c r="M142" s="306">
        <f t="shared" ca="1" si="74"/>
        <v>1.2950998115394565</v>
      </c>
      <c r="N142" s="304">
        <f t="shared" ca="1" si="75"/>
        <v>74.20375324939917</v>
      </c>
      <c r="P142" s="310">
        <f t="shared" ca="1" si="76"/>
        <v>13</v>
      </c>
      <c r="Q142" s="304">
        <f t="shared" ca="1" si="77"/>
        <v>0</v>
      </c>
      <c r="R142" s="306">
        <f t="shared" ca="1" si="78"/>
        <v>0</v>
      </c>
      <c r="S142" s="307">
        <f t="shared" ca="1" si="79"/>
        <v>2.9362999999999984</v>
      </c>
      <c r="T142" s="304">
        <f t="shared" ca="1" si="59"/>
        <v>28.805102999999985</v>
      </c>
      <c r="U142" s="311">
        <f t="shared" ca="1" si="60"/>
        <v>0</v>
      </c>
      <c r="V142" s="306">
        <f t="shared" ca="1" si="61"/>
        <v>1.1323288657307828</v>
      </c>
      <c r="W142" s="304">
        <f t="shared" ca="1" si="62"/>
        <v>57.554513000151893</v>
      </c>
      <c r="Y142" s="314" t="str">
        <f t="shared" ca="1" si="80"/>
        <v/>
      </c>
      <c r="Z142" s="315" t="str">
        <f t="shared" ca="1" si="81"/>
        <v/>
      </c>
      <c r="AA142" s="316" t="str">
        <f t="shared" ca="1" si="82"/>
        <v/>
      </c>
      <c r="AC142" s="310" t="e">
        <f t="shared" ca="1" si="83"/>
        <v>#N/A</v>
      </c>
      <c r="AD142" s="323" t="e">
        <f t="shared" ca="1" si="84"/>
        <v>#N/A</v>
      </c>
      <c r="AE142" s="324">
        <f t="shared" ca="1" si="63"/>
        <v>786.23848896440643</v>
      </c>
      <c r="AG142" s="306">
        <f t="shared" ca="1" si="85"/>
        <v>-29.116400471471945</v>
      </c>
      <c r="AH142" s="304">
        <f t="shared" ca="1" si="86"/>
        <v>-19.676415564897198</v>
      </c>
    </row>
    <row r="143" spans="1:34" x14ac:dyDescent="0.2">
      <c r="A143" s="347">
        <f t="shared" ca="1" si="64"/>
        <v>0.01</v>
      </c>
      <c r="B143" s="304">
        <f t="shared" ca="1" si="65"/>
        <v>5.98999999999997</v>
      </c>
      <c r="D143" s="306">
        <f t="shared" ca="1" si="66"/>
        <v>-5.3357385934242929</v>
      </c>
      <c r="E143" s="307">
        <f t="shared" ca="1" si="67"/>
        <v>-28.670816145904951</v>
      </c>
      <c r="F143" s="304">
        <f t="shared" ca="1" si="68"/>
        <v>29.163089767883676</v>
      </c>
      <c r="G143" s="306">
        <f t="shared" ca="1" si="69"/>
        <v>42.909920455619293</v>
      </c>
      <c r="H143" s="307">
        <f t="shared" ca="1" si="70"/>
        <v>151.58026774204686</v>
      </c>
      <c r="I143" s="304">
        <f t="shared" ca="1" si="71"/>
        <v>157.53678567959352</v>
      </c>
      <c r="J143" s="306">
        <f t="shared" ca="1" si="72"/>
        <v>191.63144598354137</v>
      </c>
      <c r="K143" s="307">
        <f t="shared" ca="1" si="73"/>
        <v>787.75572518263414</v>
      </c>
      <c r="L143" s="304">
        <f t="shared" ca="1" si="58"/>
        <v>810.72911237216636</v>
      </c>
      <c r="M143" s="306">
        <f t="shared" ca="1" si="74"/>
        <v>1.2949302986933549</v>
      </c>
      <c r="N143" s="304">
        <f t="shared" ca="1" si="75"/>
        <v>74.194040878744289</v>
      </c>
      <c r="P143" s="310">
        <f t="shared" ca="1" si="76"/>
        <v>13</v>
      </c>
      <c r="Q143" s="304">
        <f t="shared" ca="1" si="77"/>
        <v>0</v>
      </c>
      <c r="R143" s="306">
        <f t="shared" ca="1" si="78"/>
        <v>0</v>
      </c>
      <c r="S143" s="307">
        <f t="shared" ca="1" si="79"/>
        <v>2.9362999999999984</v>
      </c>
      <c r="T143" s="304">
        <f t="shared" ca="1" si="59"/>
        <v>28.805102999999985</v>
      </c>
      <c r="U143" s="311">
        <f t="shared" ca="1" si="60"/>
        <v>0</v>
      </c>
      <c r="V143" s="306">
        <f t="shared" ca="1" si="61"/>
        <v>1.1321568113358476</v>
      </c>
      <c r="W143" s="304">
        <f t="shared" ca="1" si="62"/>
        <v>57.33419314564803</v>
      </c>
      <c r="Y143" s="314" t="str">
        <f t="shared" ca="1" si="80"/>
        <v/>
      </c>
      <c r="Z143" s="315" t="str">
        <f t="shared" ca="1" si="81"/>
        <v/>
      </c>
      <c r="AA143" s="316" t="str">
        <f t="shared" ca="1" si="82"/>
        <v/>
      </c>
      <c r="AC143" s="310" t="e">
        <f t="shared" ca="1" si="83"/>
        <v>#N/A</v>
      </c>
      <c r="AD143" s="323" t="e">
        <f t="shared" ca="1" si="84"/>
        <v>#N/A</v>
      </c>
      <c r="AE143" s="324">
        <f t="shared" ca="1" si="63"/>
        <v>787.75572518263414</v>
      </c>
      <c r="AG143" s="306">
        <f t="shared" ca="1" si="85"/>
        <v>-29.040566401478952</v>
      </c>
      <c r="AH143" s="304">
        <f t="shared" ca="1" si="86"/>
        <v>-19.601032932653993</v>
      </c>
    </row>
    <row r="144" spans="1:34" x14ac:dyDescent="0.2">
      <c r="A144" s="347">
        <f t="shared" ca="1" si="64"/>
        <v>0.01</v>
      </c>
      <c r="B144" s="304">
        <f t="shared" ca="1" si="65"/>
        <v>5.9999999999999698</v>
      </c>
      <c r="D144" s="306">
        <f t="shared" ca="1" si="66"/>
        <v>-5.3184981122952752</v>
      </c>
      <c r="E144" s="307">
        <f t="shared" ca="1" si="67"/>
        <v>-28.597715271602532</v>
      </c>
      <c r="F144" s="304">
        <f t="shared" ca="1" si="68"/>
        <v>29.088068703957248</v>
      </c>
      <c r="G144" s="306">
        <f t="shared" ca="1" si="69"/>
        <v>42.85673547449634</v>
      </c>
      <c r="H144" s="307">
        <f t="shared" ca="1" si="70"/>
        <v>151.29429058933084</v>
      </c>
      <c r="I144" s="304">
        <f t="shared" ca="1" si="71"/>
        <v>157.24713714551319</v>
      </c>
      <c r="J144" s="306">
        <f t="shared" ca="1" si="72"/>
        <v>192.06027926319194</v>
      </c>
      <c r="K144" s="307">
        <f t="shared" ca="1" si="73"/>
        <v>789.27009797429105</v>
      </c>
      <c r="L144" s="304">
        <f t="shared" ca="1" si="58"/>
        <v>812.301937968267</v>
      </c>
      <c r="M144" s="306">
        <f t="shared" ca="1" si="74"/>
        <v>1.294760371849343</v>
      </c>
      <c r="N144" s="304">
        <f t="shared" ca="1" si="75"/>
        <v>74.184304787756432</v>
      </c>
      <c r="P144" s="310">
        <f t="shared" ca="1" si="76"/>
        <v>13</v>
      </c>
      <c r="Q144" s="304">
        <f t="shared" ca="1" si="77"/>
        <v>0</v>
      </c>
      <c r="R144" s="306">
        <f t="shared" ca="1" si="78"/>
        <v>0</v>
      </c>
      <c r="S144" s="307">
        <f t="shared" ca="1" si="79"/>
        <v>2.9362999999999984</v>
      </c>
      <c r="T144" s="304">
        <f t="shared" ca="1" si="59"/>
        <v>28.805102999999985</v>
      </c>
      <c r="U144" s="311">
        <f t="shared" ca="1" si="60"/>
        <v>0</v>
      </c>
      <c r="V144" s="306">
        <f t="shared" ca="1" si="61"/>
        <v>1.1319851066957163</v>
      </c>
      <c r="W144" s="304">
        <f t="shared" ca="1" si="62"/>
        <v>57.114893202572517</v>
      </c>
      <c r="Y144" s="314" t="str">
        <f t="shared" ca="1" si="80"/>
        <v/>
      </c>
      <c r="Z144" s="315" t="str">
        <f t="shared" ca="1" si="81"/>
        <v/>
      </c>
      <c r="AA144" s="316" t="str">
        <f t="shared" ca="1" si="82"/>
        <v/>
      </c>
      <c r="AC144" s="310">
        <f t="shared" ca="1" si="83"/>
        <v>5.9999999999999698</v>
      </c>
      <c r="AD144" s="323">
        <f t="shared" ca="1" si="84"/>
        <v>192.06027926319194</v>
      </c>
      <c r="AE144" s="324">
        <f t="shared" ca="1" si="63"/>
        <v>789.27009797429105</v>
      </c>
      <c r="AG144" s="306">
        <f t="shared" ca="1" si="85"/>
        <v>-28.965080434628675</v>
      </c>
      <c r="AH144" s="304">
        <f t="shared" ca="1" si="86"/>
        <v>-19.525999777150858</v>
      </c>
    </row>
    <row r="145" spans="1:34" x14ac:dyDescent="0.2">
      <c r="A145" s="347">
        <f t="shared" ca="1" si="64"/>
        <v>0.01</v>
      </c>
      <c r="B145" s="304">
        <f t="shared" ca="1" si="65"/>
        <v>6.0099999999999696</v>
      </c>
      <c r="D145" s="306">
        <f t="shared" ca="1" si="66"/>
        <v>-5.3013354167600761</v>
      </c>
      <c r="E145" s="307">
        <f t="shared" ca="1" si="67"/>
        <v>-28.52495278804215</v>
      </c>
      <c r="F145" s="304">
        <f t="shared" ca="1" si="68"/>
        <v>29.013394988539833</v>
      </c>
      <c r="G145" s="306">
        <f t="shared" ca="1" si="69"/>
        <v>42.803722120328736</v>
      </c>
      <c r="H145" s="307">
        <f t="shared" ca="1" si="70"/>
        <v>151.00904106145043</v>
      </c>
      <c r="I145" s="304">
        <f t="shared" ca="1" si="71"/>
        <v>156.95824001833464</v>
      </c>
      <c r="J145" s="306">
        <f t="shared" ca="1" si="72"/>
        <v>192.48858155116608</v>
      </c>
      <c r="K145" s="307">
        <f t="shared" ca="1" si="73"/>
        <v>790.78161463254492</v>
      </c>
      <c r="L145" s="304">
        <f t="shared" ca="1" si="58"/>
        <v>813.87186710712319</v>
      </c>
      <c r="M145" s="306">
        <f t="shared" ca="1" si="74"/>
        <v>1.2945900300508582</v>
      </c>
      <c r="N145" s="304">
        <f t="shared" ca="1" si="75"/>
        <v>74.174544921628581</v>
      </c>
      <c r="P145" s="310">
        <f t="shared" ca="1" si="76"/>
        <v>13</v>
      </c>
      <c r="Q145" s="304">
        <f t="shared" ca="1" si="77"/>
        <v>0</v>
      </c>
      <c r="R145" s="306">
        <f t="shared" ca="1" si="78"/>
        <v>0</v>
      </c>
      <c r="S145" s="307">
        <f t="shared" ca="1" si="79"/>
        <v>2.9362999999999984</v>
      </c>
      <c r="T145" s="304">
        <f t="shared" ca="1" si="59"/>
        <v>28.805102999999985</v>
      </c>
      <c r="U145" s="311">
        <f t="shared" ca="1" si="60"/>
        <v>0</v>
      </c>
      <c r="V145" s="306">
        <f t="shared" ca="1" si="61"/>
        <v>1.1318137508362751</v>
      </c>
      <c r="W145" s="304">
        <f t="shared" ca="1" si="62"/>
        <v>56.896606961925912</v>
      </c>
      <c r="Y145" s="314" t="str">
        <f t="shared" ca="1" si="80"/>
        <v/>
      </c>
      <c r="Z145" s="315" t="str">
        <f t="shared" ca="1" si="81"/>
        <v/>
      </c>
      <c r="AA145" s="316" t="str">
        <f t="shared" ca="1" si="82"/>
        <v/>
      </c>
      <c r="AC145" s="310" t="e">
        <f t="shared" ca="1" si="83"/>
        <v>#N/A</v>
      </c>
      <c r="AD145" s="323" t="e">
        <f t="shared" ca="1" si="84"/>
        <v>#N/A</v>
      </c>
      <c r="AE145" s="324">
        <f t="shared" ca="1" si="63"/>
        <v>790.78161463254492</v>
      </c>
      <c r="AG145" s="306">
        <f t="shared" ca="1" si="85"/>
        <v>-28.889940435448374</v>
      </c>
      <c r="AH145" s="304">
        <f t="shared" ca="1" si="86"/>
        <v>-19.451313967432672</v>
      </c>
    </row>
    <row r="146" spans="1:34" x14ac:dyDescent="0.2">
      <c r="A146" s="347">
        <f t="shared" ca="1" si="64"/>
        <v>0.01</v>
      </c>
      <c r="B146" s="304">
        <f t="shared" ca="1" si="65"/>
        <v>6.0199999999999694</v>
      </c>
      <c r="D146" s="306">
        <f t="shared" ca="1" si="66"/>
        <v>-5.2842500296641752</v>
      </c>
      <c r="E146" s="307">
        <f t="shared" ca="1" si="67"/>
        <v>-28.452526635073852</v>
      </c>
      <c r="F146" s="304">
        <f t="shared" ca="1" si="68"/>
        <v>28.939066506983131</v>
      </c>
      <c r="G146" s="306">
        <f t="shared" ca="1" si="69"/>
        <v>42.750879620032094</v>
      </c>
      <c r="H146" s="307">
        <f t="shared" ca="1" si="70"/>
        <v>150.72451579509971</v>
      </c>
      <c r="I146" s="304">
        <f t="shared" ca="1" si="71"/>
        <v>156.67009085959495</v>
      </c>
      <c r="J146" s="306">
        <f t="shared" ca="1" si="72"/>
        <v>192.91635455986787</v>
      </c>
      <c r="K146" s="307">
        <f t="shared" ca="1" si="73"/>
        <v>792.29028241682772</v>
      </c>
      <c r="L146" s="304">
        <f t="shared" ca="1" si="58"/>
        <v>815.43890725719314</v>
      </c>
      <c r="M146" s="306">
        <f t="shared" ca="1" si="74"/>
        <v>1.2944192723377312</v>
      </c>
      <c r="N146" s="304">
        <f t="shared" ca="1" si="75"/>
        <v>74.164761225347107</v>
      </c>
      <c r="P146" s="310">
        <f t="shared" ca="1" si="76"/>
        <v>13</v>
      </c>
      <c r="Q146" s="304">
        <f t="shared" ca="1" si="77"/>
        <v>0</v>
      </c>
      <c r="R146" s="306">
        <f t="shared" ca="1" si="78"/>
        <v>0</v>
      </c>
      <c r="S146" s="307">
        <f t="shared" ca="1" si="79"/>
        <v>2.9362999999999984</v>
      </c>
      <c r="T146" s="304">
        <f t="shared" ca="1" si="59"/>
        <v>28.805102999999985</v>
      </c>
      <c r="U146" s="311">
        <f t="shared" ca="1" si="60"/>
        <v>0</v>
      </c>
      <c r="V146" s="306">
        <f t="shared" ca="1" si="61"/>
        <v>1.1316427427880449</v>
      </c>
      <c r="W146" s="304">
        <f t="shared" ca="1" si="62"/>
        <v>56.679328262388523</v>
      </c>
      <c r="Y146" s="314" t="str">
        <f t="shared" ca="1" si="80"/>
        <v/>
      </c>
      <c r="Z146" s="315" t="str">
        <f t="shared" ca="1" si="81"/>
        <v/>
      </c>
      <c r="AA146" s="316" t="str">
        <f t="shared" ca="1" si="82"/>
        <v/>
      </c>
      <c r="AC146" s="310" t="e">
        <f t="shared" ca="1" si="83"/>
        <v>#N/A</v>
      </c>
      <c r="AD146" s="323" t="e">
        <f t="shared" ca="1" si="84"/>
        <v>#N/A</v>
      </c>
      <c r="AE146" s="324">
        <f t="shared" ca="1" si="63"/>
        <v>792.29028241682772</v>
      </c>
      <c r="AG146" s="306">
        <f t="shared" ca="1" si="85"/>
        <v>-28.81514428483429</v>
      </c>
      <c r="AH146" s="304">
        <f t="shared" ca="1" si="86"/>
        <v>-19.376973388933674</v>
      </c>
    </row>
    <row r="147" spans="1:34" x14ac:dyDescent="0.2">
      <c r="A147" s="347">
        <f t="shared" ca="1" si="64"/>
        <v>0.01</v>
      </c>
      <c r="B147" s="304">
        <f t="shared" ca="1" si="65"/>
        <v>6.0299999999999692</v>
      </c>
      <c r="D147" s="306">
        <f t="shared" ca="1" si="66"/>
        <v>-5.2672414775137817</v>
      </c>
      <c r="E147" s="307">
        <f t="shared" ca="1" si="67"/>
        <v>-28.38043476836733</v>
      </c>
      <c r="F147" s="304">
        <f t="shared" ca="1" si="68"/>
        <v>28.865081160876628</v>
      </c>
      <c r="G147" s="306">
        <f t="shared" ca="1" si="69"/>
        <v>42.698207205256956</v>
      </c>
      <c r="H147" s="307">
        <f t="shared" ca="1" si="70"/>
        <v>150.44071144741602</v>
      </c>
      <c r="I147" s="304">
        <f t="shared" ca="1" si="71"/>
        <v>156.38268625186021</v>
      </c>
      <c r="J147" s="306">
        <f t="shared" ca="1" si="72"/>
        <v>193.3435999939943</v>
      </c>
      <c r="K147" s="307">
        <f t="shared" ca="1" si="73"/>
        <v>793.79610855304031</v>
      </c>
      <c r="L147" s="304">
        <f t="shared" ca="1" si="58"/>
        <v>817.00306585262445</v>
      </c>
      <c r="M147" s="306">
        <f t="shared" ca="1" si="74"/>
        <v>1.2942480977461728</v>
      </c>
      <c r="N147" s="304">
        <f t="shared" ca="1" si="75"/>
        <v>74.154953643690931</v>
      </c>
      <c r="P147" s="310">
        <f t="shared" ca="1" si="76"/>
        <v>13</v>
      </c>
      <c r="Q147" s="304">
        <f t="shared" ca="1" si="77"/>
        <v>0</v>
      </c>
      <c r="R147" s="306">
        <f t="shared" ca="1" si="78"/>
        <v>0</v>
      </c>
      <c r="S147" s="307">
        <f t="shared" ca="1" si="79"/>
        <v>2.9362999999999984</v>
      </c>
      <c r="T147" s="304">
        <f t="shared" ca="1" si="59"/>
        <v>28.805102999999985</v>
      </c>
      <c r="U147" s="311">
        <f t="shared" ca="1" si="60"/>
        <v>0</v>
      </c>
      <c r="V147" s="306">
        <f t="shared" ca="1" si="61"/>
        <v>1.1314720815861514</v>
      </c>
      <c r="W147" s="304">
        <f t="shared" ca="1" si="62"/>
        <v>56.463050989880649</v>
      </c>
      <c r="Y147" s="314" t="str">
        <f t="shared" ca="1" si="80"/>
        <v/>
      </c>
      <c r="Z147" s="315" t="str">
        <f t="shared" ca="1" si="81"/>
        <v/>
      </c>
      <c r="AA147" s="316" t="str">
        <f t="shared" ca="1" si="82"/>
        <v/>
      </c>
      <c r="AC147" s="310" t="e">
        <f t="shared" ca="1" si="83"/>
        <v>#N/A</v>
      </c>
      <c r="AD147" s="323" t="e">
        <f t="shared" ca="1" si="84"/>
        <v>#N/A</v>
      </c>
      <c r="AE147" s="324">
        <f t="shared" ca="1" si="63"/>
        <v>793.79610855304031</v>
      </c>
      <c r="AG147" s="306">
        <f t="shared" ca="1" si="85"/>
        <v>-28.740689879900231</v>
      </c>
      <c r="AH147" s="304">
        <f t="shared" ca="1" si="86"/>
        <v>-19.302975943326143</v>
      </c>
    </row>
    <row r="148" spans="1:34" x14ac:dyDescent="0.2">
      <c r="A148" s="347">
        <f t="shared" ca="1" si="64"/>
        <v>0.01</v>
      </c>
      <c r="B148" s="304">
        <f t="shared" ca="1" si="65"/>
        <v>6.0399999999999689</v>
      </c>
      <c r="D148" s="306">
        <f t="shared" ca="1" si="66"/>
        <v>-5.2503092904420594</v>
      </c>
      <c r="E148" s="307">
        <f t="shared" ca="1" si="67"/>
        <v>-28.308675159266045</v>
      </c>
      <c r="F148" s="304">
        <f t="shared" ca="1" si="68"/>
        <v>28.791436867897868</v>
      </c>
      <c r="G148" s="306">
        <f t="shared" ca="1" si="69"/>
        <v>42.645704112352533</v>
      </c>
      <c r="H148" s="307">
        <f t="shared" ca="1" si="70"/>
        <v>150.15762469582336</v>
      </c>
      <c r="I148" s="304">
        <f t="shared" ca="1" si="71"/>
        <v>156.0960227985648</v>
      </c>
      <c r="J148" s="306">
        <f t="shared" ca="1" si="72"/>
        <v>193.77031955058234</v>
      </c>
      <c r="K148" s="307">
        <f t="shared" ca="1" si="73"/>
        <v>795.29910023375646</v>
      </c>
      <c r="L148" s="304">
        <f t="shared" ca="1" si="58"/>
        <v>818.56435029346187</v>
      </c>
      <c r="M148" s="306">
        <f t="shared" ca="1" si="74"/>
        <v>1.2940765053087584</v>
      </c>
      <c r="N148" s="304">
        <f t="shared" ca="1" si="75"/>
        <v>74.145122121230727</v>
      </c>
      <c r="P148" s="310">
        <f t="shared" ca="1" si="76"/>
        <v>13</v>
      </c>
      <c r="Q148" s="304">
        <f t="shared" ca="1" si="77"/>
        <v>0</v>
      </c>
      <c r="R148" s="306">
        <f t="shared" ca="1" si="78"/>
        <v>0</v>
      </c>
      <c r="S148" s="307">
        <f t="shared" ca="1" si="79"/>
        <v>2.9362999999999984</v>
      </c>
      <c r="T148" s="304">
        <f t="shared" ca="1" si="59"/>
        <v>28.805102999999985</v>
      </c>
      <c r="U148" s="311">
        <f t="shared" ca="1" si="60"/>
        <v>0</v>
      </c>
      <c r="V148" s="306">
        <f t="shared" ca="1" si="61"/>
        <v>1.1313017662703013</v>
      </c>
      <c r="W148" s="304">
        <f t="shared" ca="1" si="62"/>
        <v>56.247769077127955</v>
      </c>
      <c r="Y148" s="314" t="str">
        <f t="shared" ca="1" si="80"/>
        <v/>
      </c>
      <c r="Z148" s="315" t="str">
        <f t="shared" ca="1" si="81"/>
        <v/>
      </c>
      <c r="AA148" s="316" t="str">
        <f t="shared" ca="1" si="82"/>
        <v/>
      </c>
      <c r="AC148" s="310" t="e">
        <f t="shared" ca="1" si="83"/>
        <v>#N/A</v>
      </c>
      <c r="AD148" s="323" t="e">
        <f t="shared" ca="1" si="84"/>
        <v>#N/A</v>
      </c>
      <c r="AE148" s="324">
        <f t="shared" ca="1" si="63"/>
        <v>795.29910023375646</v>
      </c>
      <c r="AG148" s="306">
        <f t="shared" ca="1" si="85"/>
        <v>-28.666575133827717</v>
      </c>
      <c r="AH148" s="304">
        <f t="shared" ca="1" si="86"/>
        <v>-19.229319548370629</v>
      </c>
    </row>
    <row r="149" spans="1:34" x14ac:dyDescent="0.2">
      <c r="A149" s="347">
        <f t="shared" ca="1" si="64"/>
        <v>0.01</v>
      </c>
      <c r="B149" s="304">
        <f t="shared" ca="1" si="65"/>
        <v>6.0499999999999687</v>
      </c>
      <c r="D149" s="306">
        <f t="shared" ca="1" si="66"/>
        <v>-5.2334530021757537</v>
      </c>
      <c r="E149" s="307">
        <f t="shared" ca="1" si="67"/>
        <v>-28.23724579464298</v>
      </c>
      <c r="F149" s="304">
        <f t="shared" ca="1" si="68"/>
        <v>28.718131561664404</v>
      </c>
      <c r="G149" s="306">
        <f t="shared" ca="1" si="69"/>
        <v>42.593369582330773</v>
      </c>
      <c r="H149" s="307">
        <f t="shared" ca="1" si="70"/>
        <v>149.87525223787694</v>
      </c>
      <c r="I149" s="304">
        <f t="shared" ca="1" si="71"/>
        <v>155.81009712385219</v>
      </c>
      <c r="J149" s="306">
        <f t="shared" ca="1" si="72"/>
        <v>194.19651491905577</v>
      </c>
      <c r="K149" s="307">
        <f t="shared" ca="1" si="73"/>
        <v>796.79926461842501</v>
      </c>
      <c r="L149" s="304">
        <f t="shared" ca="1" si="58"/>
        <v>820.12276794585443</v>
      </c>
      <c r="M149" s="306">
        <f t="shared" ca="1" si="74"/>
        <v>1.2939044940544133</v>
      </c>
      <c r="N149" s="304">
        <f t="shared" ca="1" si="75"/>
        <v>74.135266602328002</v>
      </c>
      <c r="P149" s="310">
        <f t="shared" ca="1" si="76"/>
        <v>13</v>
      </c>
      <c r="Q149" s="304">
        <f t="shared" ca="1" si="77"/>
        <v>0</v>
      </c>
      <c r="R149" s="306">
        <f t="shared" ca="1" si="78"/>
        <v>0</v>
      </c>
      <c r="S149" s="307">
        <f t="shared" ca="1" si="79"/>
        <v>2.9362999999999984</v>
      </c>
      <c r="T149" s="304">
        <f t="shared" ca="1" si="59"/>
        <v>28.805102999999985</v>
      </c>
      <c r="U149" s="311">
        <f t="shared" ca="1" si="60"/>
        <v>0</v>
      </c>
      <c r="V149" s="306">
        <f t="shared" ca="1" si="61"/>
        <v>1.1311317958847473</v>
      </c>
      <c r="W149" s="304">
        <f t="shared" ca="1" si="62"/>
        <v>56.033476503230915</v>
      </c>
      <c r="Y149" s="314" t="str">
        <f t="shared" ca="1" si="80"/>
        <v/>
      </c>
      <c r="Z149" s="315" t="str">
        <f t="shared" ca="1" si="81"/>
        <v/>
      </c>
      <c r="AA149" s="316" t="str">
        <f t="shared" ca="1" si="82"/>
        <v/>
      </c>
      <c r="AC149" s="310" t="e">
        <f t="shared" ca="1" si="83"/>
        <v>#N/A</v>
      </c>
      <c r="AD149" s="323" t="e">
        <f t="shared" ca="1" si="84"/>
        <v>#N/A</v>
      </c>
      <c r="AE149" s="324">
        <f t="shared" ca="1" si="63"/>
        <v>796.79926461842501</v>
      </c>
      <c r="AG149" s="306">
        <f t="shared" ca="1" si="85"/>
        <v>-28.592797975717822</v>
      </c>
      <c r="AH149" s="304">
        <f t="shared" ca="1" si="86"/>
        <v>-19.156002137767935</v>
      </c>
    </row>
    <row r="150" spans="1:34" x14ac:dyDescent="0.2">
      <c r="A150" s="347">
        <f t="shared" ca="1" si="64"/>
        <v>0.01</v>
      </c>
      <c r="B150" s="304">
        <f t="shared" ca="1" si="65"/>
        <v>6.0599999999999685</v>
      </c>
      <c r="D150" s="306">
        <f t="shared" ca="1" si="66"/>
        <v>-5.2166721500021387</v>
      </c>
      <c r="E150" s="307">
        <f t="shared" ca="1" si="67"/>
        <v>-28.166144676757796</v>
      </c>
      <c r="F150" s="304">
        <f t="shared" ca="1" si="68"/>
        <v>28.645163191587152</v>
      </c>
      <c r="G150" s="306">
        <f t="shared" ca="1" si="69"/>
        <v>42.541202860830751</v>
      </c>
      <c r="H150" s="307">
        <f t="shared" ca="1" si="70"/>
        <v>149.59359079110936</v>
      </c>
      <c r="I150" s="304">
        <f t="shared" ca="1" si="71"/>
        <v>155.52490587241721</v>
      </c>
      <c r="J150" s="306">
        <f t="shared" ca="1" si="72"/>
        <v>194.62218778127158</v>
      </c>
      <c r="K150" s="307">
        <f t="shared" ca="1" si="73"/>
        <v>798.29660883356996</v>
      </c>
      <c r="L150" s="304">
        <f t="shared" ca="1" si="58"/>
        <v>821.67832614226006</v>
      </c>
      <c r="M150" s="306">
        <f t="shared" ca="1" si="74"/>
        <v>1.2937320630083984</v>
      </c>
      <c r="N150" s="304">
        <f t="shared" ca="1" si="75"/>
        <v>74.125387031134323</v>
      </c>
      <c r="P150" s="310">
        <f t="shared" ca="1" si="76"/>
        <v>13</v>
      </c>
      <c r="Q150" s="304">
        <f t="shared" ca="1" si="77"/>
        <v>0</v>
      </c>
      <c r="R150" s="306">
        <f t="shared" ca="1" si="78"/>
        <v>0</v>
      </c>
      <c r="S150" s="307">
        <f t="shared" ca="1" si="79"/>
        <v>2.9362999999999984</v>
      </c>
      <c r="T150" s="304">
        <f t="shared" ca="1" si="59"/>
        <v>28.805102999999985</v>
      </c>
      <c r="U150" s="311">
        <f t="shared" ca="1" si="60"/>
        <v>0</v>
      </c>
      <c r="V150" s="306">
        <f t="shared" ca="1" si="61"/>
        <v>1.1309621694782661</v>
      </c>
      <c r="W150" s="304">
        <f t="shared" ca="1" si="62"/>
        <v>55.820167293239557</v>
      </c>
      <c r="Y150" s="314" t="str">
        <f t="shared" ca="1" si="80"/>
        <v/>
      </c>
      <c r="Z150" s="315" t="str">
        <f t="shared" ca="1" si="81"/>
        <v/>
      </c>
      <c r="AA150" s="316" t="str">
        <f t="shared" ca="1" si="82"/>
        <v/>
      </c>
      <c r="AC150" s="310" t="e">
        <f t="shared" ca="1" si="83"/>
        <v>#N/A</v>
      </c>
      <c r="AD150" s="323" t="e">
        <f t="shared" ca="1" si="84"/>
        <v>#N/A</v>
      </c>
      <c r="AE150" s="324">
        <f t="shared" ca="1" si="63"/>
        <v>798.29660883356996</v>
      </c>
      <c r="AG150" s="306">
        <f t="shared" ca="1" si="85"/>
        <v>-28.519356350444461</v>
      </c>
      <c r="AH150" s="304">
        <f t="shared" ca="1" si="86"/>
        <v>-19.083021661012481</v>
      </c>
    </row>
    <row r="151" spans="1:34" x14ac:dyDescent="0.2">
      <c r="A151" s="347">
        <f t="shared" ca="1" si="64"/>
        <v>0.01</v>
      </c>
      <c r="B151" s="304">
        <f t="shared" ca="1" si="65"/>
        <v>6.0699999999999683</v>
      </c>
      <c r="D151" s="306">
        <f t="shared" ca="1" si="66"/>
        <v>-5.1999662747363598</v>
      </c>
      <c r="E151" s="307">
        <f t="shared" ca="1" si="67"/>
        <v>-28.09536982311576</v>
      </c>
      <c r="F151" s="304">
        <f t="shared" ca="1" si="68"/>
        <v>28.572529722725626</v>
      </c>
      <c r="G151" s="306">
        <f t="shared" ca="1" si="69"/>
        <v>42.489203198083388</v>
      </c>
      <c r="H151" s="307">
        <f t="shared" ca="1" si="70"/>
        <v>149.31263709287822</v>
      </c>
      <c r="I151" s="304">
        <f t="shared" ca="1" si="71"/>
        <v>155.24044570934976</v>
      </c>
      <c r="J151" s="306">
        <f t="shared" ca="1" si="72"/>
        <v>195.04733981156616</v>
      </c>
      <c r="K151" s="307">
        <f t="shared" ca="1" si="73"/>
        <v>799.79113997298987</v>
      </c>
      <c r="L151" s="304">
        <f t="shared" ca="1" si="58"/>
        <v>823.23103218164897</v>
      </c>
      <c r="M151" s="306">
        <f t="shared" ca="1" si="74"/>
        <v>1.2935592111922951</v>
      </c>
      <c r="N151" s="304">
        <f t="shared" ca="1" si="75"/>
        <v>74.115483351590427</v>
      </c>
      <c r="P151" s="310">
        <f t="shared" ca="1" si="76"/>
        <v>13</v>
      </c>
      <c r="Q151" s="304">
        <f t="shared" ca="1" si="77"/>
        <v>0</v>
      </c>
      <c r="R151" s="306">
        <f t="shared" ca="1" si="78"/>
        <v>0</v>
      </c>
      <c r="S151" s="307">
        <f t="shared" ca="1" si="79"/>
        <v>2.9362999999999984</v>
      </c>
      <c r="T151" s="304">
        <f t="shared" ca="1" si="59"/>
        <v>28.805102999999985</v>
      </c>
      <c r="U151" s="311">
        <f t="shared" ca="1" si="60"/>
        <v>0</v>
      </c>
      <c r="V151" s="306">
        <f t="shared" ca="1" si="61"/>
        <v>1.1307928861041263</v>
      </c>
      <c r="W151" s="304">
        <f t="shared" ca="1" si="62"/>
        <v>55.607835517732106</v>
      </c>
      <c r="Y151" s="314" t="str">
        <f t="shared" ca="1" si="80"/>
        <v/>
      </c>
      <c r="Z151" s="315" t="str">
        <f t="shared" ca="1" si="81"/>
        <v/>
      </c>
      <c r="AA151" s="316" t="str">
        <f t="shared" ca="1" si="82"/>
        <v/>
      </c>
      <c r="AC151" s="310" t="e">
        <f t="shared" ca="1" si="83"/>
        <v>#N/A</v>
      </c>
      <c r="AD151" s="323" t="e">
        <f t="shared" ca="1" si="84"/>
        <v>#N/A</v>
      </c>
      <c r="AE151" s="324">
        <f t="shared" ca="1" si="63"/>
        <v>799.79113997298987</v>
      </c>
      <c r="AG151" s="306">
        <f t="shared" ca="1" si="85"/>
        <v>-28.446248218509457</v>
      </c>
      <c r="AH151" s="304">
        <f t="shared" ca="1" si="86"/>
        <v>-19.010376083247483</v>
      </c>
    </row>
    <row r="152" spans="1:34" x14ac:dyDescent="0.2">
      <c r="A152" s="347">
        <f t="shared" ca="1" si="64"/>
        <v>0.01</v>
      </c>
      <c r="B152" s="304">
        <f t="shared" ca="1" si="65"/>
        <v>6.0799999999999681</v>
      </c>
      <c r="D152" s="306">
        <f t="shared" ca="1" si="66"/>
        <v>-5.1833349206890711</v>
      </c>
      <c r="E152" s="307">
        <f t="shared" ca="1" si="67"/>
        <v>-28.024919266327899</v>
      </c>
      <c r="F152" s="304">
        <f t="shared" ca="1" si="68"/>
        <v>28.500229135644357</v>
      </c>
      <c r="G152" s="306">
        <f t="shared" ca="1" si="69"/>
        <v>42.4373698488765</v>
      </c>
      <c r="H152" s="307">
        <f t="shared" ca="1" si="70"/>
        <v>149.03238790021493</v>
      </c>
      <c r="I152" s="304">
        <f t="shared" ca="1" si="71"/>
        <v>154.95671331998</v>
      </c>
      <c r="J152" s="306">
        <f t="shared" ca="1" si="72"/>
        <v>195.47197267680096</v>
      </c>
      <c r="K152" s="307">
        <f t="shared" ca="1" si="73"/>
        <v>801.28286509795532</v>
      </c>
      <c r="L152" s="304">
        <f t="shared" ca="1" si="58"/>
        <v>824.78089332970615</v>
      </c>
      <c r="M152" s="306">
        <f t="shared" ca="1" si="74"/>
        <v>1.2933859376239907</v>
      </c>
      <c r="N152" s="304">
        <f t="shared" ca="1" si="75"/>
        <v>74.105555507425422</v>
      </c>
      <c r="P152" s="310">
        <f t="shared" ca="1" si="76"/>
        <v>13</v>
      </c>
      <c r="Q152" s="304">
        <f t="shared" ca="1" si="77"/>
        <v>0</v>
      </c>
      <c r="R152" s="306">
        <f t="shared" ca="1" si="78"/>
        <v>0</v>
      </c>
      <c r="S152" s="307">
        <f t="shared" ca="1" si="79"/>
        <v>2.9362999999999984</v>
      </c>
      <c r="T152" s="304">
        <f t="shared" ca="1" si="59"/>
        <v>28.805102999999985</v>
      </c>
      <c r="U152" s="311">
        <f t="shared" ca="1" si="60"/>
        <v>0</v>
      </c>
      <c r="V152" s="306">
        <f t="shared" ca="1" si="61"/>
        <v>1.1306239448200619</v>
      </c>
      <c r="W152" s="304">
        <f t="shared" ca="1" si="62"/>
        <v>55.396475292398684</v>
      </c>
      <c r="Y152" s="314" t="str">
        <f t="shared" ca="1" si="80"/>
        <v/>
      </c>
      <c r="Z152" s="315" t="str">
        <f t="shared" ca="1" si="81"/>
        <v/>
      </c>
      <c r="AA152" s="316" t="str">
        <f t="shared" ca="1" si="82"/>
        <v/>
      </c>
      <c r="AC152" s="310" t="e">
        <f t="shared" ca="1" si="83"/>
        <v>#N/A</v>
      </c>
      <c r="AD152" s="323" t="e">
        <f t="shared" ca="1" si="84"/>
        <v>#N/A</v>
      </c>
      <c r="AE152" s="324">
        <f t="shared" ca="1" si="63"/>
        <v>801.28286509795532</v>
      </c>
      <c r="AG152" s="306">
        <f t="shared" ca="1" si="85"/>
        <v>-28.373471555898927</v>
      </c>
      <c r="AH152" s="304">
        <f t="shared" ca="1" si="86"/>
        <v>-18.938063385121456</v>
      </c>
    </row>
    <row r="153" spans="1:34" x14ac:dyDescent="0.2">
      <c r="A153" s="347">
        <f t="shared" ca="1" si="64"/>
        <v>0.01</v>
      </c>
      <c r="B153" s="304">
        <f t="shared" ca="1" si="65"/>
        <v>6.0899999999999679</v>
      </c>
      <c r="D153" s="306">
        <f t="shared" ca="1" si="66"/>
        <v>-5.1667776356344817</v>
      </c>
      <c r="E153" s="307">
        <f t="shared" ca="1" si="67"/>
        <v>-27.954791053972897</v>
      </c>
      <c r="F153" s="304">
        <f t="shared" ca="1" si="68"/>
        <v>28.428259426271172</v>
      </c>
      <c r="G153" s="306">
        <f t="shared" ca="1" si="69"/>
        <v>42.385702072520154</v>
      </c>
      <c r="H153" s="307">
        <f t="shared" ca="1" si="70"/>
        <v>148.75283998967521</v>
      </c>
      <c r="I153" s="304">
        <f t="shared" ca="1" si="71"/>
        <v>154.67370540972487</v>
      </c>
      <c r="J153" s="306">
        <f t="shared" ca="1" si="72"/>
        <v>195.89608803640795</v>
      </c>
      <c r="K153" s="307">
        <f t="shared" ca="1" si="73"/>
        <v>802.77179123740473</v>
      </c>
      <c r="L153" s="304">
        <f t="shared" ca="1" si="58"/>
        <v>826.32791681903097</v>
      </c>
      <c r="M153" s="306">
        <f t="shared" ca="1" si="74"/>
        <v>1.293212241317663</v>
      </c>
      <c r="N153" s="304">
        <f t="shared" ca="1" si="75"/>
        <v>74.095603442155834</v>
      </c>
      <c r="P153" s="310">
        <f t="shared" ca="1" si="76"/>
        <v>13</v>
      </c>
      <c r="Q153" s="304">
        <f t="shared" ca="1" si="77"/>
        <v>0</v>
      </c>
      <c r="R153" s="306">
        <f t="shared" ca="1" si="78"/>
        <v>0</v>
      </c>
      <c r="S153" s="307">
        <f t="shared" ca="1" si="79"/>
        <v>2.9362999999999984</v>
      </c>
      <c r="T153" s="304">
        <f t="shared" ca="1" si="59"/>
        <v>28.805102999999985</v>
      </c>
      <c r="U153" s="311">
        <f t="shared" ca="1" si="60"/>
        <v>0</v>
      </c>
      <c r="V153" s="306">
        <f t="shared" ca="1" si="61"/>
        <v>1.1304553446882448</v>
      </c>
      <c r="W153" s="304">
        <f t="shared" ca="1" si="62"/>
        <v>55.186080777629051</v>
      </c>
      <c r="Y153" s="314" t="str">
        <f t="shared" ca="1" si="80"/>
        <v/>
      </c>
      <c r="Z153" s="315" t="str">
        <f t="shared" ca="1" si="81"/>
        <v/>
      </c>
      <c r="AA153" s="316" t="str">
        <f t="shared" ca="1" si="82"/>
        <v/>
      </c>
      <c r="AC153" s="310" t="e">
        <f t="shared" ca="1" si="83"/>
        <v>#N/A</v>
      </c>
      <c r="AD153" s="323" t="e">
        <f t="shared" ca="1" si="84"/>
        <v>#N/A</v>
      </c>
      <c r="AE153" s="324">
        <f t="shared" ca="1" si="63"/>
        <v>802.77179123740473</v>
      </c>
      <c r="AG153" s="306">
        <f t="shared" ca="1" si="85"/>
        <v>-28.301024353941415</v>
      </c>
      <c r="AH153" s="304">
        <f t="shared" ca="1" si="86"/>
        <v>-18.866081562646432</v>
      </c>
    </row>
    <row r="154" spans="1:34" x14ac:dyDescent="0.2">
      <c r="A154" s="347">
        <f t="shared" ca="1" si="64"/>
        <v>0.01</v>
      </c>
      <c r="B154" s="304">
        <f t="shared" ca="1" si="65"/>
        <v>6.0999999999999677</v>
      </c>
      <c r="D154" s="306">
        <f t="shared" ca="1" si="66"/>
        <v>-5.1502939707786881</v>
      </c>
      <c r="E154" s="307">
        <f t="shared" ca="1" si="67"/>
        <v>-27.884983248460316</v>
      </c>
      <c r="F154" s="304">
        <f t="shared" ca="1" si="68"/>
        <v>28.356618605756783</v>
      </c>
      <c r="G154" s="306">
        <f t="shared" ca="1" si="69"/>
        <v>42.334199132812365</v>
      </c>
      <c r="H154" s="307">
        <f t="shared" ca="1" si="70"/>
        <v>148.4739901571906</v>
      </c>
      <c r="I154" s="304">
        <f t="shared" ca="1" si="71"/>
        <v>154.39141870393621</v>
      </c>
      <c r="J154" s="306">
        <f t="shared" ca="1" si="72"/>
        <v>196.31968754243462</v>
      </c>
      <c r="K154" s="307">
        <f t="shared" ca="1" si="73"/>
        <v>804.25792538813903</v>
      </c>
      <c r="L154" s="304">
        <f t="shared" ca="1" si="58"/>
        <v>827.87210984933688</v>
      </c>
      <c r="M154" s="306">
        <f t="shared" ca="1" si="74"/>
        <v>1.2930381212837654</v>
      </c>
      <c r="N154" s="304">
        <f t="shared" ca="1" si="75"/>
        <v>74.085627099084817</v>
      </c>
      <c r="P154" s="310">
        <f t="shared" ca="1" si="76"/>
        <v>13</v>
      </c>
      <c r="Q154" s="304">
        <f t="shared" ca="1" si="77"/>
        <v>0</v>
      </c>
      <c r="R154" s="306">
        <f t="shared" ca="1" si="78"/>
        <v>0</v>
      </c>
      <c r="S154" s="307">
        <f t="shared" ca="1" si="79"/>
        <v>2.9362999999999984</v>
      </c>
      <c r="T154" s="304">
        <f t="shared" ca="1" si="59"/>
        <v>28.805102999999985</v>
      </c>
      <c r="U154" s="311">
        <f t="shared" ca="1" si="60"/>
        <v>0</v>
      </c>
      <c r="V154" s="306">
        <f t="shared" ca="1" si="61"/>
        <v>1.1302870847752589</v>
      </c>
      <c r="W154" s="304">
        <f t="shared" ca="1" si="62"/>
        <v>54.976646178105213</v>
      </c>
      <c r="Y154" s="314" t="str">
        <f t="shared" ca="1" si="80"/>
        <v/>
      </c>
      <c r="Z154" s="315" t="str">
        <f t="shared" ca="1" si="81"/>
        <v/>
      </c>
      <c r="AA154" s="316" t="str">
        <f t="shared" ca="1" si="82"/>
        <v/>
      </c>
      <c r="AC154" s="310" t="e">
        <f t="shared" ca="1" si="83"/>
        <v>#N/A</v>
      </c>
      <c r="AD154" s="323" t="e">
        <f t="shared" ca="1" si="84"/>
        <v>#N/A</v>
      </c>
      <c r="AE154" s="324">
        <f t="shared" ca="1" si="63"/>
        <v>804.25792538813903</v>
      </c>
      <c r="AG154" s="306">
        <f t="shared" ca="1" si="85"/>
        <v>-28.228904619167352</v>
      </c>
      <c r="AH154" s="304">
        <f t="shared" ca="1" si="86"/>
        <v>-18.794428627057549</v>
      </c>
    </row>
    <row r="155" spans="1:34" x14ac:dyDescent="0.2">
      <c r="A155" s="347">
        <f t="shared" ca="1" si="64"/>
        <v>0.01</v>
      </c>
      <c r="B155" s="304">
        <f t="shared" ca="1" si="65"/>
        <v>6.1099999999999675</v>
      </c>
      <c r="D155" s="306">
        <f t="shared" ca="1" si="66"/>
        <v>-5.1338834807284099</v>
      </c>
      <c r="E155" s="307">
        <f t="shared" ca="1" si="67"/>
        <v>-27.815493926895392</v>
      </c>
      <c r="F155" s="304">
        <f t="shared" ca="1" si="68"/>
        <v>28.285304700336013</v>
      </c>
      <c r="G155" s="306">
        <f t="shared" ca="1" si="69"/>
        <v>42.282860298005083</v>
      </c>
      <c r="H155" s="307">
        <f t="shared" ca="1" si="70"/>
        <v>148.19583521792165</v>
      </c>
      <c r="I155" s="304">
        <f t="shared" ca="1" si="71"/>
        <v>154.10984994774995</v>
      </c>
      <c r="J155" s="306">
        <f t="shared" ca="1" si="72"/>
        <v>196.7427728395887</v>
      </c>
      <c r="K155" s="307">
        <f t="shared" ca="1" si="73"/>
        <v>805.74127451501454</v>
      </c>
      <c r="L155" s="304">
        <f t="shared" ca="1" si="58"/>
        <v>829.41347958764823</v>
      </c>
      <c r="M155" s="306">
        <f t="shared" ca="1" si="74"/>
        <v>1.2928635765290124</v>
      </c>
      <c r="N155" s="304">
        <f t="shared" ca="1" si="75"/>
        <v>74.075626421301322</v>
      </c>
      <c r="P155" s="310">
        <f t="shared" ca="1" si="76"/>
        <v>13</v>
      </c>
      <c r="Q155" s="304">
        <f t="shared" ca="1" si="77"/>
        <v>0</v>
      </c>
      <c r="R155" s="306">
        <f t="shared" ca="1" si="78"/>
        <v>0</v>
      </c>
      <c r="S155" s="307">
        <f t="shared" ca="1" si="79"/>
        <v>2.9362999999999984</v>
      </c>
      <c r="T155" s="304">
        <f t="shared" ca="1" si="59"/>
        <v>28.805102999999985</v>
      </c>
      <c r="U155" s="311">
        <f t="shared" ca="1" si="60"/>
        <v>0</v>
      </c>
      <c r="V155" s="306">
        <f t="shared" ca="1" si="61"/>
        <v>1.1301191641520689</v>
      </c>
      <c r="W155" s="304">
        <f t="shared" ca="1" si="62"/>
        <v>54.768165742397642</v>
      </c>
      <c r="Y155" s="314" t="str">
        <f t="shared" ca="1" si="80"/>
        <v/>
      </c>
      <c r="Z155" s="315" t="str">
        <f t="shared" ca="1" si="81"/>
        <v/>
      </c>
      <c r="AA155" s="316" t="str">
        <f t="shared" ca="1" si="82"/>
        <v/>
      </c>
      <c r="AC155" s="310" t="e">
        <f t="shared" ca="1" si="83"/>
        <v>#N/A</v>
      </c>
      <c r="AD155" s="323" t="e">
        <f t="shared" ca="1" si="84"/>
        <v>#N/A</v>
      </c>
      <c r="AE155" s="324">
        <f t="shared" ca="1" si="63"/>
        <v>805.74127451501454</v>
      </c>
      <c r="AG155" s="306">
        <f t="shared" ca="1" si="85"/>
        <v>-28.157110373170248</v>
      </c>
      <c r="AH155" s="304">
        <f t="shared" ca="1" si="86"/>
        <v>-18.723102604674335</v>
      </c>
    </row>
    <row r="156" spans="1:34" x14ac:dyDescent="0.2">
      <c r="A156" s="347">
        <f t="shared" ca="1" si="64"/>
        <v>0.01</v>
      </c>
      <c r="B156" s="304">
        <f t="shared" ca="1" si="65"/>
        <v>6.1199999999999672</v>
      </c>
      <c r="D156" s="306">
        <f t="shared" ca="1" si="66"/>
        <v>-5.117545723459954</v>
      </c>
      <c r="E156" s="307">
        <f t="shared" ca="1" si="67"/>
        <v>-27.746321180945088</v>
      </c>
      <c r="F156" s="304">
        <f t="shared" ca="1" si="68"/>
        <v>28.214315751190306</v>
      </c>
      <c r="G156" s="306">
        <f t="shared" ca="1" si="69"/>
        <v>42.231684840770484</v>
      </c>
      <c r="H156" s="307">
        <f t="shared" ca="1" si="70"/>
        <v>147.91837200611221</v>
      </c>
      <c r="I156" s="304">
        <f t="shared" ca="1" si="71"/>
        <v>153.82899590593695</v>
      </c>
      <c r="J156" s="306">
        <f t="shared" ca="1" si="72"/>
        <v>197.16534556528256</v>
      </c>
      <c r="K156" s="307">
        <f t="shared" ca="1" si="73"/>
        <v>807.22184555113472</v>
      </c>
      <c r="L156" s="304">
        <f t="shared" ca="1" si="58"/>
        <v>830.95203316849597</v>
      </c>
      <c r="M156" s="306">
        <f t="shared" ca="1" si="74"/>
        <v>1.2926886060563634</v>
      </c>
      <c r="N156" s="304">
        <f t="shared" ca="1" si="75"/>
        <v>74.065601351679135</v>
      </c>
      <c r="P156" s="310">
        <f t="shared" ca="1" si="76"/>
        <v>13</v>
      </c>
      <c r="Q156" s="304">
        <f t="shared" ca="1" si="77"/>
        <v>0</v>
      </c>
      <c r="R156" s="306">
        <f t="shared" ca="1" si="78"/>
        <v>0</v>
      </c>
      <c r="S156" s="307">
        <f t="shared" ca="1" si="79"/>
        <v>2.9362999999999984</v>
      </c>
      <c r="T156" s="304">
        <f t="shared" ca="1" si="59"/>
        <v>28.805102999999985</v>
      </c>
      <c r="U156" s="311">
        <f t="shared" ca="1" si="60"/>
        <v>0</v>
      </c>
      <c r="V156" s="306">
        <f t="shared" ca="1" si="61"/>
        <v>1.129951581893998</v>
      </c>
      <c r="W156" s="304">
        <f t="shared" ca="1" si="62"/>
        <v>54.560633762566617</v>
      </c>
      <c r="Y156" s="314" t="str">
        <f t="shared" ca="1" si="80"/>
        <v/>
      </c>
      <c r="Z156" s="315" t="str">
        <f t="shared" ca="1" si="81"/>
        <v/>
      </c>
      <c r="AA156" s="316" t="str">
        <f t="shared" ca="1" si="82"/>
        <v/>
      </c>
      <c r="AC156" s="310" t="e">
        <f t="shared" ca="1" si="83"/>
        <v>#N/A</v>
      </c>
      <c r="AD156" s="323" t="e">
        <f t="shared" ca="1" si="84"/>
        <v>#N/A</v>
      </c>
      <c r="AE156" s="324">
        <f t="shared" ca="1" si="63"/>
        <v>807.22184555113472</v>
      </c>
      <c r="AG156" s="306">
        <f t="shared" ca="1" si="85"/>
        <v>-28.085639652469034</v>
      </c>
      <c r="AH156" s="304">
        <f t="shared" ca="1" si="86"/>
        <v>-18.652101536763162</v>
      </c>
    </row>
    <row r="157" spans="1:34" x14ac:dyDescent="0.2">
      <c r="A157" s="347">
        <f t="shared" ca="1" si="64"/>
        <v>0.01</v>
      </c>
      <c r="B157" s="304">
        <f t="shared" ca="1" si="65"/>
        <v>6.129999999999967</v>
      </c>
      <c r="D157" s="306">
        <f t="shared" ca="1" si="66"/>
        <v>-5.101280260288636</v>
      </c>
      <c r="E157" s="307">
        <f t="shared" ca="1" si="67"/>
        <v>-27.67746311670583</v>
      </c>
      <c r="F157" s="304">
        <f t="shared" ca="1" si="68"/>
        <v>28.143649814311967</v>
      </c>
      <c r="G157" s="306">
        <f t="shared" ca="1" si="69"/>
        <v>42.1806720381676</v>
      </c>
      <c r="H157" s="307">
        <f t="shared" ca="1" si="70"/>
        <v>147.64159737494515</v>
      </c>
      <c r="I157" s="304">
        <f t="shared" ca="1" si="71"/>
        <v>153.5488533627551</v>
      </c>
      <c r="J157" s="306">
        <f t="shared" ca="1" si="72"/>
        <v>197.58740734967725</v>
      </c>
      <c r="K157" s="307">
        <f t="shared" ca="1" si="73"/>
        <v>808.69964539804005</v>
      </c>
      <c r="L157" s="304">
        <f t="shared" ca="1" si="58"/>
        <v>832.48777769411299</v>
      </c>
      <c r="M157" s="306">
        <f t="shared" ca="1" si="74"/>
        <v>1.292513208865008</v>
      </c>
      <c r="N157" s="304">
        <f t="shared" ca="1" si="75"/>
        <v>74.05555183287602</v>
      </c>
      <c r="P157" s="310">
        <f t="shared" ca="1" si="76"/>
        <v>13</v>
      </c>
      <c r="Q157" s="304">
        <f t="shared" ca="1" si="77"/>
        <v>0</v>
      </c>
      <c r="R157" s="306">
        <f t="shared" ca="1" si="78"/>
        <v>0</v>
      </c>
      <c r="S157" s="307">
        <f t="shared" ca="1" si="79"/>
        <v>2.9362999999999984</v>
      </c>
      <c r="T157" s="304">
        <f t="shared" ca="1" si="59"/>
        <v>28.805102999999985</v>
      </c>
      <c r="U157" s="311">
        <f t="shared" ca="1" si="60"/>
        <v>0</v>
      </c>
      <c r="V157" s="306">
        <f t="shared" ca="1" si="61"/>
        <v>1.1297843370806993</v>
      </c>
      <c r="W157" s="304">
        <f t="shared" ca="1" si="62"/>
        <v>54.354044573767247</v>
      </c>
      <c r="Y157" s="314" t="str">
        <f t="shared" ca="1" si="80"/>
        <v/>
      </c>
      <c r="Z157" s="315" t="str">
        <f t="shared" ca="1" si="81"/>
        <v/>
      </c>
      <c r="AA157" s="316" t="str">
        <f t="shared" ca="1" si="82"/>
        <v/>
      </c>
      <c r="AC157" s="310" t="e">
        <f t="shared" ca="1" si="83"/>
        <v>#N/A</v>
      </c>
      <c r="AD157" s="323" t="e">
        <f t="shared" ca="1" si="84"/>
        <v>#N/A</v>
      </c>
      <c r="AE157" s="324">
        <f t="shared" ca="1" si="63"/>
        <v>808.69964539804005</v>
      </c>
      <c r="AG157" s="306">
        <f t="shared" ca="1" si="85"/>
        <v>-28.014490508372198</v>
      </c>
      <c r="AH157" s="304">
        <f t="shared" ca="1" si="86"/>
        <v>-18.581423479401508</v>
      </c>
    </row>
    <row r="158" spans="1:34" x14ac:dyDescent="0.2">
      <c r="A158" s="347">
        <f t="shared" ca="1" si="64"/>
        <v>0.01</v>
      </c>
      <c r="B158" s="304">
        <f t="shared" ca="1" si="65"/>
        <v>6.1399999999999668</v>
      </c>
      <c r="D158" s="306">
        <f t="shared" ca="1" si="66"/>
        <v>-5.0850866558384338</v>
      </c>
      <c r="E158" s="307">
        <f t="shared" ca="1" si="67"/>
        <v>-27.608917854572411</v>
      </c>
      <c r="F158" s="304">
        <f t="shared" ca="1" si="68"/>
        <v>28.073304960369619</v>
      </c>
      <c r="G158" s="306">
        <f t="shared" ca="1" si="69"/>
        <v>42.129821171609215</v>
      </c>
      <c r="H158" s="307">
        <f t="shared" ca="1" si="70"/>
        <v>147.36550819639942</v>
      </c>
      <c r="I158" s="304">
        <f t="shared" ca="1" si="71"/>
        <v>153.26941912180274</v>
      </c>
      <c r="J158" s="306">
        <f t="shared" ca="1" si="72"/>
        <v>198.00895981572614</v>
      </c>
      <c r="K158" s="307">
        <f t="shared" ca="1" si="73"/>
        <v>810.17468092589672</v>
      </c>
      <c r="L158" s="304">
        <f t="shared" ca="1" si="58"/>
        <v>834.02072023462608</v>
      </c>
      <c r="M158" s="306">
        <f t="shared" ca="1" si="74"/>
        <v>1.2923373839503502</v>
      </c>
      <c r="N158" s="304">
        <f t="shared" ca="1" si="75"/>
        <v>74.045477807332887</v>
      </c>
      <c r="P158" s="310">
        <f t="shared" ca="1" si="76"/>
        <v>13</v>
      </c>
      <c r="Q158" s="304">
        <f t="shared" ca="1" si="77"/>
        <v>0</v>
      </c>
      <c r="R158" s="306">
        <f t="shared" ca="1" si="78"/>
        <v>0</v>
      </c>
      <c r="S158" s="307">
        <f t="shared" ca="1" si="79"/>
        <v>2.9362999999999984</v>
      </c>
      <c r="T158" s="304">
        <f t="shared" ca="1" si="59"/>
        <v>28.805102999999985</v>
      </c>
      <c r="U158" s="311">
        <f t="shared" ca="1" si="60"/>
        <v>0</v>
      </c>
      <c r="V158" s="306">
        <f t="shared" ca="1" si="61"/>
        <v>1.1296174287961269</v>
      </c>
      <c r="W158" s="304">
        <f t="shared" ca="1" si="62"/>
        <v>54.148392553858727</v>
      </c>
      <c r="Y158" s="314" t="str">
        <f t="shared" ca="1" si="80"/>
        <v/>
      </c>
      <c r="Z158" s="315" t="str">
        <f t="shared" ca="1" si="81"/>
        <v/>
      </c>
      <c r="AA158" s="316" t="str">
        <f t="shared" ca="1" si="82"/>
        <v/>
      </c>
      <c r="AC158" s="310" t="e">
        <f t="shared" ca="1" si="83"/>
        <v>#N/A</v>
      </c>
      <c r="AD158" s="323" t="e">
        <f t="shared" ca="1" si="84"/>
        <v>#N/A</v>
      </c>
      <c r="AE158" s="324">
        <f t="shared" ca="1" si="63"/>
        <v>810.17468092589672</v>
      </c>
      <c r="AG158" s="306">
        <f t="shared" ca="1" si="85"/>
        <v>-27.943661006843165</v>
      </c>
      <c r="AH158" s="304">
        <f t="shared" ca="1" si="86"/>
        <v>-18.511066503343418</v>
      </c>
    </row>
    <row r="159" spans="1:34" x14ac:dyDescent="0.2">
      <c r="A159" s="347">
        <f t="shared" ca="1" si="64"/>
        <v>0.01</v>
      </c>
      <c r="B159" s="304">
        <f t="shared" ca="1" si="65"/>
        <v>6.1499999999999666</v>
      </c>
      <c r="D159" s="306">
        <f t="shared" ca="1" si="66"/>
        <v>-5.0689644780119911</v>
      </c>
      <c r="E159" s="307">
        <f t="shared" ca="1" si="67"/>
        <v>-27.540683529108392</v>
      </c>
      <c r="F159" s="304">
        <f t="shared" ca="1" si="68"/>
        <v>28.003279274575142</v>
      </c>
      <c r="G159" s="306">
        <f t="shared" ca="1" si="69"/>
        <v>42.079131526829094</v>
      </c>
      <c r="H159" s="307">
        <f t="shared" ca="1" si="70"/>
        <v>147.09010136110834</v>
      </c>
      <c r="I159" s="304">
        <f t="shared" ca="1" si="71"/>
        <v>152.99069000587357</v>
      </c>
      <c r="J159" s="306">
        <f t="shared" ca="1" si="72"/>
        <v>198.43000457921835</v>
      </c>
      <c r="K159" s="307">
        <f t="shared" ca="1" si="73"/>
        <v>811.64695897368426</v>
      </c>
      <c r="L159" s="304">
        <f t="shared" ca="1" si="58"/>
        <v>835.55086782824787</v>
      </c>
      <c r="M159" s="306">
        <f t="shared" ca="1" si="74"/>
        <v>1.2921611303039942</v>
      </c>
      <c r="N159" s="304">
        <f t="shared" ca="1" si="75"/>
        <v>74.03537921727289</v>
      </c>
      <c r="P159" s="310">
        <f t="shared" ca="1" si="76"/>
        <v>13</v>
      </c>
      <c r="Q159" s="304">
        <f t="shared" ca="1" si="77"/>
        <v>0</v>
      </c>
      <c r="R159" s="306">
        <f t="shared" ca="1" si="78"/>
        <v>0</v>
      </c>
      <c r="S159" s="307">
        <f t="shared" ca="1" si="79"/>
        <v>2.9362999999999984</v>
      </c>
      <c r="T159" s="304">
        <f t="shared" ca="1" si="59"/>
        <v>28.805102999999985</v>
      </c>
      <c r="U159" s="311">
        <f t="shared" ca="1" si="60"/>
        <v>0</v>
      </c>
      <c r="V159" s="306">
        <f t="shared" ca="1" si="61"/>
        <v>1.1294508561285153</v>
      </c>
      <c r="W159" s="304">
        <f t="shared" ca="1" si="62"/>
        <v>53.943672123018217</v>
      </c>
      <c r="Y159" s="314" t="str">
        <f t="shared" ca="1" si="80"/>
        <v/>
      </c>
      <c r="Z159" s="315" t="str">
        <f t="shared" ca="1" si="81"/>
        <v/>
      </c>
      <c r="AA159" s="316" t="str">
        <f t="shared" ca="1" si="82"/>
        <v/>
      </c>
      <c r="AC159" s="310" t="e">
        <f t="shared" ca="1" si="83"/>
        <v>#N/A</v>
      </c>
      <c r="AD159" s="323" t="e">
        <f t="shared" ca="1" si="84"/>
        <v>#N/A</v>
      </c>
      <c r="AE159" s="324">
        <f t="shared" ca="1" si="63"/>
        <v>811.64695897368426</v>
      </c>
      <c r="AG159" s="306">
        <f t="shared" ca="1" si="85"/>
        <v>-27.873149228367101</v>
      </c>
      <c r="AH159" s="304">
        <f t="shared" ca="1" si="86"/>
        <v>-18.441028693886441</v>
      </c>
    </row>
    <row r="160" spans="1:34" x14ac:dyDescent="0.2">
      <c r="A160" s="347">
        <f t="shared" ca="1" si="64"/>
        <v>0.01</v>
      </c>
      <c r="B160" s="304">
        <f t="shared" ca="1" si="65"/>
        <v>6.1599999999999664</v>
      </c>
      <c r="D160" s="306">
        <f t="shared" ca="1" si="66"/>
        <v>-5.0529132979609575</v>
      </c>
      <c r="E160" s="307">
        <f t="shared" ca="1" si="67"/>
        <v>-27.472758288917959</v>
      </c>
      <c r="F160" s="304">
        <f t="shared" ca="1" si="68"/>
        <v>27.933570856552176</v>
      </c>
      <c r="G160" s="306">
        <f t="shared" ca="1" si="69"/>
        <v>42.028602393849482</v>
      </c>
      <c r="H160" s="307">
        <f t="shared" ca="1" si="70"/>
        <v>146.81537377821917</v>
      </c>
      <c r="I160" s="304">
        <f t="shared" ca="1" si="71"/>
        <v>152.71266285681253</v>
      </c>
      <c r="J160" s="306">
        <f t="shared" ca="1" si="72"/>
        <v>198.85054324882174</v>
      </c>
      <c r="K160" s="307">
        <f t="shared" ca="1" si="73"/>
        <v>813.11648634938092</v>
      </c>
      <c r="L160" s="304">
        <f t="shared" ca="1" si="58"/>
        <v>837.07822748146691</v>
      </c>
      <c r="M160" s="306">
        <f t="shared" ca="1" si="74"/>
        <v>1.2919844469137267</v>
      </c>
      <c r="N160" s="304">
        <f t="shared" ca="1" si="75"/>
        <v>74.025256004700495</v>
      </c>
      <c r="P160" s="310">
        <f t="shared" ca="1" si="76"/>
        <v>13</v>
      </c>
      <c r="Q160" s="304">
        <f t="shared" ca="1" si="77"/>
        <v>0</v>
      </c>
      <c r="R160" s="306">
        <f t="shared" ca="1" si="78"/>
        <v>0</v>
      </c>
      <c r="S160" s="307">
        <f t="shared" ca="1" si="79"/>
        <v>2.9362999999999984</v>
      </c>
      <c r="T160" s="304">
        <f t="shared" ca="1" si="59"/>
        <v>28.805102999999985</v>
      </c>
      <c r="U160" s="311">
        <f t="shared" ca="1" si="60"/>
        <v>0</v>
      </c>
      <c r="V160" s="306">
        <f t="shared" ca="1" si="61"/>
        <v>1.1292846181703471</v>
      </c>
      <c r="W160" s="304">
        <f t="shared" ca="1" si="62"/>
        <v>53.739877743357958</v>
      </c>
      <c r="Y160" s="314" t="str">
        <f t="shared" ca="1" si="80"/>
        <v/>
      </c>
      <c r="Z160" s="315" t="str">
        <f t="shared" ca="1" si="81"/>
        <v/>
      </c>
      <c r="AA160" s="316" t="str">
        <f t="shared" ca="1" si="82"/>
        <v/>
      </c>
      <c r="AC160" s="310" t="e">
        <f t="shared" ca="1" si="83"/>
        <v>#N/A</v>
      </c>
      <c r="AD160" s="323" t="e">
        <f t="shared" ca="1" si="84"/>
        <v>#N/A</v>
      </c>
      <c r="AE160" s="324">
        <f t="shared" ca="1" si="63"/>
        <v>813.11648634938092</v>
      </c>
      <c r="AG160" s="306">
        <f t="shared" ca="1" si="85"/>
        <v>-27.802953267819316</v>
      </c>
      <c r="AH160" s="304">
        <f t="shared" ca="1" si="86"/>
        <v>-18.371308150740131</v>
      </c>
    </row>
    <row r="161" spans="1:34" x14ac:dyDescent="0.2">
      <c r="A161" s="347">
        <f t="shared" ca="1" si="64"/>
        <v>0.01</v>
      </c>
      <c r="B161" s="304">
        <f t="shared" ca="1" si="65"/>
        <v>6.1699999999999662</v>
      </c>
      <c r="D161" s="306">
        <f t="shared" ca="1" si="66"/>
        <v>-5.0369326900566049</v>
      </c>
      <c r="E161" s="307">
        <f t="shared" ca="1" si="67"/>
        <v>-27.405140296518887</v>
      </c>
      <c r="F161" s="304">
        <f t="shared" ca="1" si="68"/>
        <v>27.864177820205718</v>
      </c>
      <c r="G161" s="306">
        <f t="shared" ca="1" si="69"/>
        <v>41.978233066948917</v>
      </c>
      <c r="H161" s="307">
        <f t="shared" ca="1" si="70"/>
        <v>146.54132237525397</v>
      </c>
      <c r="I161" s="304">
        <f t="shared" ca="1" si="71"/>
        <v>152.43533453537336</v>
      </c>
      <c r="J161" s="306">
        <f t="shared" ca="1" si="72"/>
        <v>199.27057742612573</v>
      </c>
      <c r="K161" s="307">
        <f t="shared" ca="1" si="73"/>
        <v>814.58326983014831</v>
      </c>
      <c r="L161" s="304">
        <f t="shared" ca="1" si="58"/>
        <v>838.60280616923637</v>
      </c>
      <c r="M161" s="306">
        <f t="shared" ca="1" si="74"/>
        <v>1.2918073327635038</v>
      </c>
      <c r="N161" s="304">
        <f t="shared" ca="1" si="75"/>
        <v>74.015108111400679</v>
      </c>
      <c r="P161" s="310">
        <f t="shared" ca="1" si="76"/>
        <v>13</v>
      </c>
      <c r="Q161" s="304">
        <f t="shared" ca="1" si="77"/>
        <v>0</v>
      </c>
      <c r="R161" s="306">
        <f t="shared" ca="1" si="78"/>
        <v>0</v>
      </c>
      <c r="S161" s="307">
        <f t="shared" ca="1" si="79"/>
        <v>2.9362999999999984</v>
      </c>
      <c r="T161" s="304">
        <f t="shared" ca="1" si="59"/>
        <v>28.805102999999985</v>
      </c>
      <c r="U161" s="311">
        <f t="shared" ca="1" si="60"/>
        <v>0</v>
      </c>
      <c r="V161" s="306">
        <f t="shared" ca="1" si="61"/>
        <v>1.1291187140183301</v>
      </c>
      <c r="W161" s="304">
        <f t="shared" ca="1" si="62"/>
        <v>53.537003918547207</v>
      </c>
      <c r="Y161" s="314" t="str">
        <f t="shared" ca="1" si="80"/>
        <v/>
      </c>
      <c r="Z161" s="315" t="str">
        <f t="shared" ca="1" si="81"/>
        <v/>
      </c>
      <c r="AA161" s="316" t="str">
        <f t="shared" ca="1" si="82"/>
        <v/>
      </c>
      <c r="AC161" s="310" t="e">
        <f t="shared" ca="1" si="83"/>
        <v>#N/A</v>
      </c>
      <c r="AD161" s="323" t="e">
        <f t="shared" ca="1" si="84"/>
        <v>#N/A</v>
      </c>
      <c r="AE161" s="324">
        <f t="shared" ca="1" si="63"/>
        <v>814.58326983014831</v>
      </c>
      <c r="AG161" s="306">
        <f t="shared" ca="1" si="85"/>
        <v>-27.733071234334744</v>
      </c>
      <c r="AH161" s="304">
        <f t="shared" ca="1" si="86"/>
        <v>-18.301902987895648</v>
      </c>
    </row>
    <row r="162" spans="1:34" x14ac:dyDescent="0.2">
      <c r="A162" s="347">
        <f t="shared" ca="1" si="64"/>
        <v>0.01</v>
      </c>
      <c r="B162" s="304">
        <f t="shared" ca="1" si="65"/>
        <v>6.179999999999966</v>
      </c>
      <c r="D162" s="306">
        <f t="shared" ca="1" si="66"/>
        <v>-5.021022231860778</v>
      </c>
      <c r="E162" s="307">
        <f t="shared" ca="1" si="67"/>
        <v>-27.337827728217107</v>
      </c>
      <c r="F162" s="304">
        <f t="shared" ca="1" si="68"/>
        <v>27.795098293593355</v>
      </c>
      <c r="G162" s="306">
        <f t="shared" ca="1" si="69"/>
        <v>41.928022844630313</v>
      </c>
      <c r="H162" s="307">
        <f t="shared" ca="1" si="70"/>
        <v>146.26794409797179</v>
      </c>
      <c r="I162" s="304">
        <f t="shared" ca="1" si="71"/>
        <v>152.15870192107727</v>
      </c>
      <c r="J162" s="306">
        <f t="shared" ca="1" si="72"/>
        <v>199.69010870568363</v>
      </c>
      <c r="K162" s="307">
        <f t="shared" ca="1" si="73"/>
        <v>816.04731616251445</v>
      </c>
      <c r="L162" s="304">
        <f t="shared" ca="1" si="58"/>
        <v>840.12461083516087</v>
      </c>
      <c r="M162" s="306">
        <f t="shared" ca="1" si="74"/>
        <v>1.2916297868334332</v>
      </c>
      <c r="N162" s="304">
        <f t="shared" ca="1" si="75"/>
        <v>74.004935478937909</v>
      </c>
      <c r="P162" s="310">
        <f t="shared" ca="1" si="76"/>
        <v>13</v>
      </c>
      <c r="Q162" s="304">
        <f t="shared" ca="1" si="77"/>
        <v>0</v>
      </c>
      <c r="R162" s="306">
        <f t="shared" ca="1" si="78"/>
        <v>0</v>
      </c>
      <c r="S162" s="307">
        <f t="shared" ca="1" si="79"/>
        <v>2.9362999999999984</v>
      </c>
      <c r="T162" s="304">
        <f t="shared" ca="1" si="59"/>
        <v>28.805102999999985</v>
      </c>
      <c r="U162" s="311">
        <f t="shared" ca="1" si="60"/>
        <v>0</v>
      </c>
      <c r="V162" s="306">
        <f t="shared" ca="1" si="61"/>
        <v>1.1289531427733737</v>
      </c>
      <c r="W162" s="304">
        <f t="shared" ca="1" si="62"/>
        <v>53.335045193437878</v>
      </c>
      <c r="Y162" s="314" t="str">
        <f t="shared" ca="1" si="80"/>
        <v/>
      </c>
      <c r="Z162" s="315" t="str">
        <f t="shared" ca="1" si="81"/>
        <v/>
      </c>
      <c r="AA162" s="316" t="str">
        <f t="shared" ca="1" si="82"/>
        <v/>
      </c>
      <c r="AC162" s="310" t="e">
        <f t="shared" ca="1" si="83"/>
        <v>#N/A</v>
      </c>
      <c r="AD162" s="323" t="e">
        <f t="shared" ca="1" si="84"/>
        <v>#N/A</v>
      </c>
      <c r="AE162" s="324">
        <f t="shared" ca="1" si="63"/>
        <v>816.04731616251445</v>
      </c>
      <c r="AG162" s="306">
        <f t="shared" ca="1" si="85"/>
        <v>-27.663501251179085</v>
      </c>
      <c r="AH162" s="304">
        <f t="shared" ca="1" si="86"/>
        <v>-18.232811333496997</v>
      </c>
    </row>
    <row r="163" spans="1:34" x14ac:dyDescent="0.2">
      <c r="A163" s="347">
        <f t="shared" ca="1" si="64"/>
        <v>0.01</v>
      </c>
      <c r="B163" s="304">
        <f t="shared" ca="1" si="65"/>
        <v>6.1899999999999658</v>
      </c>
      <c r="D163" s="306">
        <f t="shared" ca="1" si="66"/>
        <v>-5.0051815040971706</v>
      </c>
      <c r="E163" s="307">
        <f t="shared" ca="1" si="67"/>
        <v>-27.270818773982484</v>
      </c>
      <c r="F163" s="304">
        <f t="shared" ca="1" si="68"/>
        <v>27.726330418797794</v>
      </c>
      <c r="G163" s="306">
        <f t="shared" ca="1" si="69"/>
        <v>41.877971029589339</v>
      </c>
      <c r="H163" s="307">
        <f t="shared" ca="1" si="70"/>
        <v>145.99523591023197</v>
      </c>
      <c r="I163" s="304">
        <f t="shared" ca="1" si="71"/>
        <v>151.88276191207285</v>
      </c>
      <c r="J163" s="306">
        <f t="shared" ca="1" si="72"/>
        <v>200.10913867505474</v>
      </c>
      <c r="K163" s="307">
        <f t="shared" ca="1" si="73"/>
        <v>817.50863206255542</v>
      </c>
      <c r="L163" s="304">
        <f t="shared" ca="1" si="58"/>
        <v>841.64364839168297</v>
      </c>
      <c r="M163" s="306">
        <f t="shared" ca="1" si="74"/>
        <v>1.2914518080997599</v>
      </c>
      <c r="N163" s="304">
        <f t="shared" ca="1" si="75"/>
        <v>73.99473804865535</v>
      </c>
      <c r="P163" s="310">
        <f t="shared" ca="1" si="76"/>
        <v>13</v>
      </c>
      <c r="Q163" s="304">
        <f t="shared" ca="1" si="77"/>
        <v>0</v>
      </c>
      <c r="R163" s="306">
        <f t="shared" ca="1" si="78"/>
        <v>0</v>
      </c>
      <c r="S163" s="307">
        <f t="shared" ca="1" si="79"/>
        <v>2.9362999999999984</v>
      </c>
      <c r="T163" s="304">
        <f t="shared" ca="1" si="59"/>
        <v>28.805102999999985</v>
      </c>
      <c r="U163" s="311">
        <f t="shared" ca="1" si="60"/>
        <v>0</v>
      </c>
      <c r="V163" s="306">
        <f t="shared" ca="1" si="61"/>
        <v>1.1287879035405586</v>
      </c>
      <c r="W163" s="304">
        <f t="shared" ca="1" si="62"/>
        <v>53.133996153693879</v>
      </c>
      <c r="Y163" s="314" t="str">
        <f t="shared" ca="1" si="80"/>
        <v/>
      </c>
      <c r="Z163" s="315" t="str">
        <f t="shared" ca="1" si="81"/>
        <v/>
      </c>
      <c r="AA163" s="316" t="str">
        <f t="shared" ca="1" si="82"/>
        <v/>
      </c>
      <c r="AC163" s="310" t="e">
        <f t="shared" ca="1" si="83"/>
        <v>#N/A</v>
      </c>
      <c r="AD163" s="323" t="e">
        <f t="shared" ca="1" si="84"/>
        <v>#N/A</v>
      </c>
      <c r="AE163" s="324">
        <f t="shared" ca="1" si="63"/>
        <v>817.50863206255542</v>
      </c>
      <c r="AG163" s="306">
        <f t="shared" ca="1" si="85"/>
        <v>-27.59424145562118</v>
      </c>
      <c r="AH163" s="304">
        <f t="shared" ca="1" si="86"/>
        <v>-18.164031329713552</v>
      </c>
    </row>
    <row r="164" spans="1:34" x14ac:dyDescent="0.2">
      <c r="A164" s="347">
        <f t="shared" ca="1" si="64"/>
        <v>0.01</v>
      </c>
      <c r="B164" s="304">
        <f t="shared" ca="1" si="65"/>
        <v>6.1999999999999655</v>
      </c>
      <c r="D164" s="306">
        <f t="shared" ca="1" si="66"/>
        <v>-4.9894100906228456</v>
      </c>
      <c r="E164" s="307">
        <f t="shared" ca="1" si="67"/>
        <v>-27.204111637325845</v>
      </c>
      <c r="F164" s="304">
        <f t="shared" ca="1" si="68"/>
        <v>27.657872351800609</v>
      </c>
      <c r="G164" s="306">
        <f t="shared" ca="1" si="69"/>
        <v>41.82807692868311</v>
      </c>
      <c r="H164" s="307">
        <f t="shared" ca="1" si="70"/>
        <v>145.72319479385871</v>
      </c>
      <c r="I164" s="304">
        <f t="shared" ca="1" si="71"/>
        <v>151.60751142499743</v>
      </c>
      <c r="J164" s="306">
        <f t="shared" ca="1" si="72"/>
        <v>200.52766891484609</v>
      </c>
      <c r="K164" s="307">
        <f t="shared" ca="1" si="73"/>
        <v>818.96722421607592</v>
      </c>
      <c r="L164" s="304">
        <f t="shared" ca="1" si="58"/>
        <v>843.15992572026721</v>
      </c>
      <c r="M164" s="306">
        <f t="shared" ca="1" si="74"/>
        <v>1.2912733955348492</v>
      </c>
      <c r="N164" s="304">
        <f t="shared" ca="1" si="75"/>
        <v>73.984515761673862</v>
      </c>
      <c r="P164" s="310">
        <f t="shared" ca="1" si="76"/>
        <v>13</v>
      </c>
      <c r="Q164" s="304">
        <f t="shared" ca="1" si="77"/>
        <v>0</v>
      </c>
      <c r="R164" s="306">
        <f t="shared" ca="1" si="78"/>
        <v>0</v>
      </c>
      <c r="S164" s="307">
        <f t="shared" ca="1" si="79"/>
        <v>2.9362999999999984</v>
      </c>
      <c r="T164" s="304">
        <f t="shared" ca="1" si="59"/>
        <v>28.805102999999985</v>
      </c>
      <c r="U164" s="311">
        <f t="shared" ca="1" si="60"/>
        <v>0</v>
      </c>
      <c r="V164" s="306">
        <f t="shared" ca="1" si="61"/>
        <v>1.1286229954291149</v>
      </c>
      <c r="W164" s="304">
        <f t="shared" ca="1" si="62"/>
        <v>52.933851425424734</v>
      </c>
      <c r="Y164" s="314" t="str">
        <f t="shared" ca="1" si="80"/>
        <v/>
      </c>
      <c r="Z164" s="315" t="str">
        <f t="shared" ca="1" si="81"/>
        <v/>
      </c>
      <c r="AA164" s="316" t="str">
        <f t="shared" ca="1" si="82"/>
        <v/>
      </c>
      <c r="AC164" s="310" t="e">
        <f t="shared" ca="1" si="83"/>
        <v>#N/A</v>
      </c>
      <c r="AD164" s="323" t="e">
        <f t="shared" ca="1" si="84"/>
        <v>#N/A</v>
      </c>
      <c r="AE164" s="324">
        <f t="shared" ca="1" si="63"/>
        <v>818.96722421607592</v>
      </c>
      <c r="AG164" s="306">
        <f t="shared" ca="1" si="85"/>
        <v>-27.525289998806695</v>
      </c>
      <c r="AH164" s="304">
        <f t="shared" ca="1" si="86"/>
        <v>-18.095561132613803</v>
      </c>
    </row>
    <row r="165" spans="1:34" x14ac:dyDescent="0.2">
      <c r="A165" s="347">
        <f t="shared" ca="1" si="64"/>
        <v>0.01</v>
      </c>
      <c r="B165" s="304">
        <f t="shared" ca="1" si="65"/>
        <v>6.2099999999999653</v>
      </c>
      <c r="D165" s="306">
        <f t="shared" ca="1" si="66"/>
        <v>-4.9737075784001137</v>
      </c>
      <c r="E165" s="307">
        <f t="shared" ca="1" si="67"/>
        <v>-27.137704535177392</v>
      </c>
      <c r="F165" s="304">
        <f t="shared" ca="1" si="68"/>
        <v>27.589722262357451</v>
      </c>
      <c r="G165" s="306">
        <f t="shared" ca="1" si="69"/>
        <v>41.778339852899109</v>
      </c>
      <c r="H165" s="307">
        <f t="shared" ca="1" si="70"/>
        <v>145.45181774850693</v>
      </c>
      <c r="I165" s="304">
        <f t="shared" ca="1" si="71"/>
        <v>151.33294739483935</v>
      </c>
      <c r="J165" s="306">
        <f t="shared" ca="1" si="72"/>
        <v>200.94570099875401</v>
      </c>
      <c r="K165" s="307">
        <f t="shared" ca="1" si="73"/>
        <v>820.42309927878773</v>
      </c>
      <c r="L165" s="304">
        <f t="shared" ca="1" si="58"/>
        <v>844.67344967158294</v>
      </c>
      <c r="M165" s="306">
        <f t="shared" ca="1" si="74"/>
        <v>1.2910945481071718</v>
      </c>
      <c r="N165" s="304">
        <f t="shared" ca="1" si="75"/>
        <v>73.974268558891183</v>
      </c>
      <c r="P165" s="310">
        <f t="shared" ca="1" si="76"/>
        <v>13</v>
      </c>
      <c r="Q165" s="304">
        <f t="shared" ca="1" si="77"/>
        <v>0</v>
      </c>
      <c r="R165" s="306">
        <f t="shared" ca="1" si="78"/>
        <v>0</v>
      </c>
      <c r="S165" s="307">
        <f t="shared" ca="1" si="79"/>
        <v>2.9362999999999984</v>
      </c>
      <c r="T165" s="304">
        <f t="shared" ca="1" si="59"/>
        <v>28.805102999999985</v>
      </c>
      <c r="U165" s="311">
        <f t="shared" ca="1" si="60"/>
        <v>0</v>
      </c>
      <c r="V165" s="306">
        <f t="shared" ca="1" si="61"/>
        <v>1.1284584175523955</v>
      </c>
      <c r="W165" s="304">
        <f t="shared" ca="1" si="62"/>
        <v>52.734605674822802</v>
      </c>
      <c r="Y165" s="314" t="str">
        <f t="shared" ca="1" si="80"/>
        <v/>
      </c>
      <c r="Z165" s="315" t="str">
        <f t="shared" ca="1" si="81"/>
        <v/>
      </c>
      <c r="AA165" s="316" t="str">
        <f t="shared" ca="1" si="82"/>
        <v/>
      </c>
      <c r="AC165" s="310" t="e">
        <f t="shared" ca="1" si="83"/>
        <v>#N/A</v>
      </c>
      <c r="AD165" s="323" t="e">
        <f t="shared" ca="1" si="84"/>
        <v>#N/A</v>
      </c>
      <c r="AE165" s="324">
        <f t="shared" ca="1" si="63"/>
        <v>820.42309927878773</v>
      </c>
      <c r="AG165" s="306">
        <f t="shared" ca="1" si="85"/>
        <v>-27.456645045633188</v>
      </c>
      <c r="AH165" s="304">
        <f t="shared" ca="1" si="86"/>
        <v>-18.027398912040582</v>
      </c>
    </row>
    <row r="166" spans="1:34" x14ac:dyDescent="0.2">
      <c r="A166" s="347">
        <f t="shared" ca="1" si="64"/>
        <v>0.01</v>
      </c>
      <c r="B166" s="304">
        <f t="shared" ca="1" si="65"/>
        <v>6.2199999999999651</v>
      </c>
      <c r="D166" s="306">
        <f t="shared" ca="1" si="66"/>
        <v>-4.9580735574686718</v>
      </c>
      <c r="E166" s="307">
        <f t="shared" ca="1" si="67"/>
        <v>-27.071595697766377</v>
      </c>
      <c r="F166" s="304">
        <f t="shared" ca="1" si="68"/>
        <v>27.521878333874547</v>
      </c>
      <c r="G166" s="306">
        <f t="shared" ca="1" si="69"/>
        <v>41.728759117324422</v>
      </c>
      <c r="H166" s="307">
        <f t="shared" ca="1" si="70"/>
        <v>145.18110179152927</v>
      </c>
      <c r="I166" s="304">
        <f t="shared" ca="1" si="71"/>
        <v>151.05906677480195</v>
      </c>
      <c r="J166" s="306">
        <f t="shared" ca="1" si="72"/>
        <v>201.36323649360511</v>
      </c>
      <c r="K166" s="307">
        <f t="shared" ca="1" si="73"/>
        <v>821.87626387648788</v>
      </c>
      <c r="L166" s="304">
        <f t="shared" ca="1" si="58"/>
        <v>846.18422706568685</v>
      </c>
      <c r="M166" s="306">
        <f t="shared" ca="1" si="74"/>
        <v>1.2909152647812872</v>
      </c>
      <c r="N166" s="304">
        <f t="shared" ca="1" si="75"/>
        <v>73.963996380980916</v>
      </c>
      <c r="P166" s="310">
        <f t="shared" ca="1" si="76"/>
        <v>13</v>
      </c>
      <c r="Q166" s="304">
        <f t="shared" ca="1" si="77"/>
        <v>0</v>
      </c>
      <c r="R166" s="306">
        <f t="shared" ca="1" si="78"/>
        <v>0</v>
      </c>
      <c r="S166" s="307">
        <f t="shared" ca="1" si="79"/>
        <v>2.9362999999999984</v>
      </c>
      <c r="T166" s="304">
        <f t="shared" ca="1" si="59"/>
        <v>28.805102999999985</v>
      </c>
      <c r="U166" s="311">
        <f t="shared" ca="1" si="60"/>
        <v>0</v>
      </c>
      <c r="V166" s="306">
        <f t="shared" ca="1" si="61"/>
        <v>1.1282941690278532</v>
      </c>
      <c r="W166" s="304">
        <f t="shared" ca="1" si="62"/>
        <v>52.53625360780449</v>
      </c>
      <c r="Y166" s="314" t="str">
        <f t="shared" ca="1" si="80"/>
        <v/>
      </c>
      <c r="Z166" s="315" t="str">
        <f t="shared" ca="1" si="81"/>
        <v/>
      </c>
      <c r="AA166" s="316" t="str">
        <f t="shared" ca="1" si="82"/>
        <v/>
      </c>
      <c r="AC166" s="310" t="e">
        <f t="shared" ca="1" si="83"/>
        <v>#N/A</v>
      </c>
      <c r="AD166" s="323" t="e">
        <f t="shared" ca="1" si="84"/>
        <v>#N/A</v>
      </c>
      <c r="AE166" s="324">
        <f t="shared" ca="1" si="63"/>
        <v>821.87626387648788</v>
      </c>
      <c r="AG166" s="306">
        <f t="shared" ca="1" si="85"/>
        <v>-27.388304774626494</v>
      </c>
      <c r="AH166" s="304">
        <f t="shared" ca="1" si="86"/>
        <v>-17.95954285148753</v>
      </c>
    </row>
    <row r="167" spans="1:34" x14ac:dyDescent="0.2">
      <c r="A167" s="347">
        <f t="shared" ca="1" si="64"/>
        <v>0.01</v>
      </c>
      <c r="B167" s="304">
        <f t="shared" ca="1" si="65"/>
        <v>6.2299999999999649</v>
      </c>
      <c r="D167" s="306">
        <f t="shared" ca="1" si="66"/>
        <v>-4.9425076209180592</v>
      </c>
      <c r="E167" s="307">
        <f t="shared" ca="1" si="67"/>
        <v>-27.005783368502001</v>
      </c>
      <c r="F167" s="304">
        <f t="shared" ca="1" si="68"/>
        <v>27.45433876328644</v>
      </c>
      <c r="G167" s="306">
        <f t="shared" ca="1" si="69"/>
        <v>41.67933404111524</v>
      </c>
      <c r="H167" s="307">
        <f t="shared" ca="1" si="70"/>
        <v>144.91104395784424</v>
      </c>
      <c r="I167" s="304">
        <f t="shared" ca="1" si="71"/>
        <v>150.78586653616821</v>
      </c>
      <c r="J167" s="306">
        <f t="shared" ca="1" si="72"/>
        <v>201.78027695939733</v>
      </c>
      <c r="K167" s="307">
        <f t="shared" ca="1" si="73"/>
        <v>823.32672460523474</v>
      </c>
      <c r="L167" s="304">
        <f t="shared" ca="1" si="58"/>
        <v>847.69226469220246</v>
      </c>
      <c r="M167" s="306">
        <f t="shared" ca="1" si="74"/>
        <v>1.2907355445178279</v>
      </c>
      <c r="N167" s="304">
        <f t="shared" ca="1" si="75"/>
        <v>73.953699168391722</v>
      </c>
      <c r="P167" s="310">
        <f t="shared" ca="1" si="76"/>
        <v>13</v>
      </c>
      <c r="Q167" s="304">
        <f t="shared" ca="1" si="77"/>
        <v>0</v>
      </c>
      <c r="R167" s="306">
        <f t="shared" ca="1" si="78"/>
        <v>0</v>
      </c>
      <c r="S167" s="307">
        <f t="shared" ca="1" si="79"/>
        <v>2.9362999999999984</v>
      </c>
      <c r="T167" s="304">
        <f t="shared" ca="1" si="59"/>
        <v>28.805102999999985</v>
      </c>
      <c r="U167" s="311">
        <f t="shared" ca="1" si="60"/>
        <v>0</v>
      </c>
      <c r="V167" s="306">
        <f t="shared" ca="1" si="61"/>
        <v>1.1281302489770129</v>
      </c>
      <c r="W167" s="304">
        <f t="shared" ca="1" si="62"/>
        <v>52.338789969654854</v>
      </c>
      <c r="Y167" s="314" t="str">
        <f t="shared" ca="1" si="80"/>
        <v/>
      </c>
      <c r="Z167" s="315" t="str">
        <f t="shared" ca="1" si="81"/>
        <v/>
      </c>
      <c r="AA167" s="316" t="str">
        <f t="shared" ca="1" si="82"/>
        <v/>
      </c>
      <c r="AC167" s="310" t="e">
        <f t="shared" ca="1" si="83"/>
        <v>#N/A</v>
      </c>
      <c r="AD167" s="323" t="e">
        <f t="shared" ca="1" si="84"/>
        <v>#N/A</v>
      </c>
      <c r="AE167" s="324">
        <f t="shared" ca="1" si="63"/>
        <v>823.32672460523474</v>
      </c>
      <c r="AG167" s="306">
        <f t="shared" ca="1" si="85"/>
        <v>-27.320267377818361</v>
      </c>
      <c r="AH167" s="304">
        <f t="shared" ca="1" si="86"/>
        <v>-17.891991147976881</v>
      </c>
    </row>
    <row r="168" spans="1:34" x14ac:dyDescent="0.2">
      <c r="A168" s="347">
        <f t="shared" ca="1" si="64"/>
        <v>0.01</v>
      </c>
      <c r="B168" s="304">
        <f t="shared" ca="1" si="65"/>
        <v>6.2399999999999647</v>
      </c>
      <c r="D168" s="306">
        <f t="shared" ca="1" si="66"/>
        <v>-4.9270093648603481</v>
      </c>
      <c r="E168" s="307">
        <f t="shared" ca="1" si="67"/>
        <v>-26.940265803855532</v>
      </c>
      <c r="F168" s="304">
        <f t="shared" ca="1" si="68"/>
        <v>27.387101760935007</v>
      </c>
      <c r="G168" s="306">
        <f t="shared" ca="1" si="69"/>
        <v>41.630063947466638</v>
      </c>
      <c r="H168" s="307">
        <f t="shared" ca="1" si="70"/>
        <v>144.64164129980568</v>
      </c>
      <c r="I168" s="304">
        <f t="shared" ca="1" si="71"/>
        <v>150.51334366816721</v>
      </c>
      <c r="J168" s="306">
        <f t="shared" ca="1" si="72"/>
        <v>202.19682394934023</v>
      </c>
      <c r="K168" s="307">
        <f t="shared" ca="1" si="73"/>
        <v>824.77448803152299</v>
      </c>
      <c r="L168" s="304">
        <f t="shared" ca="1" si="58"/>
        <v>849.19756931049994</v>
      </c>
      <c r="M168" s="306">
        <f t="shared" ca="1" si="74"/>
        <v>1.2905553862734829</v>
      </c>
      <c r="N168" s="304">
        <f t="shared" ca="1" si="75"/>
        <v>73.943376861346266</v>
      </c>
      <c r="P168" s="310">
        <f t="shared" ca="1" si="76"/>
        <v>13</v>
      </c>
      <c r="Q168" s="304">
        <f t="shared" ca="1" si="77"/>
        <v>0</v>
      </c>
      <c r="R168" s="306">
        <f t="shared" ca="1" si="78"/>
        <v>0</v>
      </c>
      <c r="S168" s="307">
        <f t="shared" ca="1" si="79"/>
        <v>2.9362999999999984</v>
      </c>
      <c r="T168" s="304">
        <f t="shared" ca="1" si="59"/>
        <v>28.805102999999985</v>
      </c>
      <c r="U168" s="311">
        <f t="shared" ca="1" si="60"/>
        <v>0</v>
      </c>
      <c r="V168" s="306">
        <f t="shared" ca="1" si="61"/>
        <v>1.1279666565254491</v>
      </c>
      <c r="W168" s="304">
        <f t="shared" ca="1" si="62"/>
        <v>52.14220954467644</v>
      </c>
      <c r="Y168" s="314" t="str">
        <f t="shared" ca="1" si="80"/>
        <v/>
      </c>
      <c r="Z168" s="315" t="str">
        <f t="shared" ca="1" si="81"/>
        <v/>
      </c>
      <c r="AA168" s="316" t="str">
        <f t="shared" ca="1" si="82"/>
        <v/>
      </c>
      <c r="AC168" s="310" t="e">
        <f t="shared" ca="1" si="83"/>
        <v>#N/A</v>
      </c>
      <c r="AD168" s="323" t="e">
        <f t="shared" ca="1" si="84"/>
        <v>#N/A</v>
      </c>
      <c r="AE168" s="324">
        <f t="shared" ca="1" si="63"/>
        <v>824.77448803152299</v>
      </c>
      <c r="AG168" s="306">
        <f t="shared" ca="1" si="85"/>
        <v>-27.252531060625358</v>
      </c>
      <c r="AH168" s="304">
        <f t="shared" ca="1" si="86"/>
        <v>-17.824742011938454</v>
      </c>
    </row>
    <row r="169" spans="1:34" x14ac:dyDescent="0.2">
      <c r="A169" s="347">
        <f t="shared" ca="1" si="64"/>
        <v>0.01</v>
      </c>
      <c r="B169" s="304">
        <f t="shared" ca="1" si="65"/>
        <v>6.2499999999999645</v>
      </c>
      <c r="D169" s="306">
        <f t="shared" ca="1" si="66"/>
        <v>-4.911578388403214</v>
      </c>
      <c r="E169" s="307">
        <f t="shared" ca="1" si="67"/>
        <v>-26.875041273243774</v>
      </c>
      <c r="F169" s="304">
        <f t="shared" ca="1" si="68"/>
        <v>27.320165550449833</v>
      </c>
      <c r="G169" s="306">
        <f t="shared" ca="1" si="69"/>
        <v>41.580948163582605</v>
      </c>
      <c r="H169" s="307">
        <f t="shared" ca="1" si="70"/>
        <v>144.37289088707325</v>
      </c>
      <c r="I169" s="304">
        <f t="shared" ca="1" si="71"/>
        <v>150.24149517784127</v>
      </c>
      <c r="J169" s="306">
        <f t="shared" ca="1" si="72"/>
        <v>202.61287900989547</v>
      </c>
      <c r="K169" s="307">
        <f t="shared" ca="1" si="73"/>
        <v>826.21956069245743</v>
      </c>
      <c r="L169" s="304">
        <f t="shared" ca="1" si="58"/>
        <v>850.70014764987309</v>
      </c>
      <c r="M169" s="306">
        <f t="shared" ca="1" si="74"/>
        <v>1.2903747890009813</v>
      </c>
      <c r="N169" s="304">
        <f t="shared" ca="1" si="75"/>
        <v>73.93302939984035</v>
      </c>
      <c r="P169" s="310">
        <f t="shared" ca="1" si="76"/>
        <v>13</v>
      </c>
      <c r="Q169" s="304">
        <f t="shared" ca="1" si="77"/>
        <v>0</v>
      </c>
      <c r="R169" s="306">
        <f t="shared" ca="1" si="78"/>
        <v>0</v>
      </c>
      <c r="S169" s="307">
        <f t="shared" ca="1" si="79"/>
        <v>2.9362999999999984</v>
      </c>
      <c r="T169" s="304">
        <f t="shared" ca="1" si="59"/>
        <v>28.805102999999985</v>
      </c>
      <c r="U169" s="311">
        <f t="shared" ca="1" si="60"/>
        <v>0</v>
      </c>
      <c r="V169" s="306">
        <f t="shared" ca="1" si="61"/>
        <v>1.1278033908027609</v>
      </c>
      <c r="W169" s="304">
        <f t="shared" ca="1" si="62"/>
        <v>51.946507155841296</v>
      </c>
      <c r="Y169" s="314" t="str">
        <f t="shared" ca="1" si="80"/>
        <v/>
      </c>
      <c r="Z169" s="315" t="str">
        <f t="shared" ca="1" si="81"/>
        <v/>
      </c>
      <c r="AA169" s="316" t="str">
        <f t="shared" ca="1" si="82"/>
        <v/>
      </c>
      <c r="AC169" s="310" t="e">
        <f t="shared" ca="1" si="83"/>
        <v>#N/A</v>
      </c>
      <c r="AD169" s="323" t="e">
        <f t="shared" ca="1" si="84"/>
        <v>#N/A</v>
      </c>
      <c r="AE169" s="324">
        <f t="shared" ca="1" si="63"/>
        <v>826.21956069245743</v>
      </c>
      <c r="AG169" s="306">
        <f t="shared" ca="1" si="85"/>
        <v>-27.185094041729116</v>
      </c>
      <c r="AH169" s="304">
        <f t="shared" ca="1" si="86"/>
        <v>-17.757793667090034</v>
      </c>
    </row>
    <row r="170" spans="1:34" x14ac:dyDescent="0.2">
      <c r="A170" s="347">
        <f t="shared" ca="1" si="64"/>
        <v>0.01</v>
      </c>
      <c r="B170" s="304">
        <f t="shared" ca="1" si="65"/>
        <v>6.2599999999999643</v>
      </c>
      <c r="D170" s="306">
        <f t="shared" ca="1" si="66"/>
        <v>-4.8962142936231929</v>
      </c>
      <c r="E170" s="307">
        <f t="shared" ca="1" si="67"/>
        <v>-26.810108058913613</v>
      </c>
      <c r="F170" s="304">
        <f t="shared" ca="1" si="68"/>
        <v>27.253528368629716</v>
      </c>
      <c r="G170" s="306">
        <f t="shared" ca="1" si="69"/>
        <v>41.531986020646372</v>
      </c>
      <c r="H170" s="307">
        <f t="shared" ca="1" si="70"/>
        <v>144.10478980648412</v>
      </c>
      <c r="I170" s="304">
        <f t="shared" ca="1" si="71"/>
        <v>149.97031808991451</v>
      </c>
      <c r="J170" s="306">
        <f t="shared" ca="1" si="72"/>
        <v>203.02844368081662</v>
      </c>
      <c r="K170" s="307">
        <f t="shared" ca="1" si="73"/>
        <v>827.66194909592525</v>
      </c>
      <c r="L170" s="304">
        <f t="shared" ca="1" si="58"/>
        <v>852.20000640971637</v>
      </c>
      <c r="M170" s="306">
        <f t="shared" ca="1" si="74"/>
        <v>1.2901937516490769</v>
      </c>
      <c r="N170" s="304">
        <f t="shared" ca="1" si="75"/>
        <v>73.922656723642007</v>
      </c>
      <c r="P170" s="310">
        <f t="shared" ca="1" si="76"/>
        <v>13</v>
      </c>
      <c r="Q170" s="304">
        <f t="shared" ca="1" si="77"/>
        <v>0</v>
      </c>
      <c r="R170" s="306">
        <f t="shared" ca="1" si="78"/>
        <v>0</v>
      </c>
      <c r="S170" s="307">
        <f t="shared" ca="1" si="79"/>
        <v>2.9362999999999984</v>
      </c>
      <c r="T170" s="304">
        <f t="shared" ca="1" si="59"/>
        <v>28.805102999999985</v>
      </c>
      <c r="U170" s="311">
        <f t="shared" ca="1" si="60"/>
        <v>0</v>
      </c>
      <c r="V170" s="306">
        <f t="shared" ca="1" si="61"/>
        <v>1.1276404509425491</v>
      </c>
      <c r="W170" s="304">
        <f t="shared" ca="1" si="62"/>
        <v>51.751677664446945</v>
      </c>
      <c r="Y170" s="314" t="str">
        <f t="shared" ca="1" si="80"/>
        <v/>
      </c>
      <c r="Z170" s="315" t="str">
        <f t="shared" ca="1" si="81"/>
        <v/>
      </c>
      <c r="AA170" s="316" t="str">
        <f t="shared" ca="1" si="82"/>
        <v/>
      </c>
      <c r="AC170" s="310" t="e">
        <f t="shared" ca="1" si="83"/>
        <v>#N/A</v>
      </c>
      <c r="AD170" s="323" t="e">
        <f t="shared" ca="1" si="84"/>
        <v>#N/A</v>
      </c>
      <c r="AE170" s="324">
        <f t="shared" ca="1" si="63"/>
        <v>827.66194909592525</v>
      </c>
      <c r="AG170" s="306">
        <f t="shared" ca="1" si="85"/>
        <v>-27.11795455295772</v>
      </c>
      <c r="AH170" s="304">
        <f t="shared" ca="1" si="86"/>
        <v>-17.691144350318879</v>
      </c>
    </row>
    <row r="171" spans="1:34" x14ac:dyDescent="0.2">
      <c r="A171" s="347">
        <f t="shared" ca="1" si="64"/>
        <v>0.01</v>
      </c>
      <c r="B171" s="304">
        <f t="shared" ca="1" si="65"/>
        <v>6.269999999999964</v>
      </c>
      <c r="D171" s="306">
        <f t="shared" ca="1" si="66"/>
        <v>-4.8809166855392627</v>
      </c>
      <c r="E171" s="307">
        <f t="shared" ca="1" si="67"/>
        <v>-26.745464455827872</v>
      </c>
      <c r="F171" s="304">
        <f t="shared" ca="1" si="68"/>
        <v>27.187188465325494</v>
      </c>
      <c r="G171" s="306">
        <f t="shared" ca="1" si="69"/>
        <v>41.48317685379098</v>
      </c>
      <c r="H171" s="307">
        <f t="shared" ca="1" si="70"/>
        <v>143.83733516192584</v>
      </c>
      <c r="I171" s="304">
        <f t="shared" ca="1" si="71"/>
        <v>149.69980944666256</v>
      </c>
      <c r="J171" s="306">
        <f t="shared" ca="1" si="72"/>
        <v>203.44351949518881</v>
      </c>
      <c r="K171" s="307">
        <f t="shared" ca="1" si="73"/>
        <v>829.10165972076732</v>
      </c>
      <c r="L171" s="304">
        <f t="shared" ca="1" si="58"/>
        <v>853.69715225969935</v>
      </c>
      <c r="M171" s="306">
        <f t="shared" ca="1" si="74"/>
        <v>1.2900122731625308</v>
      </c>
      <c r="N171" s="304">
        <f t="shared" ca="1" si="75"/>
        <v>73.912258772290485</v>
      </c>
      <c r="P171" s="310">
        <f t="shared" ca="1" si="76"/>
        <v>13</v>
      </c>
      <c r="Q171" s="304">
        <f t="shared" ca="1" si="77"/>
        <v>0</v>
      </c>
      <c r="R171" s="306">
        <f t="shared" ca="1" si="78"/>
        <v>0</v>
      </c>
      <c r="S171" s="307">
        <f t="shared" ca="1" si="79"/>
        <v>2.9362999999999984</v>
      </c>
      <c r="T171" s="304">
        <f t="shared" ca="1" si="59"/>
        <v>28.805102999999985</v>
      </c>
      <c r="U171" s="311">
        <f t="shared" ca="1" si="60"/>
        <v>0</v>
      </c>
      <c r="V171" s="306">
        <f t="shared" ca="1" si="61"/>
        <v>1.1274778360823887</v>
      </c>
      <c r="W171" s="304">
        <f t="shared" ca="1" si="62"/>
        <v>51.557715969775586</v>
      </c>
      <c r="Y171" s="314" t="str">
        <f t="shared" ca="1" si="80"/>
        <v/>
      </c>
      <c r="Z171" s="315" t="str">
        <f t="shared" ca="1" si="81"/>
        <v/>
      </c>
      <c r="AA171" s="316" t="str">
        <f t="shared" ca="1" si="82"/>
        <v/>
      </c>
      <c r="AC171" s="310" t="e">
        <f t="shared" ca="1" si="83"/>
        <v>#N/A</v>
      </c>
      <c r="AD171" s="323" t="e">
        <f t="shared" ca="1" si="84"/>
        <v>#N/A</v>
      </c>
      <c r="AE171" s="324">
        <f t="shared" ca="1" si="63"/>
        <v>829.10165972076732</v>
      </c>
      <c r="AG171" s="306">
        <f t="shared" ca="1" si="85"/>
        <v>-27.05111083916843</v>
      </c>
      <c r="AH171" s="304">
        <f t="shared" ca="1" si="86"/>
        <v>-17.624792311564544</v>
      </c>
    </row>
    <row r="172" spans="1:34" x14ac:dyDescent="0.2">
      <c r="A172" s="347">
        <f t="shared" ca="1" si="64"/>
        <v>0.01</v>
      </c>
      <c r="B172" s="304">
        <f t="shared" ca="1" si="65"/>
        <v>6.2799999999999638</v>
      </c>
      <c r="D172" s="306">
        <f t="shared" ca="1" si="66"/>
        <v>-4.8656851720866836</v>
      </c>
      <c r="E172" s="307">
        <f t="shared" ca="1" si="67"/>
        <v>-26.681108771552218</v>
      </c>
      <c r="F172" s="304">
        <f t="shared" ca="1" si="68"/>
        <v>27.121144103323978</v>
      </c>
      <c r="G172" s="306">
        <f t="shared" ca="1" si="69"/>
        <v>41.434520002070116</v>
      </c>
      <c r="H172" s="307">
        <f t="shared" ca="1" si="70"/>
        <v>143.57052407421031</v>
      </c>
      <c r="I172" s="304">
        <f t="shared" ca="1" si="71"/>
        <v>149.42996630778362</v>
      </c>
      <c r="J172" s="306">
        <f t="shared" ca="1" si="72"/>
        <v>203.85810797946812</v>
      </c>
      <c r="K172" s="307">
        <f t="shared" ca="1" si="73"/>
        <v>830.53869901694804</v>
      </c>
      <c r="L172" s="304">
        <f t="shared" ca="1" si="58"/>
        <v>855.19159183994157</v>
      </c>
      <c r="M172" s="306">
        <f t="shared" ca="1" si="74"/>
        <v>1.2898303524820953</v>
      </c>
      <c r="N172" s="304">
        <f t="shared" ca="1" si="75"/>
        <v>73.90183548509539</v>
      </c>
      <c r="P172" s="310">
        <f t="shared" ca="1" si="76"/>
        <v>13</v>
      </c>
      <c r="Q172" s="304">
        <f t="shared" ca="1" si="77"/>
        <v>0</v>
      </c>
      <c r="R172" s="306">
        <f t="shared" ca="1" si="78"/>
        <v>0</v>
      </c>
      <c r="S172" s="307">
        <f t="shared" ca="1" si="79"/>
        <v>2.9362999999999984</v>
      </c>
      <c r="T172" s="304">
        <f t="shared" ca="1" si="59"/>
        <v>28.805102999999985</v>
      </c>
      <c r="U172" s="311">
        <f t="shared" ca="1" si="60"/>
        <v>0</v>
      </c>
      <c r="V172" s="306">
        <f t="shared" ca="1" si="61"/>
        <v>1.1273155453638102</v>
      </c>
      <c r="W172" s="304">
        <f t="shared" ca="1" si="62"/>
        <v>51.364617008757456</v>
      </c>
      <c r="Y172" s="314" t="str">
        <f t="shared" ca="1" si="80"/>
        <v/>
      </c>
      <c r="Z172" s="315" t="str">
        <f t="shared" ca="1" si="81"/>
        <v/>
      </c>
      <c r="AA172" s="316" t="str">
        <f t="shared" ca="1" si="82"/>
        <v/>
      </c>
      <c r="AC172" s="310" t="e">
        <f t="shared" ca="1" si="83"/>
        <v>#N/A</v>
      </c>
      <c r="AD172" s="323" t="e">
        <f t="shared" ca="1" si="84"/>
        <v>#N/A</v>
      </c>
      <c r="AE172" s="324">
        <f t="shared" ca="1" si="63"/>
        <v>830.53869901694804</v>
      </c>
      <c r="AG172" s="306">
        <f t="shared" ca="1" si="85"/>
        <v>-26.984561158131484</v>
      </c>
      <c r="AH172" s="304">
        <f t="shared" ca="1" si="86"/>
        <v>-17.558735813702828</v>
      </c>
    </row>
    <row r="173" spans="1:34" x14ac:dyDescent="0.2">
      <c r="A173" s="347">
        <f t="shared" ca="1" si="64"/>
        <v>0.01</v>
      </c>
      <c r="B173" s="304">
        <f t="shared" ca="1" si="65"/>
        <v>6.2899999999999636</v>
      </c>
      <c r="D173" s="306">
        <f t="shared" ca="1" si="66"/>
        <v>-4.850519364091145</v>
      </c>
      <c r="E173" s="307">
        <f t="shared" ca="1" si="67"/>
        <v>-26.617039326143484</v>
      </c>
      <c r="F173" s="304">
        <f t="shared" ca="1" si="68"/>
        <v>27.055393558233298</v>
      </c>
      <c r="G173" s="306">
        <f t="shared" ca="1" si="69"/>
        <v>41.386014808429202</v>
      </c>
      <c r="H173" s="307">
        <f t="shared" ca="1" si="70"/>
        <v>143.30435368094888</v>
      </c>
      <c r="I173" s="304">
        <f t="shared" ca="1" si="71"/>
        <v>149.16078575027021</v>
      </c>
      <c r="J173" s="306">
        <f t="shared" ca="1" si="72"/>
        <v>204.2722106535206</v>
      </c>
      <c r="K173" s="307">
        <f t="shared" ca="1" si="73"/>
        <v>831.97307340572388</v>
      </c>
      <c r="L173" s="304">
        <f t="shared" ca="1" si="58"/>
        <v>856.68333176118369</v>
      </c>
      <c r="M173" s="306">
        <f t="shared" ca="1" si="74"/>
        <v>1.2896479885444969</v>
      </c>
      <c r="N173" s="304">
        <f t="shared" ca="1" si="75"/>
        <v>73.89138680113561</v>
      </c>
      <c r="P173" s="310">
        <f t="shared" ca="1" si="76"/>
        <v>13</v>
      </c>
      <c r="Q173" s="304">
        <f t="shared" ca="1" si="77"/>
        <v>0</v>
      </c>
      <c r="R173" s="306">
        <f t="shared" ca="1" si="78"/>
        <v>0</v>
      </c>
      <c r="S173" s="307">
        <f t="shared" ca="1" si="79"/>
        <v>2.9362999999999984</v>
      </c>
      <c r="T173" s="304">
        <f t="shared" ca="1" si="59"/>
        <v>28.805102999999985</v>
      </c>
      <c r="U173" s="311">
        <f t="shared" ca="1" si="60"/>
        <v>0</v>
      </c>
      <c r="V173" s="306">
        <f t="shared" ca="1" si="61"/>
        <v>1.1271535779322712</v>
      </c>
      <c r="W173" s="304">
        <f t="shared" ca="1" si="62"/>
        <v>51.172375755636885</v>
      </c>
      <c r="Y173" s="314" t="str">
        <f t="shared" ca="1" si="80"/>
        <v/>
      </c>
      <c r="Z173" s="315" t="str">
        <f t="shared" ca="1" si="81"/>
        <v/>
      </c>
      <c r="AA173" s="316" t="str">
        <f t="shared" ca="1" si="82"/>
        <v/>
      </c>
      <c r="AC173" s="310" t="e">
        <f t="shared" ca="1" si="83"/>
        <v>#N/A</v>
      </c>
      <c r="AD173" s="323" t="e">
        <f t="shared" ca="1" si="84"/>
        <v>#N/A</v>
      </c>
      <c r="AE173" s="324">
        <f t="shared" ca="1" si="63"/>
        <v>831.97307340572388</v>
      </c>
      <c r="AG173" s="306">
        <f t="shared" ca="1" si="85"/>
        <v>-26.918303780415339</v>
      </c>
      <c r="AH173" s="304">
        <f t="shared" ca="1" si="86"/>
        <v>-17.492973132431114</v>
      </c>
    </row>
    <row r="174" spans="1:34" x14ac:dyDescent="0.2">
      <c r="A174" s="347">
        <f t="shared" ca="1" si="64"/>
        <v>0.01</v>
      </c>
      <c r="B174" s="304">
        <f t="shared" ca="1" si="65"/>
        <v>6.2999999999999634</v>
      </c>
      <c r="D174" s="306">
        <f t="shared" ca="1" si="66"/>
        <v>-4.8354188752431391</v>
      </c>
      <c r="E174" s="307">
        <f t="shared" ca="1" si="67"/>
        <v>-26.553254452038864</v>
      </c>
      <c r="F174" s="304">
        <f t="shared" ca="1" si="68"/>
        <v>26.989935118369207</v>
      </c>
      <c r="G174" s="306">
        <f t="shared" ca="1" si="69"/>
        <v>41.337660619676768</v>
      </c>
      <c r="H174" s="307">
        <f t="shared" ca="1" si="70"/>
        <v>143.03882113642848</v>
      </c>
      <c r="I174" s="304">
        <f t="shared" ca="1" si="71"/>
        <v>148.89226486828238</v>
      </c>
      <c r="J174" s="306">
        <f t="shared" ca="1" si="72"/>
        <v>204.68582903066113</v>
      </c>
      <c r="K174" s="307">
        <f t="shared" ca="1" si="73"/>
        <v>833.40478927981076</v>
      </c>
      <c r="L174" s="304">
        <f t="shared" ca="1" si="58"/>
        <v>858.17237860496004</v>
      </c>
      <c r="M174" s="306">
        <f t="shared" ca="1" si="74"/>
        <v>1.2894651802824206</v>
      </c>
      <c r="N174" s="304">
        <f t="shared" ca="1" si="75"/>
        <v>73.880912659258513</v>
      </c>
      <c r="P174" s="310">
        <f t="shared" ca="1" si="76"/>
        <v>13</v>
      </c>
      <c r="Q174" s="304">
        <f t="shared" ca="1" si="77"/>
        <v>0</v>
      </c>
      <c r="R174" s="306">
        <f t="shared" ca="1" si="78"/>
        <v>0</v>
      </c>
      <c r="S174" s="307">
        <f t="shared" ca="1" si="79"/>
        <v>2.9362999999999984</v>
      </c>
      <c r="T174" s="304">
        <f t="shared" ca="1" si="59"/>
        <v>28.805102999999985</v>
      </c>
      <c r="U174" s="311">
        <f t="shared" ca="1" si="60"/>
        <v>0</v>
      </c>
      <c r="V174" s="306">
        <f t="shared" ca="1" si="61"/>
        <v>1.1269919329371356</v>
      </c>
      <c r="W174" s="304">
        <f t="shared" ca="1" si="62"/>
        <v>50.980987221642259</v>
      </c>
      <c r="Y174" s="314" t="str">
        <f t="shared" ca="1" si="80"/>
        <v/>
      </c>
      <c r="Z174" s="315" t="str">
        <f t="shared" ca="1" si="81"/>
        <v/>
      </c>
      <c r="AA174" s="316" t="str">
        <f t="shared" ca="1" si="82"/>
        <v/>
      </c>
      <c r="AC174" s="310" t="e">
        <f t="shared" ca="1" si="83"/>
        <v>#N/A</v>
      </c>
      <c r="AD174" s="323" t="e">
        <f t="shared" ca="1" si="84"/>
        <v>#N/A</v>
      </c>
      <c r="AE174" s="324">
        <f t="shared" ca="1" si="63"/>
        <v>833.40478927981076</v>
      </c>
      <c r="AG174" s="306">
        <f t="shared" ca="1" si="85"/>
        <v>-26.852336989272821</v>
      </c>
      <c r="AH174" s="304">
        <f t="shared" ca="1" si="86"/>
        <v>-17.427502556154653</v>
      </c>
    </row>
    <row r="175" spans="1:34" x14ac:dyDescent="0.2">
      <c r="A175" s="347">
        <f t="shared" ca="1" si="64"/>
        <v>0.01</v>
      </c>
      <c r="B175" s="304">
        <f t="shared" ca="1" si="65"/>
        <v>6.3099999999999632</v>
      </c>
      <c r="D175" s="306">
        <f t="shared" ca="1" si="66"/>
        <v>-4.8203833220725851</v>
      </c>
      <c r="E175" s="307">
        <f t="shared" ca="1" si="67"/>
        <v>-26.489752493946405</v>
      </c>
      <c r="F175" s="304">
        <f t="shared" ca="1" si="68"/>
        <v>26.924767084642632</v>
      </c>
      <c r="G175" s="306">
        <f t="shared" ca="1" si="69"/>
        <v>41.289456786456043</v>
      </c>
      <c r="H175" s="307">
        <f t="shared" ca="1" si="70"/>
        <v>142.77392361148901</v>
      </c>
      <c r="I175" s="304">
        <f t="shared" ca="1" si="71"/>
        <v>148.62440077302219</v>
      </c>
      <c r="J175" s="306">
        <f t="shared" ca="1" si="72"/>
        <v>205.09896461769179</v>
      </c>
      <c r="K175" s="307">
        <f t="shared" ca="1" si="73"/>
        <v>834.8338530035503</v>
      </c>
      <c r="L175" s="304">
        <f t="shared" ca="1" si="58"/>
        <v>859.65873892376771</v>
      </c>
      <c r="M175" s="306">
        <f t="shared" ca="1" si="74"/>
        <v>1.2892819266244915</v>
      </c>
      <c r="N175" s="304">
        <f t="shared" ca="1" si="75"/>
        <v>73.870412998078848</v>
      </c>
      <c r="P175" s="310">
        <f t="shared" ca="1" si="76"/>
        <v>13</v>
      </c>
      <c r="Q175" s="304">
        <f t="shared" ca="1" si="77"/>
        <v>0</v>
      </c>
      <c r="R175" s="306">
        <f t="shared" ca="1" si="78"/>
        <v>0</v>
      </c>
      <c r="S175" s="307">
        <f t="shared" ca="1" si="79"/>
        <v>2.9362999999999984</v>
      </c>
      <c r="T175" s="304">
        <f t="shared" ca="1" si="59"/>
        <v>28.805102999999985</v>
      </c>
      <c r="U175" s="311">
        <f t="shared" ca="1" si="60"/>
        <v>0</v>
      </c>
      <c r="V175" s="306">
        <f t="shared" ca="1" si="61"/>
        <v>1.1268306095316503</v>
      </c>
      <c r="W175" s="304">
        <f t="shared" ca="1" si="62"/>
        <v>50.790446454659602</v>
      </c>
      <c r="Y175" s="314" t="str">
        <f t="shared" ca="1" si="80"/>
        <v/>
      </c>
      <c r="Z175" s="315" t="str">
        <f t="shared" ca="1" si="81"/>
        <v/>
      </c>
      <c r="AA175" s="316" t="str">
        <f t="shared" ca="1" si="82"/>
        <v/>
      </c>
      <c r="AC175" s="310" t="e">
        <f t="shared" ca="1" si="83"/>
        <v>#N/A</v>
      </c>
      <c r="AD175" s="323" t="e">
        <f t="shared" ca="1" si="84"/>
        <v>#N/A</v>
      </c>
      <c r="AE175" s="324">
        <f t="shared" ca="1" si="63"/>
        <v>834.8338530035503</v>
      </c>
      <c r="AG175" s="306">
        <f t="shared" ca="1" si="85"/>
        <v>-26.786659080528608</v>
      </c>
      <c r="AH175" s="304">
        <f t="shared" ca="1" si="86"/>
        <v>-17.362322385874158</v>
      </c>
    </row>
    <row r="176" spans="1:34" x14ac:dyDescent="0.2">
      <c r="A176" s="347">
        <f t="shared" ca="1" si="64"/>
        <v>0.01</v>
      </c>
      <c r="B176" s="304">
        <f t="shared" ca="1" si="65"/>
        <v>6.319999999999963</v>
      </c>
      <c r="D176" s="306">
        <f t="shared" ca="1" si="66"/>
        <v>-4.8054123239238082</v>
      </c>
      <c r="E176" s="307">
        <f t="shared" ca="1" si="67"/>
        <v>-26.426531808736684</v>
      </c>
      <c r="F176" s="304">
        <f t="shared" ca="1" si="68"/>
        <v>26.85988777044853</v>
      </c>
      <c r="G176" s="306">
        <f t="shared" ca="1" si="69"/>
        <v>41.241402663216803</v>
      </c>
      <c r="H176" s="307">
        <f t="shared" ca="1" si="70"/>
        <v>142.50965829340166</v>
      </c>
      <c r="I176" s="304">
        <f t="shared" ca="1" si="71"/>
        <v>148.35719059260893</v>
      </c>
      <c r="J176" s="306">
        <f t="shared" ca="1" si="72"/>
        <v>205.51161891494016</v>
      </c>
      <c r="K176" s="307">
        <f t="shared" ca="1" si="73"/>
        <v>836.26027091307481</v>
      </c>
      <c r="L176" s="304">
        <f t="shared" ca="1" si="58"/>
        <v>861.1424192412361</v>
      </c>
      <c r="M176" s="306">
        <f t="shared" ca="1" si="74"/>
        <v>1.28909822649526</v>
      </c>
      <c r="N176" s="304">
        <f t="shared" ca="1" si="75"/>
        <v>73.859887755977866</v>
      </c>
      <c r="P176" s="310">
        <f t="shared" ca="1" si="76"/>
        <v>13</v>
      </c>
      <c r="Q176" s="304">
        <f t="shared" ca="1" si="77"/>
        <v>0</v>
      </c>
      <c r="R176" s="306">
        <f t="shared" ca="1" si="78"/>
        <v>0</v>
      </c>
      <c r="S176" s="307">
        <f t="shared" ca="1" si="79"/>
        <v>2.9362999999999984</v>
      </c>
      <c r="T176" s="304">
        <f t="shared" ca="1" si="59"/>
        <v>28.805102999999985</v>
      </c>
      <c r="U176" s="311">
        <f t="shared" ca="1" si="60"/>
        <v>0</v>
      </c>
      <c r="V176" s="306">
        <f t="shared" ca="1" si="61"/>
        <v>1.1266696068729207</v>
      </c>
      <c r="W176" s="304">
        <f t="shared" ca="1" si="62"/>
        <v>50.60074853890896</v>
      </c>
      <c r="Y176" s="314" t="str">
        <f t="shared" ca="1" si="80"/>
        <v/>
      </c>
      <c r="Z176" s="315" t="str">
        <f t="shared" ca="1" si="81"/>
        <v/>
      </c>
      <c r="AA176" s="316" t="str">
        <f t="shared" ca="1" si="82"/>
        <v/>
      </c>
      <c r="AC176" s="310" t="e">
        <f t="shared" ca="1" si="83"/>
        <v>#N/A</v>
      </c>
      <c r="AD176" s="323" t="e">
        <f t="shared" ca="1" si="84"/>
        <v>#N/A</v>
      </c>
      <c r="AE176" s="324">
        <f t="shared" ca="1" si="63"/>
        <v>836.26027091307481</v>
      </c>
      <c r="AG176" s="306">
        <f t="shared" ca="1" si="85"/>
        <v>-26.721268362467924</v>
      </c>
      <c r="AH176" s="304">
        <f t="shared" ca="1" si="86"/>
        <v>-17.29743093507463</v>
      </c>
    </row>
    <row r="177" spans="1:34" x14ac:dyDescent="0.2">
      <c r="A177" s="347">
        <f t="shared" ca="1" si="64"/>
        <v>0.01</v>
      </c>
      <c r="B177" s="304">
        <f t="shared" ca="1" si="65"/>
        <v>6.3299999999999628</v>
      </c>
      <c r="D177" s="306">
        <f t="shared" ca="1" si="66"/>
        <v>-4.7905055029306443</v>
      </c>
      <c r="E177" s="307">
        <f t="shared" ca="1" si="67"/>
        <v>-26.363590765335452</v>
      </c>
      <c r="F177" s="304">
        <f t="shared" ca="1" si="68"/>
        <v>26.795295501555671</v>
      </c>
      <c r="G177" s="306">
        <f t="shared" ca="1" si="69"/>
        <v>41.193497608187499</v>
      </c>
      <c r="H177" s="307">
        <f t="shared" ca="1" si="70"/>
        <v>142.24602238574829</v>
      </c>
      <c r="I177" s="304">
        <f t="shared" ca="1" si="71"/>
        <v>148.09063147195556</v>
      </c>
      <c r="J177" s="306">
        <f t="shared" ca="1" si="72"/>
        <v>205.92379341629717</v>
      </c>
      <c r="K177" s="307">
        <f t="shared" ca="1" si="73"/>
        <v>837.68404931647058</v>
      </c>
      <c r="L177" s="304">
        <f t="shared" ca="1" si="58"/>
        <v>862.62342605229367</v>
      </c>
      <c r="M177" s="306">
        <f t="shared" ca="1" si="74"/>
        <v>1.2889140788151825</v>
      </c>
      <c r="N177" s="304">
        <f t="shared" ca="1" si="75"/>
        <v>73.849336871102309</v>
      </c>
      <c r="P177" s="310">
        <f t="shared" ca="1" si="76"/>
        <v>13</v>
      </c>
      <c r="Q177" s="304">
        <f t="shared" ca="1" si="77"/>
        <v>0</v>
      </c>
      <c r="R177" s="306">
        <f t="shared" ca="1" si="78"/>
        <v>0</v>
      </c>
      <c r="S177" s="307">
        <f t="shared" ca="1" si="79"/>
        <v>2.9362999999999984</v>
      </c>
      <c r="T177" s="304">
        <f t="shared" ca="1" si="59"/>
        <v>28.805102999999985</v>
      </c>
      <c r="U177" s="311">
        <f t="shared" ca="1" si="60"/>
        <v>0</v>
      </c>
      <c r="V177" s="306">
        <f t="shared" ca="1" si="61"/>
        <v>1.126508924121888</v>
      </c>
      <c r="W177" s="304">
        <f t="shared" ca="1" si="62"/>
        <v>50.411888594624472</v>
      </c>
      <c r="Y177" s="314" t="str">
        <f t="shared" ca="1" si="80"/>
        <v/>
      </c>
      <c r="Z177" s="315" t="str">
        <f t="shared" ca="1" si="81"/>
        <v/>
      </c>
      <c r="AA177" s="316" t="str">
        <f t="shared" ca="1" si="82"/>
        <v/>
      </c>
      <c r="AC177" s="310" t="e">
        <f t="shared" ca="1" si="83"/>
        <v>#N/A</v>
      </c>
      <c r="AD177" s="323" t="e">
        <f t="shared" ca="1" si="84"/>
        <v>#N/A</v>
      </c>
      <c r="AE177" s="324">
        <f t="shared" ca="1" si="63"/>
        <v>837.68404931647058</v>
      </c>
      <c r="AG177" s="306">
        <f t="shared" ca="1" si="85"/>
        <v>-26.656163155726212</v>
      </c>
      <c r="AH177" s="304">
        <f t="shared" ca="1" si="86"/>
        <v>-17.232826529615156</v>
      </c>
    </row>
    <row r="178" spans="1:34" x14ac:dyDescent="0.2">
      <c r="A178" s="347">
        <f t="shared" ca="1" si="64"/>
        <v>0.01</v>
      </c>
      <c r="B178" s="304">
        <f t="shared" ca="1" si="65"/>
        <v>6.3399999999999626</v>
      </c>
      <c r="D178" s="306">
        <f t="shared" ca="1" si="66"/>
        <v>-4.7756624839919244</v>
      </c>
      <c r="E178" s="307">
        <f t="shared" ca="1" si="67"/>
        <v>-26.300927744617496</v>
      </c>
      <c r="F178" s="304">
        <f t="shared" ca="1" si="68"/>
        <v>26.730988615997692</v>
      </c>
      <c r="G178" s="306">
        <f t="shared" ca="1" si="69"/>
        <v>41.145740983347579</v>
      </c>
      <c r="H178" s="307">
        <f t="shared" ca="1" si="70"/>
        <v>141.98301310830212</v>
      </c>
      <c r="I178" s="304">
        <f t="shared" ca="1" si="71"/>
        <v>147.8247205726465</v>
      </c>
      <c r="J178" s="306">
        <f t="shared" ca="1" si="72"/>
        <v>206.33548960925484</v>
      </c>
      <c r="K178" s="307">
        <f t="shared" ca="1" si="73"/>
        <v>839.10519449394087</v>
      </c>
      <c r="L178" s="304">
        <f t="shared" ca="1" si="58"/>
        <v>864.10176582333474</v>
      </c>
      <c r="M178" s="306">
        <f t="shared" ca="1" si="74"/>
        <v>1.2887294825006066</v>
      </c>
      <c r="N178" s="304">
        <f t="shared" ca="1" si="75"/>
        <v>73.838760281363435</v>
      </c>
      <c r="P178" s="310">
        <f t="shared" ca="1" si="76"/>
        <v>13</v>
      </c>
      <c r="Q178" s="304">
        <f t="shared" ca="1" si="77"/>
        <v>0</v>
      </c>
      <c r="R178" s="306">
        <f t="shared" ca="1" si="78"/>
        <v>0</v>
      </c>
      <c r="S178" s="307">
        <f t="shared" ca="1" si="79"/>
        <v>2.9362999999999984</v>
      </c>
      <c r="T178" s="304">
        <f t="shared" ca="1" si="59"/>
        <v>28.805102999999985</v>
      </c>
      <c r="U178" s="311">
        <f t="shared" ca="1" si="60"/>
        <v>0</v>
      </c>
      <c r="V178" s="306">
        <f t="shared" ca="1" si="61"/>
        <v>1.1263485604433088</v>
      </c>
      <c r="W178" s="304">
        <f t="shared" ca="1" si="62"/>
        <v>50.223861777737831</v>
      </c>
      <c r="Y178" s="314" t="str">
        <f t="shared" ca="1" si="80"/>
        <v/>
      </c>
      <c r="Z178" s="315" t="str">
        <f t="shared" ca="1" si="81"/>
        <v/>
      </c>
      <c r="AA178" s="316" t="str">
        <f t="shared" ca="1" si="82"/>
        <v/>
      </c>
      <c r="AC178" s="310" t="e">
        <f t="shared" ca="1" si="83"/>
        <v>#N/A</v>
      </c>
      <c r="AD178" s="323" t="e">
        <f t="shared" ca="1" si="84"/>
        <v>#N/A</v>
      </c>
      <c r="AE178" s="324">
        <f t="shared" ca="1" si="63"/>
        <v>839.10519449394087</v>
      </c>
      <c r="AG178" s="306">
        <f t="shared" ca="1" si="85"/>
        <v>-26.591341793180082</v>
      </c>
      <c r="AH178" s="304">
        <f t="shared" ca="1" si="86"/>
        <v>-17.168507507619964</v>
      </c>
    </row>
    <row r="179" spans="1:34" x14ac:dyDescent="0.2">
      <c r="A179" s="347">
        <f t="shared" ca="1" si="64"/>
        <v>0.01</v>
      </c>
      <c r="B179" s="304">
        <f t="shared" ca="1" si="65"/>
        <v>6.3499999999999623</v>
      </c>
      <c r="D179" s="306">
        <f t="shared" ca="1" si="66"/>
        <v>-4.7608828947471284</v>
      </c>
      <c r="E179" s="307">
        <f t="shared" ca="1" si="67"/>
        <v>-26.238541139301581</v>
      </c>
      <c r="F179" s="304">
        <f t="shared" ca="1" si="68"/>
        <v>26.666965463965287</v>
      </c>
      <c r="G179" s="306">
        <f t="shared" ca="1" si="69"/>
        <v>41.098132154400105</v>
      </c>
      <c r="H179" s="307">
        <f t="shared" ca="1" si="70"/>
        <v>141.7206276969091</v>
      </c>
      <c r="I179" s="304">
        <f t="shared" ca="1" si="71"/>
        <v>147.55945507281618</v>
      </c>
      <c r="J179" s="306">
        <f t="shared" ca="1" si="72"/>
        <v>206.74670897494357</v>
      </c>
      <c r="K179" s="307">
        <f t="shared" ca="1" si="73"/>
        <v>840.52371269796697</v>
      </c>
      <c r="L179" s="304">
        <f t="shared" ca="1" si="58"/>
        <v>865.57744499238459</v>
      </c>
      <c r="M179" s="306">
        <f t="shared" ca="1" si="74"/>
        <v>1.2885444364637526</v>
      </c>
      <c r="N179" s="304">
        <f t="shared" ca="1" si="75"/>
        <v>73.828157924436084</v>
      </c>
      <c r="P179" s="310">
        <f t="shared" ca="1" si="76"/>
        <v>13</v>
      </c>
      <c r="Q179" s="304">
        <f t="shared" ca="1" si="77"/>
        <v>0</v>
      </c>
      <c r="R179" s="306">
        <f t="shared" ca="1" si="78"/>
        <v>0</v>
      </c>
      <c r="S179" s="307">
        <f t="shared" ca="1" si="79"/>
        <v>2.9362999999999984</v>
      </c>
      <c r="T179" s="304">
        <f t="shared" ca="1" si="59"/>
        <v>28.805102999999985</v>
      </c>
      <c r="U179" s="311">
        <f t="shared" ca="1" si="60"/>
        <v>0</v>
      </c>
      <c r="V179" s="306">
        <f t="shared" ca="1" si="61"/>
        <v>1.1261885150057285</v>
      </c>
      <c r="W179" s="304">
        <f t="shared" ca="1" si="62"/>
        <v>50.036663279564642</v>
      </c>
      <c r="Y179" s="314" t="str">
        <f t="shared" ca="1" si="80"/>
        <v/>
      </c>
      <c r="Z179" s="315" t="str">
        <f t="shared" ca="1" si="81"/>
        <v/>
      </c>
      <c r="AA179" s="316" t="str">
        <f t="shared" ca="1" si="82"/>
        <v/>
      </c>
      <c r="AC179" s="310" t="e">
        <f t="shared" ca="1" si="83"/>
        <v>#N/A</v>
      </c>
      <c r="AD179" s="323" t="e">
        <f t="shared" ca="1" si="84"/>
        <v>#N/A</v>
      </c>
      <c r="AE179" s="324">
        <f t="shared" ca="1" si="63"/>
        <v>840.52371269796697</v>
      </c>
      <c r="AG179" s="306">
        <f t="shared" ca="1" si="85"/>
        <v>-26.526802619839327</v>
      </c>
      <c r="AH179" s="304">
        <f t="shared" ca="1" si="86"/>
        <v>-17.104472219370589</v>
      </c>
    </row>
    <row r="180" spans="1:34" x14ac:dyDescent="0.2">
      <c r="A180" s="347">
        <f t="shared" ca="1" si="64"/>
        <v>0.01</v>
      </c>
      <c r="B180" s="304">
        <f t="shared" ca="1" si="65"/>
        <v>6.3599999999999621</v>
      </c>
      <c r="D180" s="306">
        <f t="shared" ca="1" si="66"/>
        <v>-4.7461663655523179</v>
      </c>
      <c r="E180" s="307">
        <f t="shared" ca="1" si="67"/>
        <v>-26.176429353846395</v>
      </c>
      <c r="F180" s="304">
        <f t="shared" ca="1" si="68"/>
        <v>26.603224407699365</v>
      </c>
      <c r="G180" s="306">
        <f t="shared" ca="1" si="69"/>
        <v>41.050670490744579</v>
      </c>
      <c r="H180" s="307">
        <f t="shared" ca="1" si="70"/>
        <v>141.45886340337063</v>
      </c>
      <c r="I180" s="304">
        <f t="shared" ca="1" si="71"/>
        <v>147.29483216702872</v>
      </c>
      <c r="J180" s="306">
        <f t="shared" ca="1" si="72"/>
        <v>207.1574529881693</v>
      </c>
      <c r="K180" s="307">
        <f t="shared" ca="1" si="73"/>
        <v>841.93961015346838</v>
      </c>
      <c r="L180" s="304">
        <f t="shared" ca="1" si="58"/>
        <v>867.05046996926308</v>
      </c>
      <c r="M180" s="306">
        <f t="shared" ca="1" si="74"/>
        <v>1.2883589396126967</v>
      </c>
      <c r="N180" s="304">
        <f t="shared" ca="1" si="75"/>
        <v>73.81752973775761</v>
      </c>
      <c r="P180" s="310">
        <f t="shared" ca="1" si="76"/>
        <v>13</v>
      </c>
      <c r="Q180" s="304">
        <f t="shared" ca="1" si="77"/>
        <v>0</v>
      </c>
      <c r="R180" s="306">
        <f t="shared" ca="1" si="78"/>
        <v>0</v>
      </c>
      <c r="S180" s="307">
        <f t="shared" ca="1" si="79"/>
        <v>2.9362999999999984</v>
      </c>
      <c r="T180" s="304">
        <f t="shared" ca="1" si="59"/>
        <v>28.805102999999985</v>
      </c>
      <c r="U180" s="311">
        <f t="shared" ca="1" si="60"/>
        <v>0</v>
      </c>
      <c r="V180" s="306">
        <f t="shared" ca="1" si="61"/>
        <v>1.1260287869814622</v>
      </c>
      <c r="W180" s="304">
        <f t="shared" ca="1" si="62"/>
        <v>49.850288326494315</v>
      </c>
      <c r="Y180" s="314" t="str">
        <f t="shared" ca="1" si="80"/>
        <v/>
      </c>
      <c r="Z180" s="315" t="str">
        <f t="shared" ca="1" si="81"/>
        <v/>
      </c>
      <c r="AA180" s="316" t="str">
        <f t="shared" ca="1" si="82"/>
        <v/>
      </c>
      <c r="AC180" s="310" t="e">
        <f t="shared" ca="1" si="83"/>
        <v>#N/A</v>
      </c>
      <c r="AD180" s="323" t="e">
        <f t="shared" ca="1" si="84"/>
        <v>#N/A</v>
      </c>
      <c r="AE180" s="324">
        <f t="shared" ca="1" si="63"/>
        <v>841.93961015346838</v>
      </c>
      <c r="AG180" s="306">
        <f t="shared" ca="1" si="85"/>
        <v>-26.462543992740038</v>
      </c>
      <c r="AH180" s="304">
        <f t="shared" ca="1" si="86"/>
        <v>-17.040719027199085</v>
      </c>
    </row>
    <row r="181" spans="1:34" x14ac:dyDescent="0.2">
      <c r="A181" s="347">
        <f t="shared" ca="1" si="64"/>
        <v>0.01</v>
      </c>
      <c r="B181" s="304">
        <f t="shared" ca="1" si="65"/>
        <v>6.3699999999999619</v>
      </c>
      <c r="D181" s="306">
        <f t="shared" ca="1" si="66"/>
        <v>-4.7315125294563298</v>
      </c>
      <c r="E181" s="307">
        <f t="shared" ca="1" si="67"/>
        <v>-26.114590804347657</v>
      </c>
      <c r="F181" s="304">
        <f t="shared" ca="1" si="68"/>
        <v>26.539763821385474</v>
      </c>
      <c r="G181" s="306">
        <f t="shared" ca="1" si="69"/>
        <v>41.00335536545002</v>
      </c>
      <c r="H181" s="307">
        <f t="shared" ca="1" si="70"/>
        <v>141.19771749532714</v>
      </c>
      <c r="I181" s="304">
        <f t="shared" ca="1" si="71"/>
        <v>147.03084906615888</v>
      </c>
      <c r="J181" s="306">
        <f t="shared" ca="1" si="72"/>
        <v>207.56772311745027</v>
      </c>
      <c r="K181" s="307">
        <f t="shared" ca="1" si="73"/>
        <v>843.35289305796186</v>
      </c>
      <c r="L181" s="304">
        <f t="shared" ca="1" si="58"/>
        <v>868.52084713574754</v>
      </c>
      <c r="M181" s="306">
        <f t="shared" ca="1" si="74"/>
        <v>1.2881729908513531</v>
      </c>
      <c r="N181" s="304">
        <f t="shared" ca="1" si="75"/>
        <v>73.806875658526934</v>
      </c>
      <c r="P181" s="310">
        <f t="shared" ca="1" si="76"/>
        <v>13</v>
      </c>
      <c r="Q181" s="304">
        <f t="shared" ca="1" si="77"/>
        <v>0</v>
      </c>
      <c r="R181" s="306">
        <f t="shared" ca="1" si="78"/>
        <v>0</v>
      </c>
      <c r="S181" s="307">
        <f t="shared" ca="1" si="79"/>
        <v>2.9362999999999984</v>
      </c>
      <c r="T181" s="304">
        <f t="shared" ca="1" si="59"/>
        <v>28.805102999999985</v>
      </c>
      <c r="U181" s="311">
        <f t="shared" ca="1" si="60"/>
        <v>0</v>
      </c>
      <c r="V181" s="306">
        <f t="shared" ca="1" si="61"/>
        <v>1.1258693755465716</v>
      </c>
      <c r="W181" s="304">
        <f t="shared" ca="1" si="62"/>
        <v>49.664732179683021</v>
      </c>
      <c r="Y181" s="314" t="str">
        <f t="shared" ca="1" si="80"/>
        <v/>
      </c>
      <c r="Z181" s="315" t="str">
        <f t="shared" ca="1" si="81"/>
        <v/>
      </c>
      <c r="AA181" s="316" t="str">
        <f t="shared" ca="1" si="82"/>
        <v/>
      </c>
      <c r="AC181" s="310" t="e">
        <f t="shared" ca="1" si="83"/>
        <v>#N/A</v>
      </c>
      <c r="AD181" s="323" t="e">
        <f t="shared" ca="1" si="84"/>
        <v>#N/A</v>
      </c>
      <c r="AE181" s="324">
        <f t="shared" ca="1" si="63"/>
        <v>843.35289305796186</v>
      </c>
      <c r="AG181" s="306">
        <f t="shared" ca="1" si="85"/>
        <v>-26.398564280838833</v>
      </c>
      <c r="AH181" s="304">
        <f t="shared" ca="1" si="86"/>
        <v>-16.977246305382401</v>
      </c>
    </row>
    <row r="182" spans="1:34" x14ac:dyDescent="0.2">
      <c r="A182" s="347">
        <f t="shared" ca="1" si="64"/>
        <v>0.01</v>
      </c>
      <c r="B182" s="304">
        <f t="shared" ca="1" si="65"/>
        <v>6.3799999999999617</v>
      </c>
      <c r="D182" s="306">
        <f t="shared" ca="1" si="66"/>
        <v>-4.7169210221772007</v>
      </c>
      <c r="E182" s="307">
        <f t="shared" ca="1" si="67"/>
        <v>-26.053023918436246</v>
      </c>
      <c r="F182" s="304">
        <f t="shared" ca="1" si="68"/>
        <v>26.47658209104922</v>
      </c>
      <c r="G182" s="306">
        <f t="shared" ca="1" si="69"/>
        <v>40.956186155228245</v>
      </c>
      <c r="H182" s="307">
        <f t="shared" ca="1" si="70"/>
        <v>140.93718725614278</v>
      </c>
      <c r="I182" s="304">
        <f t="shared" ca="1" si="71"/>
        <v>146.76750299727377</v>
      </c>
      <c r="J182" s="306">
        <f t="shared" ca="1" si="72"/>
        <v>207.97752082505366</v>
      </c>
      <c r="K182" s="307">
        <f t="shared" ca="1" si="73"/>
        <v>844.76356758171926</v>
      </c>
      <c r="L182" s="304">
        <f t="shared" ca="1" si="58"/>
        <v>869.98858284573453</v>
      </c>
      <c r="M182" s="306">
        <f t="shared" ca="1" si="74"/>
        <v>1.2879865890794582</v>
      </c>
      <c r="N182" s="304">
        <f t="shared" ca="1" si="75"/>
        <v>73.796195623703596</v>
      </c>
      <c r="P182" s="310">
        <f t="shared" ca="1" si="76"/>
        <v>13</v>
      </c>
      <c r="Q182" s="304">
        <f t="shared" ca="1" si="77"/>
        <v>0</v>
      </c>
      <c r="R182" s="306">
        <f t="shared" ca="1" si="78"/>
        <v>0</v>
      </c>
      <c r="S182" s="307">
        <f t="shared" ca="1" si="79"/>
        <v>2.9362999999999984</v>
      </c>
      <c r="T182" s="304">
        <f t="shared" ca="1" si="59"/>
        <v>28.805102999999985</v>
      </c>
      <c r="U182" s="311">
        <f t="shared" ca="1" si="60"/>
        <v>0</v>
      </c>
      <c r="V182" s="306">
        <f t="shared" ca="1" si="61"/>
        <v>1.125710279880842</v>
      </c>
      <c r="W182" s="304">
        <f t="shared" ca="1" si="62"/>
        <v>49.479990134749698</v>
      </c>
      <c r="Y182" s="314" t="str">
        <f t="shared" ca="1" si="80"/>
        <v/>
      </c>
      <c r="Z182" s="315" t="str">
        <f t="shared" ca="1" si="81"/>
        <v/>
      </c>
      <c r="AA182" s="316" t="str">
        <f t="shared" ca="1" si="82"/>
        <v/>
      </c>
      <c r="AC182" s="310" t="e">
        <f t="shared" ca="1" si="83"/>
        <v>#N/A</v>
      </c>
      <c r="AD182" s="323" t="e">
        <f t="shared" ca="1" si="84"/>
        <v>#N/A</v>
      </c>
      <c r="AE182" s="324">
        <f t="shared" ca="1" si="63"/>
        <v>844.76356758171926</v>
      </c>
      <c r="AG182" s="306">
        <f t="shared" ca="1" si="85"/>
        <v>-26.334861864908166</v>
      </c>
      <c r="AH182" s="304">
        <f t="shared" ca="1" si="86"/>
        <v>-16.914052440037818</v>
      </c>
    </row>
    <row r="183" spans="1:34" x14ac:dyDescent="0.2">
      <c r="A183" s="347">
        <f t="shared" ca="1" si="64"/>
        <v>0.01</v>
      </c>
      <c r="B183" s="304">
        <f t="shared" ca="1" si="65"/>
        <v>6.3899999999999615</v>
      </c>
      <c r="D183" s="306">
        <f t="shared" ca="1" si="66"/>
        <v>-4.702391482078804</v>
      </c>
      <c r="E183" s="307">
        <f t="shared" ca="1" si="67"/>
        <v>-25.991727135177342</v>
      </c>
      <c r="F183" s="304">
        <f t="shared" ca="1" si="68"/>
        <v>26.413677614452734</v>
      </c>
      <c r="G183" s="306">
        <f t="shared" ca="1" si="69"/>
        <v>40.909162240407454</v>
      </c>
      <c r="H183" s="307">
        <f t="shared" ca="1" si="70"/>
        <v>140.677269984791</v>
      </c>
      <c r="I183" s="304">
        <f t="shared" ca="1" si="71"/>
        <v>146.50479120351579</v>
      </c>
      <c r="J183" s="306">
        <f t="shared" ca="1" si="72"/>
        <v>208.38684756703185</v>
      </c>
      <c r="K183" s="307">
        <f t="shared" ca="1" si="73"/>
        <v>846.17163986792389</v>
      </c>
      <c r="L183" s="304">
        <f t="shared" ca="1" si="58"/>
        <v>871.45368342539973</v>
      </c>
      <c r="M183" s="306">
        <f t="shared" ca="1" si="74"/>
        <v>1.2877997331925508</v>
      </c>
      <c r="N183" s="304">
        <f t="shared" ca="1" si="75"/>
        <v>73.785489570006632</v>
      </c>
      <c r="P183" s="310">
        <f t="shared" ca="1" si="76"/>
        <v>13</v>
      </c>
      <c r="Q183" s="304">
        <f t="shared" ca="1" si="77"/>
        <v>0</v>
      </c>
      <c r="R183" s="306">
        <f t="shared" ca="1" si="78"/>
        <v>0</v>
      </c>
      <c r="S183" s="307">
        <f t="shared" ca="1" si="79"/>
        <v>2.9362999999999984</v>
      </c>
      <c r="T183" s="304">
        <f t="shared" ca="1" si="59"/>
        <v>28.805102999999985</v>
      </c>
      <c r="U183" s="311">
        <f t="shared" ca="1" si="60"/>
        <v>0</v>
      </c>
      <c r="V183" s="306">
        <f t="shared" ca="1" si="61"/>
        <v>1.1255514991677604</v>
      </c>
      <c r="W183" s="304">
        <f t="shared" ca="1" si="62"/>
        <v>49.296057521475284</v>
      </c>
      <c r="Y183" s="314" t="str">
        <f t="shared" ca="1" si="80"/>
        <v/>
      </c>
      <c r="Z183" s="315" t="str">
        <f t="shared" ca="1" si="81"/>
        <v/>
      </c>
      <c r="AA183" s="316" t="str">
        <f t="shared" ca="1" si="82"/>
        <v/>
      </c>
      <c r="AC183" s="310" t="e">
        <f t="shared" ca="1" si="83"/>
        <v>#N/A</v>
      </c>
      <c r="AD183" s="323" t="e">
        <f t="shared" ca="1" si="84"/>
        <v>#N/A</v>
      </c>
      <c r="AE183" s="324">
        <f t="shared" ca="1" si="63"/>
        <v>846.17163986792389</v>
      </c>
      <c r="AG183" s="306">
        <f t="shared" ca="1" si="85"/>
        <v>-26.27143513743269</v>
      </c>
      <c r="AH183" s="304">
        <f t="shared" ca="1" si="86"/>
        <v>-16.85113582901942</v>
      </c>
    </row>
    <row r="184" spans="1:34" x14ac:dyDescent="0.2">
      <c r="A184" s="347">
        <f t="shared" ca="1" si="64"/>
        <v>0.01</v>
      </c>
      <c r="B184" s="304">
        <f t="shared" ca="1" si="65"/>
        <v>6.3999999999999613</v>
      </c>
      <c r="D184" s="306">
        <f t="shared" ca="1" si="66"/>
        <v>-4.6879235501477936</v>
      </c>
      <c r="E184" s="307">
        <f t="shared" ca="1" si="67"/>
        <v>-25.930698904970598</v>
      </c>
      <c r="F184" s="304">
        <f t="shared" ca="1" si="68"/>
        <v>26.351048800992221</v>
      </c>
      <c r="G184" s="306">
        <f t="shared" ca="1" si="69"/>
        <v>40.862283004905976</v>
      </c>
      <c r="H184" s="307">
        <f t="shared" ca="1" si="70"/>
        <v>140.41796299574128</v>
      </c>
      <c r="I184" s="304">
        <f t="shared" ca="1" si="71"/>
        <v>146.24271094398651</v>
      </c>
      <c r="J184" s="306">
        <f t="shared" ca="1" si="72"/>
        <v>208.79570479325841</v>
      </c>
      <c r="K184" s="307">
        <f t="shared" ca="1" si="73"/>
        <v>847.57711603282655</v>
      </c>
      <c r="L184" s="304">
        <f t="shared" ca="1" si="58"/>
        <v>872.91615517335742</v>
      </c>
      <c r="M184" s="306">
        <f t="shared" ca="1" si="74"/>
        <v>1.2876124220819569</v>
      </c>
      <c r="N184" s="304">
        <f t="shared" ca="1" si="75"/>
        <v>73.774757433913692</v>
      </c>
      <c r="P184" s="310">
        <f t="shared" ca="1" si="76"/>
        <v>13</v>
      </c>
      <c r="Q184" s="304">
        <f t="shared" ca="1" si="77"/>
        <v>0</v>
      </c>
      <c r="R184" s="306">
        <f t="shared" ca="1" si="78"/>
        <v>0</v>
      </c>
      <c r="S184" s="307">
        <f t="shared" ca="1" si="79"/>
        <v>2.9362999999999984</v>
      </c>
      <c r="T184" s="304">
        <f t="shared" ca="1" si="59"/>
        <v>28.805102999999985</v>
      </c>
      <c r="U184" s="311">
        <f t="shared" ca="1" si="60"/>
        <v>0</v>
      </c>
      <c r="V184" s="306">
        <f t="shared" ca="1" si="61"/>
        <v>1.1253930325944956</v>
      </c>
      <c r="W184" s="304">
        <f t="shared" ca="1" si="62"/>
        <v>49.112929703504982</v>
      </c>
      <c r="Y184" s="314" t="str">
        <f t="shared" ca="1" si="80"/>
        <v/>
      </c>
      <c r="Z184" s="315" t="str">
        <f t="shared" ca="1" si="81"/>
        <v/>
      </c>
      <c r="AA184" s="316" t="str">
        <f t="shared" ca="1" si="82"/>
        <v/>
      </c>
      <c r="AC184" s="310" t="e">
        <f t="shared" ca="1" si="83"/>
        <v>#N/A</v>
      </c>
      <c r="AD184" s="323" t="e">
        <f t="shared" ca="1" si="84"/>
        <v>#N/A</v>
      </c>
      <c r="AE184" s="324">
        <f t="shared" ca="1" si="63"/>
        <v>847.57711603282655</v>
      </c>
      <c r="AG184" s="306">
        <f t="shared" ca="1" si="85"/>
        <v>-26.20828250250667</v>
      </c>
      <c r="AH184" s="304">
        <f t="shared" ca="1" si="86"/>
        <v>-16.788494881815655</v>
      </c>
    </row>
    <row r="185" spans="1:34" x14ac:dyDescent="0.2">
      <c r="A185" s="347">
        <f t="shared" ca="1" si="64"/>
        <v>0.01</v>
      </c>
      <c r="B185" s="304">
        <f t="shared" ca="1" si="65"/>
        <v>6.4099999999999611</v>
      </c>
      <c r="D185" s="306">
        <f t="shared" ca="1" si="66"/>
        <v>-4.6735168699706993</v>
      </c>
      <c r="E185" s="307">
        <f t="shared" ca="1" si="67"/>
        <v>-25.869937689451383</v>
      </c>
      <c r="F185" s="304">
        <f t="shared" ca="1" si="68"/>
        <v>26.288694071596595</v>
      </c>
      <c r="G185" s="306">
        <f t="shared" ca="1" si="69"/>
        <v>40.815547836206271</v>
      </c>
      <c r="H185" s="307">
        <f t="shared" ca="1" si="70"/>
        <v>140.15926361884675</v>
      </c>
      <c r="I185" s="304">
        <f t="shared" ca="1" si="71"/>
        <v>145.98125949363165</v>
      </c>
      <c r="J185" s="306">
        <f t="shared" ca="1" si="72"/>
        <v>209.20409394746397</v>
      </c>
      <c r="K185" s="307">
        <f t="shared" ca="1" si="73"/>
        <v>848.98000216589946</v>
      </c>
      <c r="L185" s="304">
        <f t="shared" ca="1" si="58"/>
        <v>874.37600436081846</v>
      </c>
      <c r="M185" s="306">
        <f t="shared" ca="1" si="74"/>
        <v>1.2874246546347701</v>
      </c>
      <c r="N185" s="304">
        <f t="shared" ca="1" si="75"/>
        <v>73.763999151659945</v>
      </c>
      <c r="P185" s="310">
        <f t="shared" ca="1" si="76"/>
        <v>13</v>
      </c>
      <c r="Q185" s="304">
        <f t="shared" ca="1" si="77"/>
        <v>0</v>
      </c>
      <c r="R185" s="306">
        <f t="shared" ca="1" si="78"/>
        <v>0</v>
      </c>
      <c r="S185" s="307">
        <f t="shared" ca="1" si="79"/>
        <v>2.9362999999999984</v>
      </c>
      <c r="T185" s="304">
        <f t="shared" ca="1" si="59"/>
        <v>28.805102999999985</v>
      </c>
      <c r="U185" s="311">
        <f t="shared" ca="1" si="60"/>
        <v>0</v>
      </c>
      <c r="V185" s="306">
        <f t="shared" ca="1" si="61"/>
        <v>1.1252348793518738</v>
      </c>
      <c r="W185" s="304">
        <f t="shared" ca="1" si="62"/>
        <v>48.930602078053603</v>
      </c>
      <c r="Y185" s="314" t="str">
        <f t="shared" ca="1" si="80"/>
        <v/>
      </c>
      <c r="Z185" s="315" t="str">
        <f t="shared" ca="1" si="81"/>
        <v/>
      </c>
      <c r="AA185" s="316" t="str">
        <f t="shared" ca="1" si="82"/>
        <v/>
      </c>
      <c r="AC185" s="310" t="e">
        <f t="shared" ca="1" si="83"/>
        <v>#N/A</v>
      </c>
      <c r="AD185" s="323" t="e">
        <f t="shared" ca="1" si="84"/>
        <v>#N/A</v>
      </c>
      <c r="AE185" s="324">
        <f t="shared" ca="1" si="63"/>
        <v>848.98000216589946</v>
      </c>
      <c r="AG185" s="306">
        <f t="shared" ca="1" si="85"/>
        <v>-26.14540237573247</v>
      </c>
      <c r="AH185" s="304">
        <f t="shared" ca="1" si="86"/>
        <v>-16.726128019447948</v>
      </c>
    </row>
    <row r="186" spans="1:34" x14ac:dyDescent="0.2">
      <c r="A186" s="347">
        <f t="shared" ca="1" si="64"/>
        <v>0.01</v>
      </c>
      <c r="B186" s="304">
        <f t="shared" ca="1" si="65"/>
        <v>6.4199999999999608</v>
      </c>
      <c r="D186" s="306">
        <f t="shared" ca="1" si="66"/>
        <v>-4.6591710877113384</v>
      </c>
      <c r="E186" s="307">
        <f t="shared" ca="1" si="67"/>
        <v>-25.809441961393013</v>
      </c>
      <c r="F186" s="304">
        <f t="shared" ca="1" si="68"/>
        <v>26.226611858627098</v>
      </c>
      <c r="G186" s="306">
        <f t="shared" ca="1" si="69"/>
        <v>40.768956125329154</v>
      </c>
      <c r="H186" s="307">
        <f t="shared" ca="1" si="70"/>
        <v>139.90116919923281</v>
      </c>
      <c r="I186" s="304">
        <f t="shared" ca="1" si="71"/>
        <v>145.72043414312691</v>
      </c>
      <c r="J186" s="306">
        <f t="shared" ca="1" si="72"/>
        <v>209.61201646727164</v>
      </c>
      <c r="K186" s="307">
        <f t="shared" ca="1" si="73"/>
        <v>850.38030432998983</v>
      </c>
      <c r="L186" s="304">
        <f t="shared" ca="1" si="58"/>
        <v>875.83323723174715</v>
      </c>
      <c r="M186" s="306">
        <f t="shared" ca="1" si="74"/>
        <v>1.287236429733835</v>
      </c>
      <c r="N186" s="304">
        <f t="shared" ca="1" si="75"/>
        <v>73.753214659237102</v>
      </c>
      <c r="P186" s="310">
        <f t="shared" ca="1" si="76"/>
        <v>13</v>
      </c>
      <c r="Q186" s="304">
        <f t="shared" ca="1" si="77"/>
        <v>0</v>
      </c>
      <c r="R186" s="306">
        <f t="shared" ca="1" si="78"/>
        <v>0</v>
      </c>
      <c r="S186" s="307">
        <f t="shared" ca="1" si="79"/>
        <v>2.9362999999999984</v>
      </c>
      <c r="T186" s="304">
        <f t="shared" ca="1" si="59"/>
        <v>28.805102999999985</v>
      </c>
      <c r="U186" s="311">
        <f t="shared" ca="1" si="60"/>
        <v>0</v>
      </c>
      <c r="V186" s="306">
        <f t="shared" ca="1" si="61"/>
        <v>1.1250770386343598</v>
      </c>
      <c r="W186" s="304">
        <f t="shared" ca="1" si="62"/>
        <v>48.749070075613744</v>
      </c>
      <c r="Y186" s="314" t="str">
        <f t="shared" ca="1" si="80"/>
        <v/>
      </c>
      <c r="Z186" s="315" t="str">
        <f t="shared" ca="1" si="81"/>
        <v/>
      </c>
      <c r="AA186" s="316" t="str">
        <f t="shared" ca="1" si="82"/>
        <v/>
      </c>
      <c r="AC186" s="310" t="e">
        <f t="shared" ca="1" si="83"/>
        <v>#N/A</v>
      </c>
      <c r="AD186" s="323" t="e">
        <f t="shared" ca="1" si="84"/>
        <v>#N/A</v>
      </c>
      <c r="AE186" s="324">
        <f t="shared" ca="1" si="63"/>
        <v>850.38030432998983</v>
      </c>
      <c r="AG186" s="306">
        <f t="shared" ca="1" si="85"/>
        <v>-26.082793184120071</v>
      </c>
      <c r="AH186" s="304">
        <f t="shared" ca="1" si="86"/>
        <v>-16.664033674370341</v>
      </c>
    </row>
    <row r="187" spans="1:34" x14ac:dyDescent="0.2">
      <c r="A187" s="347">
        <f t="shared" ca="1" si="64"/>
        <v>0.01</v>
      </c>
      <c r="B187" s="304">
        <f t="shared" ca="1" si="65"/>
        <v>6.4299999999999606</v>
      </c>
      <c r="D187" s="306">
        <f t="shared" ca="1" si="66"/>
        <v>-4.644885852088386</v>
      </c>
      <c r="E187" s="307">
        <f t="shared" ca="1" si="67"/>
        <v>-25.749210204609906</v>
      </c>
      <c r="F187" s="304">
        <f t="shared" ca="1" si="68"/>
        <v>26.164800605777941</v>
      </c>
      <c r="G187" s="306">
        <f t="shared" ca="1" si="69"/>
        <v>40.722507266808272</v>
      </c>
      <c r="H187" s="307">
        <f t="shared" ca="1" si="70"/>
        <v>139.64367709718672</v>
      </c>
      <c r="I187" s="304">
        <f t="shared" ca="1" si="71"/>
        <v>145.46023219876491</v>
      </c>
      <c r="J187" s="306">
        <f t="shared" ca="1" si="72"/>
        <v>210.01947378423233</v>
      </c>
      <c r="K187" s="307">
        <f t="shared" ca="1" si="73"/>
        <v>851.77802856147196</v>
      </c>
      <c r="L187" s="304">
        <f t="shared" ca="1" si="58"/>
        <v>877.28786000301727</v>
      </c>
      <c r="M187" s="306">
        <f t="shared" ca="1" si="74"/>
        <v>1.2870477462577288</v>
      </c>
      <c r="N187" s="304">
        <f t="shared" ca="1" si="75"/>
        <v>73.742403892392346</v>
      </c>
      <c r="P187" s="310">
        <f t="shared" ca="1" si="76"/>
        <v>13</v>
      </c>
      <c r="Q187" s="304">
        <f t="shared" ca="1" si="77"/>
        <v>0</v>
      </c>
      <c r="R187" s="306">
        <f t="shared" ca="1" si="78"/>
        <v>0</v>
      </c>
      <c r="S187" s="307">
        <f t="shared" ca="1" si="79"/>
        <v>2.9362999999999984</v>
      </c>
      <c r="T187" s="304">
        <f t="shared" ca="1" si="59"/>
        <v>28.805102999999985</v>
      </c>
      <c r="U187" s="311">
        <f t="shared" ca="1" si="60"/>
        <v>0</v>
      </c>
      <c r="V187" s="306">
        <f t="shared" ca="1" si="61"/>
        <v>1.1249195096400337</v>
      </c>
      <c r="W187" s="304">
        <f t="shared" ca="1" si="62"/>
        <v>48.568329159667108</v>
      </c>
      <c r="Y187" s="314" t="str">
        <f t="shared" ca="1" si="80"/>
        <v/>
      </c>
      <c r="Z187" s="315" t="str">
        <f t="shared" ca="1" si="81"/>
        <v/>
      </c>
      <c r="AA187" s="316" t="str">
        <f t="shared" ca="1" si="82"/>
        <v/>
      </c>
      <c r="AC187" s="310" t="e">
        <f t="shared" ca="1" si="83"/>
        <v>#N/A</v>
      </c>
      <c r="AD187" s="323" t="e">
        <f t="shared" ca="1" si="84"/>
        <v>#N/A</v>
      </c>
      <c r="AE187" s="324">
        <f t="shared" ca="1" si="63"/>
        <v>851.77802856147196</v>
      </c>
      <c r="AG187" s="306">
        <f t="shared" ca="1" si="85"/>
        <v>-26.020453365987571</v>
      </c>
      <c r="AH187" s="304">
        <f t="shared" ca="1" si="86"/>
        <v>-16.602210290370117</v>
      </c>
    </row>
    <row r="188" spans="1:34" x14ac:dyDescent="0.2">
      <c r="A188" s="347">
        <f t="shared" ca="1" si="64"/>
        <v>0.01</v>
      </c>
      <c r="B188" s="304">
        <f t="shared" ca="1" si="65"/>
        <v>6.4399999999999604</v>
      </c>
      <c r="D188" s="306">
        <f t="shared" ca="1" si="66"/>
        <v>-4.630660814353222</v>
      </c>
      <c r="E188" s="307">
        <f t="shared" ca="1" si="67"/>
        <v>-25.689240913861823</v>
      </c>
      <c r="F188" s="304">
        <f t="shared" ca="1" si="68"/>
        <v>26.10325876797797</v>
      </c>
      <c r="G188" s="306">
        <f t="shared" ca="1" si="69"/>
        <v>40.67620065866474</v>
      </c>
      <c r="H188" s="307">
        <f t="shared" ca="1" si="70"/>
        <v>139.3867846880481</v>
      </c>
      <c r="I188" s="304">
        <f t="shared" ca="1" si="71"/>
        <v>145.20065098234318</v>
      </c>
      <c r="J188" s="306">
        <f t="shared" ca="1" si="72"/>
        <v>210.4264673238597</v>
      </c>
      <c r="K188" s="307">
        <f t="shared" ca="1" si="73"/>
        <v>853.17318087039814</v>
      </c>
      <c r="L188" s="304">
        <f t="shared" ca="1" si="58"/>
        <v>878.73987886456621</v>
      </c>
      <c r="M188" s="306">
        <f t="shared" ca="1" si="74"/>
        <v>1.2868586030807434</v>
      </c>
      <c r="N188" s="304">
        <f t="shared" ca="1" si="75"/>
        <v>73.731566786627397</v>
      </c>
      <c r="P188" s="310">
        <f t="shared" ca="1" si="76"/>
        <v>13</v>
      </c>
      <c r="Q188" s="304">
        <f t="shared" ca="1" si="77"/>
        <v>0</v>
      </c>
      <c r="R188" s="306">
        <f t="shared" ca="1" si="78"/>
        <v>0</v>
      </c>
      <c r="S188" s="307">
        <f t="shared" ca="1" si="79"/>
        <v>2.9362999999999984</v>
      </c>
      <c r="T188" s="304">
        <f t="shared" ca="1" si="59"/>
        <v>28.805102999999985</v>
      </c>
      <c r="U188" s="311">
        <f t="shared" ca="1" si="60"/>
        <v>0</v>
      </c>
      <c r="V188" s="306">
        <f t="shared" ca="1" si="61"/>
        <v>1.1247622915705711</v>
      </c>
      <c r="W188" s="304">
        <f t="shared" ca="1" si="62"/>
        <v>48.388374826398682</v>
      </c>
      <c r="Y188" s="314" t="str">
        <f t="shared" ca="1" si="80"/>
        <v/>
      </c>
      <c r="Z188" s="315" t="str">
        <f t="shared" ca="1" si="81"/>
        <v/>
      </c>
      <c r="AA188" s="316" t="str">
        <f t="shared" ca="1" si="82"/>
        <v/>
      </c>
      <c r="AC188" s="310" t="e">
        <f t="shared" ca="1" si="83"/>
        <v>#N/A</v>
      </c>
      <c r="AD188" s="323" t="e">
        <f t="shared" ca="1" si="84"/>
        <v>#N/A</v>
      </c>
      <c r="AE188" s="324">
        <f t="shared" ca="1" si="63"/>
        <v>853.17318087039814</v>
      </c>
      <c r="AG188" s="306">
        <f t="shared" ca="1" si="85"/>
        <v>-25.958381370862696</v>
      </c>
      <c r="AH188" s="304">
        <f t="shared" ca="1" si="86"/>
        <v>-16.540656322469481</v>
      </c>
    </row>
    <row r="189" spans="1:34" x14ac:dyDescent="0.2">
      <c r="A189" s="347">
        <f t="shared" ca="1" si="64"/>
        <v>0.01</v>
      </c>
      <c r="B189" s="304">
        <f t="shared" ca="1" si="65"/>
        <v>6.4499999999999602</v>
      </c>
      <c r="D189" s="306">
        <f t="shared" ca="1" si="66"/>
        <v>-4.6164956282679794</v>
      </c>
      <c r="E189" s="307">
        <f t="shared" ca="1" si="67"/>
        <v>-25.629532594759002</v>
      </c>
      <c r="F189" s="304">
        <f t="shared" ca="1" si="68"/>
        <v>26.041984811293311</v>
      </c>
      <c r="G189" s="306">
        <f t="shared" ca="1" si="69"/>
        <v>40.63003570238206</v>
      </c>
      <c r="H189" s="307">
        <f t="shared" ca="1" si="70"/>
        <v>139.13048936210052</v>
      </c>
      <c r="I189" s="304">
        <f t="shared" ca="1" si="71"/>
        <v>144.94168783105297</v>
      </c>
      <c r="J189" s="306">
        <f t="shared" ca="1" si="72"/>
        <v>210.83299850566493</v>
      </c>
      <c r="K189" s="307">
        <f t="shared" ca="1" si="73"/>
        <v>854.56576724064894</v>
      </c>
      <c r="L189" s="304">
        <f t="shared" ca="1" si="58"/>
        <v>880.18929997954911</v>
      </c>
      <c r="M189" s="306">
        <f t="shared" ca="1" si="74"/>
        <v>1.2866689990728675</v>
      </c>
      <c r="N189" s="304">
        <f t="shared" ca="1" si="75"/>
        <v>73.720703277197345</v>
      </c>
      <c r="P189" s="310">
        <f t="shared" ca="1" si="76"/>
        <v>13</v>
      </c>
      <c r="Q189" s="304">
        <f t="shared" ca="1" si="77"/>
        <v>0</v>
      </c>
      <c r="R189" s="306">
        <f t="shared" ca="1" si="78"/>
        <v>0</v>
      </c>
      <c r="S189" s="307">
        <f t="shared" ca="1" si="79"/>
        <v>2.9362999999999984</v>
      </c>
      <c r="T189" s="304">
        <f t="shared" ca="1" si="59"/>
        <v>28.805102999999985</v>
      </c>
      <c r="U189" s="311">
        <f t="shared" ca="1" si="60"/>
        <v>0</v>
      </c>
      <c r="V189" s="306">
        <f t="shared" ca="1" si="61"/>
        <v>1.1246053836312213</v>
      </c>
      <c r="W189" s="304">
        <f t="shared" ca="1" si="62"/>
        <v>48.209202604413782</v>
      </c>
      <c r="Y189" s="314" t="str">
        <f t="shared" ca="1" si="80"/>
        <v/>
      </c>
      <c r="Z189" s="315" t="str">
        <f t="shared" ca="1" si="81"/>
        <v/>
      </c>
      <c r="AA189" s="316" t="str">
        <f t="shared" ca="1" si="82"/>
        <v/>
      </c>
      <c r="AC189" s="310" t="e">
        <f t="shared" ca="1" si="83"/>
        <v>#N/A</v>
      </c>
      <c r="AD189" s="323" t="e">
        <f t="shared" ca="1" si="84"/>
        <v>#N/A</v>
      </c>
      <c r="AE189" s="324">
        <f t="shared" ca="1" si="63"/>
        <v>854.56576724064894</v>
      </c>
      <c r="AG189" s="306">
        <f t="shared" ca="1" si="85"/>
        <v>-25.89657565938538</v>
      </c>
      <c r="AH189" s="304">
        <f t="shared" ca="1" si="86"/>
        <v>-16.47937023682822</v>
      </c>
    </row>
    <row r="190" spans="1:34" x14ac:dyDescent="0.2">
      <c r="A190" s="347">
        <f t="shared" ca="1" si="64"/>
        <v>0.01</v>
      </c>
      <c r="B190" s="304">
        <f t="shared" ca="1" si="65"/>
        <v>6.45999999999996</v>
      </c>
      <c r="D190" s="306">
        <f t="shared" ca="1" si="66"/>
        <v>-4.602389950083821</v>
      </c>
      <c r="E190" s="307">
        <f t="shared" ca="1" si="67"/>
        <v>-25.570083763668308</v>
      </c>
      <c r="F190" s="304">
        <f t="shared" ca="1" si="68"/>
        <v>25.980977212831046</v>
      </c>
      <c r="G190" s="306">
        <f t="shared" ca="1" si="69"/>
        <v>40.584011802881221</v>
      </c>
      <c r="H190" s="307">
        <f t="shared" ca="1" si="70"/>
        <v>138.87478852446384</v>
      </c>
      <c r="I190" s="304">
        <f t="shared" ca="1" si="71"/>
        <v>144.68334009736904</v>
      </c>
      <c r="J190" s="306">
        <f t="shared" ca="1" si="72"/>
        <v>211.23906874319124</v>
      </c>
      <c r="K190" s="307">
        <f t="shared" ca="1" si="73"/>
        <v>855.95579363008176</v>
      </c>
      <c r="L190" s="304">
        <f t="shared" ca="1" si="58"/>
        <v>881.63612948449077</v>
      </c>
      <c r="M190" s="306">
        <f t="shared" ca="1" si="74"/>
        <v>1.2864789330997688</v>
      </c>
      <c r="N190" s="304">
        <f t="shared" ca="1" si="75"/>
        <v>73.70981329910974</v>
      </c>
      <c r="P190" s="310">
        <f t="shared" ca="1" si="76"/>
        <v>13</v>
      </c>
      <c r="Q190" s="304">
        <f t="shared" ca="1" si="77"/>
        <v>0</v>
      </c>
      <c r="R190" s="306">
        <f t="shared" ca="1" si="78"/>
        <v>0</v>
      </c>
      <c r="S190" s="307">
        <f t="shared" ca="1" si="79"/>
        <v>2.9362999999999984</v>
      </c>
      <c r="T190" s="304">
        <f t="shared" ca="1" si="59"/>
        <v>28.805102999999985</v>
      </c>
      <c r="U190" s="311">
        <f t="shared" ca="1" si="60"/>
        <v>0</v>
      </c>
      <c r="V190" s="306">
        <f t="shared" ca="1" si="61"/>
        <v>1.1244487850307872</v>
      </c>
      <c r="W190" s="304">
        <f t="shared" ca="1" si="62"/>
        <v>48.03080805445795</v>
      </c>
      <c r="Y190" s="314" t="str">
        <f t="shared" ca="1" si="80"/>
        <v/>
      </c>
      <c r="Z190" s="315" t="str">
        <f t="shared" ca="1" si="81"/>
        <v/>
      </c>
      <c r="AA190" s="316" t="str">
        <f t="shared" ca="1" si="82"/>
        <v/>
      </c>
      <c r="AC190" s="310" t="e">
        <f t="shared" ca="1" si="83"/>
        <v>#N/A</v>
      </c>
      <c r="AD190" s="323" t="e">
        <f t="shared" ca="1" si="84"/>
        <v>#N/A</v>
      </c>
      <c r="AE190" s="324">
        <f t="shared" ca="1" si="63"/>
        <v>855.95579363008176</v>
      </c>
      <c r="AG190" s="306">
        <f t="shared" ca="1" si="85"/>
        <v>-25.835034703211235</v>
      </c>
      <c r="AH190" s="304">
        <f t="shared" ca="1" si="86"/>
        <v>-16.418350510647347</v>
      </c>
    </row>
    <row r="191" spans="1:34" x14ac:dyDescent="0.2">
      <c r="A191" s="347">
        <f t="shared" ca="1" si="64"/>
        <v>0.01</v>
      </c>
      <c r="B191" s="304">
        <f t="shared" ca="1" si="65"/>
        <v>6.4699999999999598</v>
      </c>
      <c r="D191" s="306">
        <f t="shared" ca="1" si="66"/>
        <v>-4.5883434385194199</v>
      </c>
      <c r="E191" s="307">
        <f t="shared" ca="1" si="67"/>
        <v>-25.510892947620274</v>
      </c>
      <c r="F191" s="304">
        <f t="shared" ca="1" si="68"/>
        <v>25.920234460643794</v>
      </c>
      <c r="G191" s="306">
        <f t="shared" ca="1" si="69"/>
        <v>40.538128368496025</v>
      </c>
      <c r="H191" s="307">
        <f t="shared" ca="1" si="70"/>
        <v>138.61967959498764</v>
      </c>
      <c r="I191" s="304">
        <f t="shared" ca="1" si="71"/>
        <v>144.4256051489406</v>
      </c>
      <c r="J191" s="306">
        <f t="shared" ca="1" si="72"/>
        <v>211.64467944404814</v>
      </c>
      <c r="K191" s="307">
        <f t="shared" ca="1" si="73"/>
        <v>857.343265970679</v>
      </c>
      <c r="L191" s="304">
        <f t="shared" ca="1" si="58"/>
        <v>883.08037348943742</v>
      </c>
      <c r="M191" s="306">
        <f t="shared" ca="1" si="74"/>
        <v>1.2862884040227749</v>
      </c>
      <c r="N191" s="304">
        <f t="shared" ca="1" si="75"/>
        <v>73.698896787123459</v>
      </c>
      <c r="P191" s="310">
        <f t="shared" ca="1" si="76"/>
        <v>13</v>
      </c>
      <c r="Q191" s="304">
        <f t="shared" ca="1" si="77"/>
        <v>0</v>
      </c>
      <c r="R191" s="306">
        <f t="shared" ca="1" si="78"/>
        <v>0</v>
      </c>
      <c r="S191" s="307">
        <f t="shared" ca="1" si="79"/>
        <v>2.9362999999999984</v>
      </c>
      <c r="T191" s="304">
        <f t="shared" ca="1" si="59"/>
        <v>28.805102999999985</v>
      </c>
      <c r="U191" s="311">
        <f t="shared" ca="1" si="60"/>
        <v>0</v>
      </c>
      <c r="V191" s="306">
        <f t="shared" ca="1" si="61"/>
        <v>1.1242924949816036</v>
      </c>
      <c r="W191" s="304">
        <f t="shared" ca="1" si="62"/>
        <v>47.853186769139839</v>
      </c>
      <c r="Y191" s="314" t="str">
        <f t="shared" ca="1" si="80"/>
        <v/>
      </c>
      <c r="Z191" s="315" t="str">
        <f t="shared" ca="1" si="81"/>
        <v/>
      </c>
      <c r="AA191" s="316" t="str">
        <f t="shared" ca="1" si="82"/>
        <v/>
      </c>
      <c r="AC191" s="310" t="e">
        <f t="shared" ca="1" si="83"/>
        <v>#N/A</v>
      </c>
      <c r="AD191" s="323" t="e">
        <f t="shared" ca="1" si="84"/>
        <v>#N/A</v>
      </c>
      <c r="AE191" s="324">
        <f t="shared" ca="1" si="63"/>
        <v>857.343265970679</v>
      </c>
      <c r="AG191" s="306">
        <f t="shared" ca="1" si="85"/>
        <v>-25.773756984916027</v>
      </c>
      <c r="AH191" s="304">
        <f t="shared" ca="1" si="86"/>
        <v>-16.357595632073689</v>
      </c>
    </row>
    <row r="192" spans="1:34" x14ac:dyDescent="0.2">
      <c r="A192" s="347">
        <f t="shared" ca="1" si="64"/>
        <v>0.01</v>
      </c>
      <c r="B192" s="304">
        <f t="shared" ca="1" si="65"/>
        <v>6.4799999999999596</v>
      </c>
      <c r="D192" s="306">
        <f t="shared" ca="1" si="66"/>
        <v>-4.5743557547397034</v>
      </c>
      <c r="E192" s="307">
        <f t="shared" ca="1" si="67"/>
        <v>-25.451958684217146</v>
      </c>
      <c r="F192" s="304">
        <f t="shared" ca="1" si="68"/>
        <v>25.859755053635308</v>
      </c>
      <c r="G192" s="306">
        <f t="shared" ca="1" si="69"/>
        <v>40.492384810948629</v>
      </c>
      <c r="H192" s="307">
        <f t="shared" ca="1" si="70"/>
        <v>138.36516000814547</v>
      </c>
      <c r="I192" s="304">
        <f t="shared" ca="1" si="71"/>
        <v>144.1684803684829</v>
      </c>
      <c r="J192" s="306">
        <f t="shared" ca="1" si="72"/>
        <v>212.04983200994536</v>
      </c>
      <c r="K192" s="307">
        <f t="shared" ca="1" si="73"/>
        <v>858.72819016869471</v>
      </c>
      <c r="L192" s="304">
        <f t="shared" ca="1" si="58"/>
        <v>884.52203807810679</v>
      </c>
      <c r="M192" s="306">
        <f t="shared" ca="1" si="74"/>
        <v>1.2860974106988552</v>
      </c>
      <c r="N192" s="304">
        <f t="shared" ca="1" si="75"/>
        <v>73.687953675747693</v>
      </c>
      <c r="P192" s="310">
        <f t="shared" ca="1" si="76"/>
        <v>13</v>
      </c>
      <c r="Q192" s="304">
        <f t="shared" ca="1" si="77"/>
        <v>0</v>
      </c>
      <c r="R192" s="306">
        <f t="shared" ca="1" si="78"/>
        <v>0</v>
      </c>
      <c r="S192" s="307">
        <f t="shared" ca="1" si="79"/>
        <v>2.9362999999999984</v>
      </c>
      <c r="T192" s="304">
        <f t="shared" ca="1" si="59"/>
        <v>28.805102999999985</v>
      </c>
      <c r="U192" s="311">
        <f t="shared" ca="1" si="60"/>
        <v>0</v>
      </c>
      <c r="V192" s="306">
        <f t="shared" ca="1" si="61"/>
        <v>1.1241365126995173</v>
      </c>
      <c r="W192" s="304">
        <f t="shared" ca="1" si="62"/>
        <v>47.676334372656527</v>
      </c>
      <c r="Y192" s="314" t="str">
        <f t="shared" ca="1" si="80"/>
        <v/>
      </c>
      <c r="Z192" s="315" t="str">
        <f t="shared" ca="1" si="81"/>
        <v/>
      </c>
      <c r="AA192" s="316" t="str">
        <f t="shared" ca="1" si="82"/>
        <v/>
      </c>
      <c r="AC192" s="310" t="e">
        <f t="shared" ca="1" si="83"/>
        <v>#N/A</v>
      </c>
      <c r="AD192" s="323" t="e">
        <f t="shared" ca="1" si="84"/>
        <v>#N/A</v>
      </c>
      <c r="AE192" s="324">
        <f t="shared" ca="1" si="63"/>
        <v>858.72819016869471</v>
      </c>
      <c r="AG192" s="306">
        <f t="shared" ca="1" si="85"/>
        <v>-25.712740997901168</v>
      </c>
      <c r="AH192" s="304">
        <f t="shared" ca="1" si="86"/>
        <v>-16.297104100105528</v>
      </c>
    </row>
    <row r="193" spans="1:34" x14ac:dyDescent="0.2">
      <c r="A193" s="347">
        <f t="shared" ca="1" si="64"/>
        <v>0.01</v>
      </c>
      <c r="B193" s="304">
        <f t="shared" ca="1" si="65"/>
        <v>6.4899999999999594</v>
      </c>
      <c r="D193" s="306">
        <f t="shared" ca="1" si="66"/>
        <v>-4.5604265623347517</v>
      </c>
      <c r="E193" s="307">
        <f t="shared" ca="1" si="67"/>
        <v>-25.393279521541764</v>
      </c>
      <c r="F193" s="304">
        <f t="shared" ca="1" si="68"/>
        <v>25.799537501466972</v>
      </c>
      <c r="G193" s="306">
        <f t="shared" ca="1" si="69"/>
        <v>40.446780545325282</v>
      </c>
      <c r="H193" s="307">
        <f t="shared" ca="1" si="70"/>
        <v>138.11122721293006</v>
      </c>
      <c r="I193" s="304">
        <f t="shared" ca="1" si="71"/>
        <v>143.91196315367009</v>
      </c>
      <c r="J193" s="306">
        <f t="shared" ca="1" si="72"/>
        <v>212.45452783672673</v>
      </c>
      <c r="K193" s="307">
        <f t="shared" ca="1" si="73"/>
        <v>860.1105721048001</v>
      </c>
      <c r="L193" s="304">
        <f t="shared" ca="1" si="58"/>
        <v>885.96112930803747</v>
      </c>
      <c r="M193" s="306">
        <f t="shared" ca="1" si="74"/>
        <v>1.2859059519806038</v>
      </c>
      <c r="N193" s="304">
        <f t="shared" ca="1" si="75"/>
        <v>73.676983899240895</v>
      </c>
      <c r="P193" s="310">
        <f t="shared" ca="1" si="76"/>
        <v>13</v>
      </c>
      <c r="Q193" s="304">
        <f t="shared" ca="1" si="77"/>
        <v>0</v>
      </c>
      <c r="R193" s="306">
        <f t="shared" ca="1" si="78"/>
        <v>0</v>
      </c>
      <c r="S193" s="307">
        <f t="shared" ca="1" si="79"/>
        <v>2.9362999999999984</v>
      </c>
      <c r="T193" s="304">
        <f t="shared" ca="1" si="59"/>
        <v>28.805102999999985</v>
      </c>
      <c r="U193" s="311">
        <f t="shared" ca="1" si="60"/>
        <v>0</v>
      </c>
      <c r="V193" s="306">
        <f t="shared" ca="1" si="61"/>
        <v>1.1239808374038673</v>
      </c>
      <c r="W193" s="304">
        <f t="shared" ca="1" si="62"/>
        <v>47.500246520522126</v>
      </c>
      <c r="Y193" s="314" t="str">
        <f t="shared" ca="1" si="80"/>
        <v/>
      </c>
      <c r="Z193" s="315" t="str">
        <f t="shared" ca="1" si="81"/>
        <v/>
      </c>
      <c r="AA193" s="316" t="str">
        <f t="shared" ca="1" si="82"/>
        <v/>
      </c>
      <c r="AC193" s="310" t="e">
        <f t="shared" ca="1" si="83"/>
        <v>#N/A</v>
      </c>
      <c r="AD193" s="323" t="e">
        <f t="shared" ca="1" si="84"/>
        <v>#N/A</v>
      </c>
      <c r="AE193" s="324">
        <f t="shared" ca="1" si="63"/>
        <v>860.1105721048001</v>
      </c>
      <c r="AG193" s="306">
        <f t="shared" ca="1" si="85"/>
        <v>-25.651985246300036</v>
      </c>
      <c r="AH193" s="304">
        <f t="shared" ca="1" si="86"/>
        <v>-16.236874424499046</v>
      </c>
    </row>
    <row r="194" spans="1:34" x14ac:dyDescent="0.2">
      <c r="A194" s="347">
        <f t="shared" ca="1" si="64"/>
        <v>0.01</v>
      </c>
      <c r="B194" s="304">
        <f t="shared" ca="1" si="65"/>
        <v>6.4999999999999591</v>
      </c>
      <c r="D194" s="306">
        <f t="shared" ca="1" si="66"/>
        <v>-4.5465555272989437</v>
      </c>
      <c r="E194" s="307">
        <f t="shared" ca="1" si="67"/>
        <v>-25.334854018067503</v>
      </c>
      <c r="F194" s="304">
        <f t="shared" ca="1" si="68"/>
        <v>25.739580324465347</v>
      </c>
      <c r="G194" s="306">
        <f t="shared" ca="1" si="69"/>
        <v>40.401314990052292</v>
      </c>
      <c r="H194" s="307">
        <f t="shared" ca="1" si="70"/>
        <v>137.85787867274939</v>
      </c>
      <c r="I194" s="304">
        <f t="shared" ca="1" si="71"/>
        <v>143.65605091702861</v>
      </c>
      <c r="J194" s="306">
        <f t="shared" ca="1" si="72"/>
        <v>212.85876831440362</v>
      </c>
      <c r="K194" s="307">
        <f t="shared" ca="1" si="73"/>
        <v>861.49041763422849</v>
      </c>
      <c r="L194" s="304">
        <f t="shared" ca="1" si="58"/>
        <v>887.39765321073639</v>
      </c>
      <c r="M194" s="306">
        <f t="shared" ca="1" si="74"/>
        <v>1.2857140267162184</v>
      </c>
      <c r="N194" s="304">
        <f t="shared" ca="1" si="75"/>
        <v>73.66598739160969</v>
      </c>
      <c r="P194" s="310">
        <f t="shared" ca="1" si="76"/>
        <v>13</v>
      </c>
      <c r="Q194" s="304">
        <f t="shared" ca="1" si="77"/>
        <v>0</v>
      </c>
      <c r="R194" s="306">
        <f t="shared" ca="1" si="78"/>
        <v>0</v>
      </c>
      <c r="S194" s="307">
        <f t="shared" ca="1" si="79"/>
        <v>2.9362999999999984</v>
      </c>
      <c r="T194" s="304">
        <f t="shared" ca="1" si="59"/>
        <v>28.805102999999985</v>
      </c>
      <c r="U194" s="311">
        <f t="shared" ca="1" si="60"/>
        <v>0</v>
      </c>
      <c r="V194" s="306">
        <f t="shared" ca="1" si="61"/>
        <v>1.1238254683174638</v>
      </c>
      <c r="W194" s="304">
        <f t="shared" ca="1" si="62"/>
        <v>47.324918899298545</v>
      </c>
      <c r="Y194" s="314" t="str">
        <f t="shared" ca="1" si="80"/>
        <v/>
      </c>
      <c r="Z194" s="315" t="str">
        <f t="shared" ca="1" si="81"/>
        <v/>
      </c>
      <c r="AA194" s="316" t="str">
        <f t="shared" ca="1" si="82"/>
        <v/>
      </c>
      <c r="AC194" s="310" t="e">
        <f t="shared" ca="1" si="83"/>
        <v>#N/A</v>
      </c>
      <c r="AD194" s="323" t="e">
        <f t="shared" ca="1" si="84"/>
        <v>#N/A</v>
      </c>
      <c r="AE194" s="324">
        <f t="shared" ca="1" si="63"/>
        <v>861.49041763422849</v>
      </c>
      <c r="AG194" s="306">
        <f t="shared" ca="1" si="85"/>
        <v>-25.591488244885415</v>
      </c>
      <c r="AH194" s="304">
        <f t="shared" ca="1" si="86"/>
        <v>-16.176905125675901</v>
      </c>
    </row>
    <row r="195" spans="1:34" x14ac:dyDescent="0.2">
      <c r="A195" s="347">
        <f t="shared" ca="1" si="64"/>
        <v>0.01</v>
      </c>
      <c r="B195" s="304">
        <f t="shared" ca="1" si="65"/>
        <v>6.5099999999999589</v>
      </c>
      <c r="D195" s="306">
        <f t="shared" ca="1" si="66"/>
        <v>-4.532742318010321</v>
      </c>
      <c r="E195" s="307">
        <f t="shared" ca="1" si="67"/>
        <v>-25.276680742568935</v>
      </c>
      <c r="F195" s="304">
        <f t="shared" ca="1" si="68"/>
        <v>25.679882053530481</v>
      </c>
      <c r="G195" s="306">
        <f t="shared" ca="1" si="69"/>
        <v>40.355987566872187</v>
      </c>
      <c r="H195" s="307">
        <f t="shared" ca="1" si="70"/>
        <v>137.60511186532369</v>
      </c>
      <c r="I195" s="304">
        <f t="shared" ca="1" si="71"/>
        <v>143.40074108583187</v>
      </c>
      <c r="J195" s="306">
        <f t="shared" ca="1" si="72"/>
        <v>213.26255482718824</v>
      </c>
      <c r="K195" s="307">
        <f t="shared" ca="1" si="73"/>
        <v>862.86773258691881</v>
      </c>
      <c r="L195" s="304">
        <f t="shared" ca="1" si="58"/>
        <v>888.83161579182695</v>
      </c>
      <c r="M195" s="306">
        <f t="shared" ca="1" si="74"/>
        <v>1.2855216337494844</v>
      </c>
      <c r="N195" s="304">
        <f t="shared" ca="1" si="75"/>
        <v>73.654964086607819</v>
      </c>
      <c r="P195" s="310">
        <f t="shared" ca="1" si="76"/>
        <v>13</v>
      </c>
      <c r="Q195" s="304">
        <f t="shared" ca="1" si="77"/>
        <v>0</v>
      </c>
      <c r="R195" s="306">
        <f t="shared" ca="1" si="78"/>
        <v>0</v>
      </c>
      <c r="S195" s="307">
        <f t="shared" ca="1" si="79"/>
        <v>2.9362999999999984</v>
      </c>
      <c r="T195" s="304">
        <f t="shared" ca="1" si="59"/>
        <v>28.805102999999985</v>
      </c>
      <c r="U195" s="311">
        <f t="shared" ca="1" si="60"/>
        <v>0</v>
      </c>
      <c r="V195" s="306">
        <f t="shared" ca="1" si="61"/>
        <v>1.1236704046665682</v>
      </c>
      <c r="W195" s="304">
        <f t="shared" ca="1" si="62"/>
        <v>47.15034722632943</v>
      </c>
      <c r="Y195" s="314" t="str">
        <f t="shared" ca="1" si="80"/>
        <v/>
      </c>
      <c r="Z195" s="315" t="str">
        <f t="shared" ca="1" si="81"/>
        <v/>
      </c>
      <c r="AA195" s="316" t="str">
        <f t="shared" ca="1" si="82"/>
        <v/>
      </c>
      <c r="AC195" s="310" t="e">
        <f t="shared" ca="1" si="83"/>
        <v>#N/A</v>
      </c>
      <c r="AD195" s="323" t="e">
        <f t="shared" ca="1" si="84"/>
        <v>#N/A</v>
      </c>
      <c r="AE195" s="324">
        <f t="shared" ca="1" si="63"/>
        <v>862.86773258691881</v>
      </c>
      <c r="AG195" s="306">
        <f t="shared" ca="1" si="85"/>
        <v>-25.531248518977648</v>
      </c>
      <c r="AH195" s="304">
        <f t="shared" ca="1" si="86"/>
        <v>-16.117194734631532</v>
      </c>
    </row>
    <row r="196" spans="1:34" x14ac:dyDescent="0.2">
      <c r="A196" s="347">
        <f t="shared" ca="1" si="64"/>
        <v>0.01</v>
      </c>
      <c r="B196" s="304">
        <f t="shared" ca="1" si="65"/>
        <v>6.5199999999999587</v>
      </c>
      <c r="D196" s="306">
        <f t="shared" ca="1" si="66"/>
        <v>-4.5189866052101193</v>
      </c>
      <c r="E196" s="307">
        <f t="shared" ca="1" si="67"/>
        <v>-25.218758274033576</v>
      </c>
      <c r="F196" s="304">
        <f t="shared" ca="1" si="68"/>
        <v>25.620441230045305</v>
      </c>
      <c r="G196" s="306">
        <f t="shared" ca="1" si="69"/>
        <v>40.310797700820089</v>
      </c>
      <c r="H196" s="307">
        <f t="shared" ca="1" si="70"/>
        <v>137.35292428258336</v>
      </c>
      <c r="I196" s="304">
        <f t="shared" ca="1" si="71"/>
        <v>143.1460311019957</v>
      </c>
      <c r="J196" s="306">
        <f t="shared" ca="1" si="72"/>
        <v>213.6658887535267</v>
      </c>
      <c r="K196" s="307">
        <f t="shared" ca="1" si="73"/>
        <v>864.24252276765833</v>
      </c>
      <c r="L196" s="304">
        <f t="shared" ref="L196:L259" ca="1" si="87">SQRT(pos_x^2+pos_z^2)</f>
        <v>890.26302303119428</v>
      </c>
      <c r="M196" s="306">
        <f t="shared" ca="1" si="74"/>
        <v>1.2853287719197541</v>
      </c>
      <c r="N196" s="304">
        <f t="shared" ca="1" si="75"/>
        <v>73.643913917735105</v>
      </c>
      <c r="P196" s="310">
        <f t="shared" ca="1" si="76"/>
        <v>13</v>
      </c>
      <c r="Q196" s="304">
        <f t="shared" ca="1" si="77"/>
        <v>0</v>
      </c>
      <c r="R196" s="306">
        <f t="shared" ca="1" si="78"/>
        <v>0</v>
      </c>
      <c r="S196" s="307">
        <f t="shared" ca="1" si="79"/>
        <v>2.9362999999999984</v>
      </c>
      <c r="T196" s="304">
        <f t="shared" ref="T196:T259" ca="1" si="88">m*g</f>
        <v>28.805102999999985</v>
      </c>
      <c r="U196" s="311">
        <f t="shared" ref="U196:U259" ca="1" si="89">IF(pos_xz&lt;L_rampe,Poids*COS(Beta),0)</f>
        <v>0</v>
      </c>
      <c r="V196" s="306">
        <f t="shared" ref="V196:V259" ca="1" si="90">Rho_moyen*(20000-Alt_rampe-pos_z)/(20000+Alt_rampe+pos_z)</f>
        <v>1.1235156456808726</v>
      </c>
      <c r="W196" s="304">
        <f t="shared" ref="W196:W259" ca="1" si="91">1/2*Rho*Sref*Cx*vit_xz^2</f>
        <v>46.976527249476433</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864.24252276765833</v>
      </c>
      <c r="AG196" s="306">
        <f t="shared" ca="1" si="85"/>
        <v>-25.471264604353909</v>
      </c>
      <c r="AH196" s="304">
        <f t="shared" ca="1" si="86"/>
        <v>-16.057741792844553</v>
      </c>
    </row>
    <row r="197" spans="1:34" x14ac:dyDescent="0.2">
      <c r="A197" s="347">
        <f t="shared" ref="A197:A260" ca="1" si="93">IF(B196+0.01&lt;=T_ini+ROUNDUP(Temps_fin_propu,0), 0.01, IF(K196&gt;0, 0.1, 0.0001))</f>
        <v>0.01</v>
      </c>
      <c r="B197" s="304">
        <f t="shared" ref="B197:B260" ca="1" si="94">B196+pas</f>
        <v>6.5299999999999585</v>
      </c>
      <c r="D197" s="306">
        <f t="shared" ref="D197:D260" ca="1" si="95">IF(AND(L196&lt;L_rampe,Poussee&lt;Poids*SIN(M196)),0,(-W196+Poussee)/m*COS(M196)-U196/m*SIN(M196))</f>
        <v>-4.5052880619825464</v>
      </c>
      <c r="E197" s="307">
        <f t="shared" ref="E197:E260" ca="1" si="96">IF(AND(L196&lt;L_rampe,Poussee&lt;Poids*SIN(M196)),0,(-W196+Poussee)/m*SIN(M196)+U196/m*COS(M196)-Poids/m)</f>
        <v>-25.161085201574323</v>
      </c>
      <c r="F197" s="304">
        <f t="shared" ref="F197:F260" ca="1" si="97">SQRT(acc_x^2+acc_z^2)</f>
        <v>25.561256405785784</v>
      </c>
      <c r="G197" s="306">
        <f t="shared" ref="G197:G260" ca="1" si="98">G196+acc_x*pas</f>
        <v>40.265744820200261</v>
      </c>
      <c r="H197" s="307">
        <f t="shared" ref="H197:H260" ca="1" si="99">H196+acc_z*pas</f>
        <v>137.10131343056761</v>
      </c>
      <c r="I197" s="304">
        <f t="shared" ref="I197:I260" ca="1" si="100">SQRT(vit_x^2+vit_z^2)</f>
        <v>142.89191842197454</v>
      </c>
      <c r="J197" s="306">
        <f t="shared" ref="J197:J260" ca="1" si="101">J196+0.5*(vit_x+G196)*pas*(K196&gt;=0)</f>
        <v>214.06877146613181</v>
      </c>
      <c r="K197" s="307">
        <f t="shared" ref="K197:K260" ca="1" si="102">K196+0.5*(vit_z+H196)*pas</f>
        <v>865.61479395622405</v>
      </c>
      <c r="L197" s="304">
        <f t="shared" ca="1" si="87"/>
        <v>891.69188088313058</v>
      </c>
      <c r="M197" s="306">
        <f t="shared" ref="M197:M260" ca="1" si="103">IF(AND(L196&gt;L_rampe,G197&gt;0),ATAN2(G197,H197),$M$4)</f>
        <v>1.285135440061929</v>
      </c>
      <c r="N197" s="304">
        <f t="shared" ref="N197:N260" ca="1" si="104">DEGREES(Beta)</f>
        <v>73.632836818236314</v>
      </c>
      <c r="P197" s="310">
        <f t="shared" ref="P197:P260" ca="1" si="105">MATCH(t-pas/2-T_ini,CdP_t)</f>
        <v>13</v>
      </c>
      <c r="Q197" s="304">
        <f t="shared" ref="Q197:Q260" ca="1" si="106">(INDEX(CdP,2,i_P+1)-INDEX(CdP,2,i_P+0))/(INDEX(CdP,1,i_P+1)-INDEX(CdP,1,i_P+0))*(t-pas/2-T_ini-INDEX(CdP,1,i_P+0))+INDEX(CdP,2,i_P+0)</f>
        <v>0</v>
      </c>
      <c r="R197" s="306">
        <f t="shared" ref="R197:R260" ca="1" si="107">Poussee/(g*ISP)</f>
        <v>0</v>
      </c>
      <c r="S197" s="307">
        <f t="shared" ref="S197:S260" ca="1" si="108">S196-Débit*pas</f>
        <v>2.9362999999999984</v>
      </c>
      <c r="T197" s="304">
        <f t="shared" ca="1" si="88"/>
        <v>28.805102999999985</v>
      </c>
      <c r="U197" s="311">
        <f t="shared" ca="1" si="89"/>
        <v>0</v>
      </c>
      <c r="V197" s="306">
        <f t="shared" ca="1" si="90"/>
        <v>1.1233611905934815</v>
      </c>
      <c r="W197" s="304">
        <f t="shared" ca="1" si="91"/>
        <v>46.803454746858307</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865.61479395622405</v>
      </c>
      <c r="AG197" s="306">
        <f t="shared" ref="AG197:AG260" ca="1" si="114">IF(AND(L196&lt;L_rampe,Poussee&lt;Poids*SIN(M196)),0,(-W196+Poussee)/m-Poids*SIN(M196)/m)</f>
        <v>-25.411535047158225</v>
      </c>
      <c r="AH197" s="304">
        <f t="shared" ref="AH197:AH260" ca="1" si="115">IF(AND(L196&lt;L_rampe,Poussee&lt;Poids*SIN(M196)), g*SIN(M196), (-W196+Poussee)/m)</f>
        <v>-15.998544852186923</v>
      </c>
    </row>
    <row r="198" spans="1:34" x14ac:dyDescent="0.2">
      <c r="A198" s="347">
        <f t="shared" ca="1" si="93"/>
        <v>0.01</v>
      </c>
      <c r="B198" s="304">
        <f t="shared" ca="1" si="94"/>
        <v>6.5399999999999583</v>
      </c>
      <c r="D198" s="306">
        <f t="shared" ca="1" si="95"/>
        <v>-4.4916463637347421</v>
      </c>
      <c r="E198" s="307">
        <f t="shared" ca="1" si="96"/>
        <v>-25.103660124342966</v>
      </c>
      <c r="F198" s="304">
        <f t="shared" ca="1" si="97"/>
        <v>25.502326142832118</v>
      </c>
      <c r="G198" s="306">
        <f t="shared" ca="1" si="98"/>
        <v>40.220828356562912</v>
      </c>
      <c r="H198" s="307">
        <f t="shared" ca="1" si="99"/>
        <v>136.85027682932417</v>
      </c>
      <c r="I198" s="304">
        <f t="shared" ca="1" si="100"/>
        <v>142.63840051665875</v>
      </c>
      <c r="J198" s="306">
        <f t="shared" ca="1" si="101"/>
        <v>214.47120433201562</v>
      </c>
      <c r="K198" s="307">
        <f t="shared" ca="1" si="102"/>
        <v>866.9845519075235</v>
      </c>
      <c r="L198" s="304">
        <f t="shared" ca="1" si="87"/>
        <v>893.11819527647879</v>
      </c>
      <c r="M198" s="306">
        <f t="shared" ca="1" si="103"/>
        <v>1.284941637006441</v>
      </c>
      <c r="N198" s="304">
        <f t="shared" ca="1" si="104"/>
        <v>73.621732721100102</v>
      </c>
      <c r="P198" s="310">
        <f t="shared" ca="1" si="105"/>
        <v>13</v>
      </c>
      <c r="Q198" s="304">
        <f t="shared" ca="1" si="106"/>
        <v>0</v>
      </c>
      <c r="R198" s="306">
        <f t="shared" ca="1" si="107"/>
        <v>0</v>
      </c>
      <c r="S198" s="307">
        <f t="shared" ca="1" si="108"/>
        <v>2.9362999999999984</v>
      </c>
      <c r="T198" s="304">
        <f t="shared" ca="1" si="88"/>
        <v>28.805102999999985</v>
      </c>
      <c r="U198" s="311">
        <f t="shared" ca="1" si="89"/>
        <v>0</v>
      </c>
      <c r="V198" s="306">
        <f t="shared" ca="1" si="90"/>
        <v>1.1232070386408917</v>
      </c>
      <c r="W198" s="304">
        <f t="shared" ca="1" si="91"/>
        <v>46.631125526592619</v>
      </c>
      <c r="Y198" s="314" t="str">
        <f t="shared" ca="1" si="109"/>
        <v/>
      </c>
      <c r="Z198" s="315" t="str">
        <f t="shared" ca="1" si="110"/>
        <v/>
      </c>
      <c r="AA198" s="316" t="str">
        <f t="shared" ca="1" si="111"/>
        <v/>
      </c>
      <c r="AC198" s="310" t="e">
        <f t="shared" ca="1" si="112"/>
        <v>#N/A</v>
      </c>
      <c r="AD198" s="323" t="e">
        <f t="shared" ca="1" si="113"/>
        <v>#N/A</v>
      </c>
      <c r="AE198" s="324">
        <f t="shared" ca="1" si="92"/>
        <v>866.9845519075235</v>
      </c>
      <c r="AG198" s="306">
        <f t="shared" ca="1" si="114"/>
        <v>-25.352058403812507</v>
      </c>
      <c r="AH198" s="304">
        <f t="shared" ca="1" si="115"/>
        <v>-15.939602474835111</v>
      </c>
    </row>
    <row r="199" spans="1:34" x14ac:dyDescent="0.2">
      <c r="A199" s="347">
        <f t="shared" ca="1" si="93"/>
        <v>0.01</v>
      </c>
      <c r="B199" s="304">
        <f t="shared" ca="1" si="94"/>
        <v>6.5499999999999581</v>
      </c>
      <c r="D199" s="306">
        <f t="shared" ca="1" si="95"/>
        <v>-4.4780611881769339</v>
      </c>
      <c r="E199" s="307">
        <f t="shared" ca="1" si="96"/>
        <v>-25.04648165144441</v>
      </c>
      <c r="F199" s="304">
        <f t="shared" ca="1" si="97"/>
        <v>25.443649013480712</v>
      </c>
      <c r="G199" s="306">
        <f t="shared" ca="1" si="98"/>
        <v>40.176047744681142</v>
      </c>
      <c r="H199" s="307">
        <f t="shared" ca="1" si="99"/>
        <v>136.59981201280974</v>
      </c>
      <c r="I199" s="304">
        <f t="shared" ca="1" si="100"/>
        <v>142.38547487127278</v>
      </c>
      <c r="J199" s="306">
        <f t="shared" ca="1" si="101"/>
        <v>214.87318871252182</v>
      </c>
      <c r="K199" s="307">
        <f t="shared" ca="1" si="102"/>
        <v>868.35180235173414</v>
      </c>
      <c r="L199" s="304">
        <f t="shared" ca="1" si="87"/>
        <v>894.54197211477572</v>
      </c>
      <c r="M199" s="306">
        <f t="shared" ca="1" si="103"/>
        <v>1.2847473615792322</v>
      </c>
      <c r="N199" s="304">
        <f t="shared" ca="1" si="104"/>
        <v>73.61060155905794</v>
      </c>
      <c r="P199" s="310">
        <f t="shared" ca="1" si="105"/>
        <v>13</v>
      </c>
      <c r="Q199" s="304">
        <f t="shared" ca="1" si="106"/>
        <v>0</v>
      </c>
      <c r="R199" s="306">
        <f t="shared" ca="1" si="107"/>
        <v>0</v>
      </c>
      <c r="S199" s="307">
        <f t="shared" ca="1" si="108"/>
        <v>2.9362999999999984</v>
      </c>
      <c r="T199" s="304">
        <f t="shared" ca="1" si="88"/>
        <v>28.805102999999985</v>
      </c>
      <c r="U199" s="311">
        <f t="shared" ca="1" si="89"/>
        <v>0</v>
      </c>
      <c r="V199" s="306">
        <f t="shared" ca="1" si="90"/>
        <v>1.1230531890629716</v>
      </c>
      <c r="W199" s="304">
        <f t="shared" ca="1" si="91"/>
        <v>46.45953542653988</v>
      </c>
      <c r="Y199" s="314" t="str">
        <f t="shared" ca="1" si="109"/>
        <v/>
      </c>
      <c r="Z199" s="315" t="str">
        <f t="shared" ca="1" si="110"/>
        <v/>
      </c>
      <c r="AA199" s="316" t="str">
        <f t="shared" ca="1" si="111"/>
        <v/>
      </c>
      <c r="AC199" s="310" t="e">
        <f t="shared" ca="1" si="112"/>
        <v>#N/A</v>
      </c>
      <c r="AD199" s="323" t="e">
        <f t="shared" ca="1" si="113"/>
        <v>#N/A</v>
      </c>
      <c r="AE199" s="324">
        <f t="shared" ca="1" si="92"/>
        <v>868.35180235173414</v>
      </c>
      <c r="AG199" s="306">
        <f t="shared" ca="1" si="114"/>
        <v>-25.29283324092841</v>
      </c>
      <c r="AH199" s="304">
        <f t="shared" ca="1" si="115"/>
        <v>-15.880913233182115</v>
      </c>
    </row>
    <row r="200" spans="1:34" x14ac:dyDescent="0.2">
      <c r="A200" s="347">
        <f t="shared" ca="1" si="93"/>
        <v>0.01</v>
      </c>
      <c r="B200" s="304">
        <f t="shared" ca="1" si="94"/>
        <v>6.5599999999999579</v>
      </c>
      <c r="D200" s="306">
        <f t="shared" ca="1" si="95"/>
        <v>-4.4645322153028149</v>
      </c>
      <c r="E200" s="307">
        <f t="shared" ca="1" si="96"/>
        <v>-24.989548401851838</v>
      </c>
      <c r="F200" s="304">
        <f t="shared" ca="1" si="97"/>
        <v>25.385223600157087</v>
      </c>
      <c r="G200" s="306">
        <f t="shared" ca="1" si="98"/>
        <v>40.131402422528112</v>
      </c>
      <c r="H200" s="307">
        <f t="shared" ca="1" si="99"/>
        <v>136.34991652879123</v>
      </c>
      <c r="I200" s="304">
        <f t="shared" ca="1" si="100"/>
        <v>142.13313898527406</v>
      </c>
      <c r="J200" s="306">
        <f t="shared" ca="1" si="101"/>
        <v>215.27472596335787</v>
      </c>
      <c r="K200" s="307">
        <f t="shared" ca="1" si="102"/>
        <v>869.71655099444217</v>
      </c>
      <c r="L200" s="304">
        <f t="shared" ca="1" si="87"/>
        <v>895.96321727639418</v>
      </c>
      <c r="M200" s="306">
        <f t="shared" ca="1" si="103"/>
        <v>1.2845526126017368</v>
      </c>
      <c r="N200" s="304">
        <f t="shared" ca="1" si="104"/>
        <v>73.599443264582959</v>
      </c>
      <c r="P200" s="310">
        <f t="shared" ca="1" si="105"/>
        <v>13</v>
      </c>
      <c r="Q200" s="304">
        <f t="shared" ca="1" si="106"/>
        <v>0</v>
      </c>
      <c r="R200" s="306">
        <f t="shared" ca="1" si="107"/>
        <v>0</v>
      </c>
      <c r="S200" s="307">
        <f t="shared" ca="1" si="108"/>
        <v>2.9362999999999984</v>
      </c>
      <c r="T200" s="304">
        <f t="shared" ca="1" si="88"/>
        <v>28.805102999999985</v>
      </c>
      <c r="U200" s="311">
        <f t="shared" ca="1" si="89"/>
        <v>0</v>
      </c>
      <c r="V200" s="306">
        <f t="shared" ca="1" si="90"/>
        <v>1.122899641102943</v>
      </c>
      <c r="W200" s="304">
        <f t="shared" ca="1" si="91"/>
        <v>46.288680314050389</v>
      </c>
      <c r="Y200" s="314" t="str">
        <f t="shared" ca="1" si="109"/>
        <v/>
      </c>
      <c r="Z200" s="315" t="str">
        <f t="shared" ca="1" si="110"/>
        <v/>
      </c>
      <c r="AA200" s="316" t="str">
        <f t="shared" ca="1" si="111"/>
        <v/>
      </c>
      <c r="AC200" s="310" t="e">
        <f t="shared" ca="1" si="112"/>
        <v>#N/A</v>
      </c>
      <c r="AD200" s="323" t="e">
        <f t="shared" ca="1" si="113"/>
        <v>#N/A</v>
      </c>
      <c r="AE200" s="324">
        <f t="shared" ca="1" si="92"/>
        <v>869.71655099444217</v>
      </c>
      <c r="AG200" s="306">
        <f t="shared" ca="1" si="114"/>
        <v>-25.233858135220096</v>
      </c>
      <c r="AH200" s="304">
        <f t="shared" ca="1" si="115"/>
        <v>-15.822475709750334</v>
      </c>
    </row>
    <row r="201" spans="1:34" x14ac:dyDescent="0.2">
      <c r="A201" s="347">
        <f t="shared" ca="1" si="93"/>
        <v>0.01</v>
      </c>
      <c r="B201" s="304">
        <f t="shared" ca="1" si="94"/>
        <v>6.5699999999999577</v>
      </c>
      <c r="D201" s="306">
        <f t="shared" ca="1" si="95"/>
        <v>-4.4510591273700877</v>
      </c>
      <c r="E201" s="307">
        <f t="shared" ca="1" si="96"/>
        <v>-24.932859004322673</v>
      </c>
      <c r="F201" s="304">
        <f t="shared" ca="1" si="97"/>
        <v>25.327048495329628</v>
      </c>
      <c r="G201" s="306">
        <f t="shared" ca="1" si="98"/>
        <v>40.086891831254412</v>
      </c>
      <c r="H201" s="307">
        <f t="shared" ca="1" si="99"/>
        <v>136.10058793874799</v>
      </c>
      <c r="I201" s="304">
        <f t="shared" ca="1" si="100"/>
        <v>141.88139037225272</v>
      </c>
      <c r="J201" s="306">
        <f t="shared" ca="1" si="101"/>
        <v>215.67581743462677</v>
      </c>
      <c r="K201" s="307">
        <f t="shared" ca="1" si="102"/>
        <v>871.07880351677989</v>
      </c>
      <c r="L201" s="304">
        <f t="shared" ca="1" si="87"/>
        <v>897.38193661468313</v>
      </c>
      <c r="M201" s="306">
        <f t="shared" ca="1" si="103"/>
        <v>1.2843573888908617</v>
      </c>
      <c r="N201" s="304">
        <f t="shared" ca="1" si="104"/>
        <v>73.588257769888941</v>
      </c>
      <c r="P201" s="310">
        <f t="shared" ca="1" si="105"/>
        <v>13</v>
      </c>
      <c r="Q201" s="304">
        <f t="shared" ca="1" si="106"/>
        <v>0</v>
      </c>
      <c r="R201" s="306">
        <f t="shared" ca="1" si="107"/>
        <v>0</v>
      </c>
      <c r="S201" s="307">
        <f t="shared" ca="1" si="108"/>
        <v>2.9362999999999984</v>
      </c>
      <c r="T201" s="304">
        <f t="shared" ca="1" si="88"/>
        <v>28.805102999999985</v>
      </c>
      <c r="U201" s="311">
        <f t="shared" ca="1" si="89"/>
        <v>0</v>
      </c>
      <c r="V201" s="306">
        <f t="shared" ca="1" si="90"/>
        <v>1.1227463940073619</v>
      </c>
      <c r="W201" s="304">
        <f t="shared" ca="1" si="91"/>
        <v>46.118556085713408</v>
      </c>
      <c r="Y201" s="314" t="str">
        <f t="shared" ca="1" si="109"/>
        <v/>
      </c>
      <c r="Z201" s="315" t="str">
        <f t="shared" ca="1" si="110"/>
        <v/>
      </c>
      <c r="AA201" s="316" t="str">
        <f t="shared" ca="1" si="111"/>
        <v/>
      </c>
      <c r="AC201" s="310" t="e">
        <f t="shared" ca="1" si="112"/>
        <v>#N/A</v>
      </c>
      <c r="AD201" s="323" t="e">
        <f t="shared" ca="1" si="113"/>
        <v>#N/A</v>
      </c>
      <c r="AE201" s="324">
        <f t="shared" ca="1" si="92"/>
        <v>871.07880351677989</v>
      </c>
      <c r="AG201" s="306">
        <f t="shared" ca="1" si="114"/>
        <v>-25.175131673417837</v>
      </c>
      <c r="AH201" s="304">
        <f t="shared" ca="1" si="115"/>
        <v>-15.764288497105342</v>
      </c>
    </row>
    <row r="202" spans="1:34" x14ac:dyDescent="0.2">
      <c r="A202" s="347">
        <f t="shared" ca="1" si="93"/>
        <v>0.01</v>
      </c>
      <c r="B202" s="304">
        <f t="shared" ca="1" si="94"/>
        <v>6.5799999999999574</v>
      </c>
      <c r="D202" s="306">
        <f t="shared" ca="1" si="95"/>
        <v>-4.4376416088812087</v>
      </c>
      <c r="E202" s="307">
        <f t="shared" ca="1" si="96"/>
        <v>-24.876412097315363</v>
      </c>
      <c r="F202" s="304">
        <f t="shared" ca="1" si="97"/>
        <v>25.269122301424161</v>
      </c>
      <c r="G202" s="306">
        <f t="shared" ca="1" si="98"/>
        <v>40.042515415165603</v>
      </c>
      <c r="H202" s="307">
        <f t="shared" ca="1" si="99"/>
        <v>135.85182381777483</v>
      </c>
      <c r="I202" s="304">
        <f t="shared" ca="1" si="100"/>
        <v>141.63022655983258</v>
      </c>
      <c r="J202" s="306">
        <f t="shared" ca="1" si="101"/>
        <v>216.07646447085887</v>
      </c>
      <c r="K202" s="307">
        <f t="shared" ca="1" si="102"/>
        <v>872.43856557556251</v>
      </c>
      <c r="L202" s="304">
        <f t="shared" ca="1" si="87"/>
        <v>898.79813595810901</v>
      </c>
      <c r="M202" s="306">
        <f t="shared" ca="1" si="103"/>
        <v>1.2841616892589673</v>
      </c>
      <c r="N202" s="304">
        <f t="shared" ca="1" si="104"/>
        <v>73.577045006929126</v>
      </c>
      <c r="P202" s="310">
        <f t="shared" ca="1" si="105"/>
        <v>13</v>
      </c>
      <c r="Q202" s="304">
        <f t="shared" ca="1" si="106"/>
        <v>0</v>
      </c>
      <c r="R202" s="306">
        <f t="shared" ca="1" si="107"/>
        <v>0</v>
      </c>
      <c r="S202" s="307">
        <f t="shared" ca="1" si="108"/>
        <v>2.9362999999999984</v>
      </c>
      <c r="T202" s="304">
        <f t="shared" ca="1" si="88"/>
        <v>28.805102999999985</v>
      </c>
      <c r="U202" s="311">
        <f t="shared" ca="1" si="89"/>
        <v>0</v>
      </c>
      <c r="V202" s="306">
        <f t="shared" ca="1" si="90"/>
        <v>1.1225934470260981</v>
      </c>
      <c r="W202" s="304">
        <f t="shared" ca="1" si="91"/>
        <v>45.949158667109145</v>
      </c>
      <c r="Y202" s="314" t="str">
        <f t="shared" ca="1" si="109"/>
        <v/>
      </c>
      <c r="Z202" s="315" t="str">
        <f t="shared" ca="1" si="110"/>
        <v/>
      </c>
      <c r="AA202" s="316" t="str">
        <f t="shared" ca="1" si="111"/>
        <v/>
      </c>
      <c r="AC202" s="310" t="e">
        <f t="shared" ca="1" si="112"/>
        <v>#N/A</v>
      </c>
      <c r="AD202" s="323" t="e">
        <f t="shared" ca="1" si="113"/>
        <v>#N/A</v>
      </c>
      <c r="AE202" s="324">
        <f t="shared" ca="1" si="92"/>
        <v>872.43856557556251</v>
      </c>
      <c r="AG202" s="306">
        <f t="shared" ca="1" si="114"/>
        <v>-25.116652452182464</v>
      </c>
      <c r="AH202" s="304">
        <f t="shared" ca="1" si="115"/>
        <v>-15.706350197770471</v>
      </c>
    </row>
    <row r="203" spans="1:34" x14ac:dyDescent="0.2">
      <c r="A203" s="347">
        <f t="shared" ca="1" si="93"/>
        <v>0.01</v>
      </c>
      <c r="B203" s="304">
        <f t="shared" ca="1" si="94"/>
        <v>6.5899999999999572</v>
      </c>
      <c r="D203" s="306">
        <f t="shared" ca="1" si="95"/>
        <v>-4.4242793465643473</v>
      </c>
      <c r="E203" s="307">
        <f t="shared" ca="1" si="96"/>
        <v>-24.820206328907119</v>
      </c>
      <c r="F203" s="304">
        <f t="shared" ca="1" si="97"/>
        <v>25.211443630739531</v>
      </c>
      <c r="G203" s="306">
        <f t="shared" ca="1" si="98"/>
        <v>39.998272621699961</v>
      </c>
      <c r="H203" s="307">
        <f t="shared" ca="1" si="99"/>
        <v>135.60362175448574</v>
      </c>
      <c r="I203" s="304">
        <f t="shared" ca="1" si="100"/>
        <v>141.37964508957245</v>
      </c>
      <c r="J203" s="306">
        <f t="shared" ca="1" si="101"/>
        <v>216.47666841104319</v>
      </c>
      <c r="K203" s="307">
        <f t="shared" ca="1" si="102"/>
        <v>873.79584280342385</v>
      </c>
      <c r="L203" s="304">
        <f t="shared" ca="1" si="87"/>
        <v>900.2118211103932</v>
      </c>
      <c r="M203" s="306">
        <f t="shared" ca="1" si="103"/>
        <v>1.2839655125138476</v>
      </c>
      <c r="N203" s="304">
        <f t="shared" ca="1" si="104"/>
        <v>73.565804907395147</v>
      </c>
      <c r="P203" s="310">
        <f t="shared" ca="1" si="105"/>
        <v>13</v>
      </c>
      <c r="Q203" s="304">
        <f t="shared" ca="1" si="106"/>
        <v>0</v>
      </c>
      <c r="R203" s="306">
        <f t="shared" ca="1" si="107"/>
        <v>0</v>
      </c>
      <c r="S203" s="307">
        <f t="shared" ca="1" si="108"/>
        <v>2.9362999999999984</v>
      </c>
      <c r="T203" s="304">
        <f t="shared" ca="1" si="88"/>
        <v>28.805102999999985</v>
      </c>
      <c r="U203" s="311">
        <f t="shared" ca="1" si="89"/>
        <v>0</v>
      </c>
      <c r="V203" s="306">
        <f t="shared" ca="1" si="90"/>
        <v>1.1224407994123184</v>
      </c>
      <c r="W203" s="304">
        <f t="shared" ca="1" si="91"/>
        <v>45.780484012562809</v>
      </c>
      <c r="Y203" s="314" t="str">
        <f t="shared" ca="1" si="109"/>
        <v/>
      </c>
      <c r="Z203" s="315" t="str">
        <f t="shared" ca="1" si="110"/>
        <v/>
      </c>
      <c r="AA203" s="316" t="str">
        <f t="shared" ca="1" si="111"/>
        <v/>
      </c>
      <c r="AC203" s="310" t="e">
        <f t="shared" ca="1" si="112"/>
        <v>#N/A</v>
      </c>
      <c r="AD203" s="323" t="e">
        <f t="shared" ca="1" si="113"/>
        <v>#N/A</v>
      </c>
      <c r="AE203" s="324">
        <f t="shared" ca="1" si="92"/>
        <v>873.79584280342385</v>
      </c>
      <c r="AG203" s="306">
        <f t="shared" ca="1" si="114"/>
        <v>-25.058419078020755</v>
      </c>
      <c r="AH203" s="304">
        <f t="shared" ca="1" si="115"/>
        <v>-15.648659424142346</v>
      </c>
    </row>
    <row r="204" spans="1:34" x14ac:dyDescent="0.2">
      <c r="A204" s="347">
        <f t="shared" ca="1" si="93"/>
        <v>0.01</v>
      </c>
      <c r="B204" s="304">
        <f t="shared" ca="1" si="94"/>
        <v>6.599999999999957</v>
      </c>
      <c r="D204" s="306">
        <f t="shared" ca="1" si="95"/>
        <v>-4.4109720293545047</v>
      </c>
      <c r="E204" s="307">
        <f t="shared" ca="1" si="96"/>
        <v>-24.764240356712257</v>
      </c>
      <c r="F204" s="304">
        <f t="shared" ca="1" si="97"/>
        <v>25.154011105363768</v>
      </c>
      <c r="G204" s="306">
        <f t="shared" ca="1" si="98"/>
        <v>39.954162901406413</v>
      </c>
      <c r="H204" s="307">
        <f t="shared" ca="1" si="99"/>
        <v>135.35597935091863</v>
      </c>
      <c r="I204" s="304">
        <f t="shared" ca="1" si="100"/>
        <v>141.12964351686867</v>
      </c>
      <c r="J204" s="306">
        <f t="shared" ca="1" si="101"/>
        <v>216.87643058865874</v>
      </c>
      <c r="K204" s="307">
        <f t="shared" ca="1" si="102"/>
        <v>875.15064080895093</v>
      </c>
      <c r="L204" s="304">
        <f t="shared" ca="1" si="87"/>
        <v>901.62299785065079</v>
      </c>
      <c r="M204" s="306">
        <f t="shared" ca="1" si="103"/>
        <v>1.2837688574587112</v>
      </c>
      <c r="N204" s="304">
        <f t="shared" ca="1" si="104"/>
        <v>73.554537402715923</v>
      </c>
      <c r="P204" s="310">
        <f t="shared" ca="1" si="105"/>
        <v>13</v>
      </c>
      <c r="Q204" s="304">
        <f t="shared" ca="1" si="106"/>
        <v>0</v>
      </c>
      <c r="R204" s="306">
        <f t="shared" ca="1" si="107"/>
        <v>0</v>
      </c>
      <c r="S204" s="307">
        <f t="shared" ca="1" si="108"/>
        <v>2.9362999999999984</v>
      </c>
      <c r="T204" s="304">
        <f t="shared" ca="1" si="88"/>
        <v>28.805102999999985</v>
      </c>
      <c r="U204" s="311">
        <f t="shared" ca="1" si="89"/>
        <v>0</v>
      </c>
      <c r="V204" s="306">
        <f t="shared" ca="1" si="90"/>
        <v>1.1222884504224664</v>
      </c>
      <c r="W204" s="304">
        <f t="shared" ca="1" si="91"/>
        <v>45.612528104901493</v>
      </c>
      <c r="Y204" s="314" t="str">
        <f t="shared" ca="1" si="109"/>
        <v/>
      </c>
      <c r="Z204" s="315" t="str">
        <f t="shared" ca="1" si="110"/>
        <v/>
      </c>
      <c r="AA204" s="316" t="str">
        <f t="shared" ca="1" si="111"/>
        <v/>
      </c>
      <c r="AC204" s="310" t="e">
        <f t="shared" ca="1" si="112"/>
        <v>#N/A</v>
      </c>
      <c r="AD204" s="323" t="e">
        <f t="shared" ca="1" si="113"/>
        <v>#N/A</v>
      </c>
      <c r="AE204" s="324">
        <f t="shared" ca="1" si="92"/>
        <v>875.15064080895093</v>
      </c>
      <c r="AG204" s="306">
        <f t="shared" ca="1" si="114"/>
        <v>-25.000430167201539</v>
      </c>
      <c r="AH204" s="304">
        <f t="shared" ca="1" si="115"/>
        <v>-15.591214798407123</v>
      </c>
    </row>
    <row r="205" spans="1:34" x14ac:dyDescent="0.2">
      <c r="A205" s="347">
        <f t="shared" ca="1" si="93"/>
        <v>0.1</v>
      </c>
      <c r="B205" s="304">
        <f t="shared" ca="1" si="94"/>
        <v>6.6999999999999567</v>
      </c>
      <c r="D205" s="306">
        <f t="shared" ca="1" si="95"/>
        <v>-4.3977193483748422</v>
      </c>
      <c r="E205" s="307">
        <f t="shared" ca="1" si="96"/>
        <v>-24.708512847801579</v>
      </c>
      <c r="F205" s="304">
        <f t="shared" ca="1" si="97"/>
        <v>25.096823357091353</v>
      </c>
      <c r="G205" s="306">
        <f t="shared" ca="1" si="98"/>
        <v>39.514390966568925</v>
      </c>
      <c r="H205" s="307">
        <f t="shared" ca="1" si="99"/>
        <v>132.88512806613846</v>
      </c>
      <c r="I205" s="304">
        <f t="shared" ca="1" si="100"/>
        <v>138.63565325922795</v>
      </c>
      <c r="J205" s="306">
        <f t="shared" ca="1" si="101"/>
        <v>220.84985828205751</v>
      </c>
      <c r="K205" s="307">
        <f t="shared" ca="1" si="102"/>
        <v>888.56269617980377</v>
      </c>
      <c r="L205" s="304">
        <f t="shared" ca="1" si="87"/>
        <v>915.59725040299634</v>
      </c>
      <c r="M205" s="306">
        <f t="shared" ca="1" si="103"/>
        <v>1.2817655935989671</v>
      </c>
      <c r="N205" s="304">
        <f t="shared" ca="1" si="104"/>
        <v>73.439758838301501</v>
      </c>
      <c r="P205" s="310">
        <f t="shared" ca="1" si="105"/>
        <v>23</v>
      </c>
      <c r="Q205" s="304">
        <f t="shared" ca="1" si="106"/>
        <v>0</v>
      </c>
      <c r="R205" s="306">
        <f t="shared" ca="1" si="107"/>
        <v>0</v>
      </c>
      <c r="S205" s="307">
        <f t="shared" ca="1" si="108"/>
        <v>2.9362999999999984</v>
      </c>
      <c r="T205" s="304">
        <f t="shared" ca="1" si="88"/>
        <v>28.805102999999985</v>
      </c>
      <c r="U205" s="311">
        <f t="shared" ca="1" si="89"/>
        <v>0</v>
      </c>
      <c r="V205" s="306">
        <f t="shared" ca="1" si="90"/>
        <v>1.1207813116534509</v>
      </c>
      <c r="W205" s="304">
        <f t="shared" ca="1" si="91"/>
        <v>43.955569212490794</v>
      </c>
      <c r="Y205" s="314" t="str">
        <f t="shared" ca="1" si="109"/>
        <v/>
      </c>
      <c r="Z205" s="315" t="str">
        <f t="shared" ca="1" si="110"/>
        <v/>
      </c>
      <c r="AA205" s="316" t="str">
        <f t="shared" ca="1" si="111"/>
        <v/>
      </c>
      <c r="AC205" s="310" t="e">
        <f t="shared" ca="1" si="112"/>
        <v>#N/A</v>
      </c>
      <c r="AD205" s="323" t="e">
        <f t="shared" ca="1" si="113"/>
        <v>#N/A</v>
      </c>
      <c r="AE205" s="324">
        <f t="shared" ca="1" si="92"/>
        <v>888.56269617980377</v>
      </c>
      <c r="AG205" s="306">
        <f t="shared" ca="1" si="114"/>
        <v>-24.942684345672731</v>
      </c>
      <c r="AH205" s="304">
        <f t="shared" ca="1" si="115"/>
        <v>-15.53401495245769</v>
      </c>
    </row>
    <row r="206" spans="1:34" x14ac:dyDescent="0.2">
      <c r="A206" s="347">
        <f t="shared" ca="1" si="93"/>
        <v>0.1</v>
      </c>
      <c r="B206" s="304">
        <f t="shared" ca="1" si="94"/>
        <v>6.7999999999999563</v>
      </c>
      <c r="D206" s="306">
        <f t="shared" ca="1" si="95"/>
        <v>-4.2667170439657998</v>
      </c>
      <c r="E206" s="307">
        <f t="shared" ca="1" si="96"/>
        <v>-24.158778430852351</v>
      </c>
      <c r="F206" s="304">
        <f t="shared" ca="1" si="97"/>
        <v>24.532660874929263</v>
      </c>
      <c r="G206" s="306">
        <f t="shared" ca="1" si="98"/>
        <v>39.087719262172342</v>
      </c>
      <c r="H206" s="307">
        <f t="shared" ca="1" si="99"/>
        <v>130.46925022305322</v>
      </c>
      <c r="I206" s="304">
        <f t="shared" ca="1" si="100"/>
        <v>136.19866023894681</v>
      </c>
      <c r="J206" s="306">
        <f t="shared" ca="1" si="101"/>
        <v>224.77996379349457</v>
      </c>
      <c r="K206" s="307">
        <f t="shared" ca="1" si="102"/>
        <v>901.73041509426332</v>
      </c>
      <c r="L206" s="304">
        <f t="shared" ca="1" si="87"/>
        <v>929.32436405653175</v>
      </c>
      <c r="M206" s="306">
        <f t="shared" ca="1" si="103"/>
        <v>1.2797126508591428</v>
      </c>
      <c r="N206" s="304">
        <f t="shared" ca="1" si="104"/>
        <v>73.322133883727545</v>
      </c>
      <c r="P206" s="310">
        <f t="shared" ca="1" si="105"/>
        <v>23</v>
      </c>
      <c r="Q206" s="304">
        <f t="shared" ca="1" si="106"/>
        <v>0</v>
      </c>
      <c r="R206" s="306">
        <f t="shared" ca="1" si="107"/>
        <v>0</v>
      </c>
      <c r="S206" s="307">
        <f t="shared" ca="1" si="108"/>
        <v>2.9362999999999984</v>
      </c>
      <c r="T206" s="304">
        <f t="shared" ca="1" si="88"/>
        <v>28.805102999999985</v>
      </c>
      <c r="U206" s="311">
        <f t="shared" ca="1" si="89"/>
        <v>0</v>
      </c>
      <c r="V206" s="306">
        <f t="shared" ca="1" si="90"/>
        <v>1.1193035110918124</v>
      </c>
      <c r="W206" s="304">
        <f t="shared" ca="1" si="91"/>
        <v>42.36787659411339</v>
      </c>
      <c r="Y206" s="314" t="str">
        <f t="shared" ca="1" si="109"/>
        <v/>
      </c>
      <c r="Z206" s="315" t="str">
        <f t="shared" ca="1" si="110"/>
        <v/>
      </c>
      <c r="AA206" s="316" t="str">
        <f t="shared" ca="1" si="111"/>
        <v/>
      </c>
      <c r="AC206" s="310" t="e">
        <f t="shared" ca="1" si="112"/>
        <v>#N/A</v>
      </c>
      <c r="AD206" s="323" t="e">
        <f t="shared" ca="1" si="113"/>
        <v>#N/A</v>
      </c>
      <c r="AE206" s="324">
        <f t="shared" ca="1" si="92"/>
        <v>901.73041509426332</v>
      </c>
      <c r="AG206" s="306">
        <f t="shared" ca="1" si="114"/>
        <v>-24.372800298391894</v>
      </c>
      <c r="AH206" s="304">
        <f t="shared" ca="1" si="115"/>
        <v>-14.969713316926342</v>
      </c>
    </row>
    <row r="207" spans="1:34" x14ac:dyDescent="0.2">
      <c r="A207" s="347">
        <f t="shared" ca="1" si="93"/>
        <v>0.1</v>
      </c>
      <c r="B207" s="304">
        <f t="shared" ca="1" si="94"/>
        <v>6.8999999999999559</v>
      </c>
      <c r="D207" s="306">
        <f t="shared" ca="1" si="95"/>
        <v>-4.1409860572963115</v>
      </c>
      <c r="E207" s="307">
        <f t="shared" ca="1" si="96"/>
        <v>-23.632022780500826</v>
      </c>
      <c r="F207" s="304">
        <f t="shared" ca="1" si="97"/>
        <v>23.992087575382691</v>
      </c>
      <c r="G207" s="306">
        <f t="shared" ca="1" si="98"/>
        <v>38.673620656442708</v>
      </c>
      <c r="H207" s="307">
        <f t="shared" ca="1" si="99"/>
        <v>128.10604794500313</v>
      </c>
      <c r="I207" s="304">
        <f t="shared" ca="1" si="100"/>
        <v>133.81632357364282</v>
      </c>
      <c r="J207" s="306">
        <f t="shared" ca="1" si="101"/>
        <v>228.66803078942533</v>
      </c>
      <c r="K207" s="307">
        <f t="shared" ca="1" si="102"/>
        <v>914.65918000266618</v>
      </c>
      <c r="L207" s="304">
        <f t="shared" ca="1" si="87"/>
        <v>942.80988744723254</v>
      </c>
      <c r="M207" s="306">
        <f t="shared" ca="1" si="103"/>
        <v>1.277608738093978</v>
      </c>
      <c r="N207" s="304">
        <f t="shared" ca="1" si="104"/>
        <v>73.201588561819904</v>
      </c>
      <c r="P207" s="310">
        <f t="shared" ca="1" si="105"/>
        <v>23</v>
      </c>
      <c r="Q207" s="304">
        <f t="shared" ca="1" si="106"/>
        <v>0</v>
      </c>
      <c r="R207" s="306">
        <f t="shared" ca="1" si="107"/>
        <v>0</v>
      </c>
      <c r="S207" s="307">
        <f t="shared" ca="1" si="108"/>
        <v>2.9362999999999984</v>
      </c>
      <c r="T207" s="304">
        <f t="shared" ca="1" si="88"/>
        <v>28.805102999999985</v>
      </c>
      <c r="U207" s="311">
        <f t="shared" ca="1" si="89"/>
        <v>0</v>
      </c>
      <c r="V207" s="306">
        <f t="shared" ca="1" si="90"/>
        <v>1.1178543385899802</v>
      </c>
      <c r="W207" s="304">
        <f t="shared" ca="1" si="91"/>
        <v>40.845720961556822</v>
      </c>
      <c r="Y207" s="314" t="str">
        <f t="shared" ca="1" si="109"/>
        <v/>
      </c>
      <c r="Z207" s="315" t="str">
        <f t="shared" ca="1" si="110"/>
        <v/>
      </c>
      <c r="AA207" s="316" t="str">
        <f t="shared" ca="1" si="111"/>
        <v/>
      </c>
      <c r="AC207" s="310" t="e">
        <f t="shared" ca="1" si="112"/>
        <v>#N/A</v>
      </c>
      <c r="AD207" s="323" t="e">
        <f t="shared" ca="1" si="113"/>
        <v>#N/A</v>
      </c>
      <c r="AE207" s="324">
        <f t="shared" ca="1" si="92"/>
        <v>914.65918000266618</v>
      </c>
      <c r="AG207" s="306">
        <f t="shared" ca="1" si="114"/>
        <v>-23.826328307554562</v>
      </c>
      <c r="AH207" s="304">
        <f t="shared" ca="1" si="115"/>
        <v>-14.429001326197396</v>
      </c>
    </row>
    <row r="208" spans="1:34" x14ac:dyDescent="0.2">
      <c r="A208" s="347">
        <f t="shared" ca="1" si="93"/>
        <v>0.1</v>
      </c>
      <c r="B208" s="304">
        <f t="shared" ca="1" si="94"/>
        <v>6.9999999999999556</v>
      </c>
      <c r="D208" s="306">
        <f t="shared" ca="1" si="95"/>
        <v>-4.0202390707684312</v>
      </c>
      <c r="E208" s="307">
        <f t="shared" ca="1" si="96"/>
        <v>-23.127008607117268</v>
      </c>
      <c r="F208" s="304">
        <f t="shared" ca="1" si="97"/>
        <v>23.47383328942696</v>
      </c>
      <c r="G208" s="306">
        <f t="shared" ca="1" si="98"/>
        <v>38.271596749365862</v>
      </c>
      <c r="H208" s="307">
        <f t="shared" ca="1" si="99"/>
        <v>125.7933470842914</v>
      </c>
      <c r="I208" s="304">
        <f t="shared" ca="1" si="100"/>
        <v>131.48643005426482</v>
      </c>
      <c r="J208" s="306">
        <f t="shared" ca="1" si="101"/>
        <v>232.51529165971576</v>
      </c>
      <c r="K208" s="307">
        <f t="shared" ca="1" si="102"/>
        <v>927.35414975413096</v>
      </c>
      <c r="L208" s="304">
        <f t="shared" ca="1" si="87"/>
        <v>956.05914038923856</v>
      </c>
      <c r="M208" s="306">
        <f t="shared" ca="1" si="103"/>
        <v>1.2754525127383971</v>
      </c>
      <c r="N208" s="304">
        <f t="shared" ca="1" si="104"/>
        <v>73.078045949266027</v>
      </c>
      <c r="P208" s="310">
        <f t="shared" ca="1" si="105"/>
        <v>23</v>
      </c>
      <c r="Q208" s="304">
        <f t="shared" ca="1" si="106"/>
        <v>0</v>
      </c>
      <c r="R208" s="306">
        <f t="shared" ca="1" si="107"/>
        <v>0</v>
      </c>
      <c r="S208" s="307">
        <f t="shared" ca="1" si="108"/>
        <v>2.9362999999999984</v>
      </c>
      <c r="T208" s="304">
        <f t="shared" ca="1" si="88"/>
        <v>28.805102999999985</v>
      </c>
      <c r="U208" s="311">
        <f t="shared" ca="1" si="89"/>
        <v>0</v>
      </c>
      <c r="V208" s="306">
        <f t="shared" ca="1" si="90"/>
        <v>1.1164331142561417</v>
      </c>
      <c r="W208" s="304">
        <f t="shared" ca="1" si="91"/>
        <v>39.385624778314465</v>
      </c>
      <c r="Y208" s="314" t="str">
        <f t="shared" ca="1" si="109"/>
        <v/>
      </c>
      <c r="Z208" s="315" t="str">
        <f t="shared" ca="1" si="110"/>
        <v/>
      </c>
      <c r="AA208" s="316" t="str">
        <f t="shared" ca="1" si="111"/>
        <v/>
      </c>
      <c r="AC208" s="310">
        <f t="shared" ca="1" si="112"/>
        <v>6.9999999999999556</v>
      </c>
      <c r="AD208" s="323">
        <f t="shared" ca="1" si="113"/>
        <v>232.51529165971576</v>
      </c>
      <c r="AE208" s="324">
        <f t="shared" ca="1" si="92"/>
        <v>927.35414975413096</v>
      </c>
      <c r="AG208" s="306">
        <f t="shared" ca="1" si="114"/>
        <v>-23.301991797009343</v>
      </c>
      <c r="AH208" s="304">
        <f t="shared" ca="1" si="115"/>
        <v>-13.910608916512906</v>
      </c>
    </row>
    <row r="209" spans="1:34" x14ac:dyDescent="0.2">
      <c r="A209" s="347">
        <f t="shared" ca="1" si="93"/>
        <v>0.1</v>
      </c>
      <c r="B209" s="304">
        <f t="shared" ca="1" si="94"/>
        <v>7.0999999999999552</v>
      </c>
      <c r="D209" s="306">
        <f t="shared" ca="1" si="95"/>
        <v>-3.9042081336833343</v>
      </c>
      <c r="E209" s="307">
        <f t="shared" ca="1" si="96"/>
        <v>-22.642582138289768</v>
      </c>
      <c r="F209" s="304">
        <f t="shared" ca="1" si="97"/>
        <v>22.976713582240563</v>
      </c>
      <c r="G209" s="306">
        <f t="shared" ca="1" si="98"/>
        <v>37.881175935997526</v>
      </c>
      <c r="H209" s="307">
        <f t="shared" ca="1" si="99"/>
        <v>123.52908887046242</v>
      </c>
      <c r="I209" s="304">
        <f t="shared" ca="1" si="100"/>
        <v>129.20688560390502</v>
      </c>
      <c r="J209" s="306">
        <f t="shared" ca="1" si="101"/>
        <v>236.32293029398392</v>
      </c>
      <c r="K209" s="307">
        <f t="shared" ca="1" si="102"/>
        <v>939.8202715518687</v>
      </c>
      <c r="L209" s="304">
        <f t="shared" ca="1" si="87"/>
        <v>969.07722612935413</v>
      </c>
      <c r="M209" s="306">
        <f t="shared" ca="1" si="103"/>
        <v>1.2732425785004526</v>
      </c>
      <c r="N209" s="304">
        <f t="shared" ca="1" si="104"/>
        <v>72.951426044430349</v>
      </c>
      <c r="P209" s="310">
        <f t="shared" ca="1" si="105"/>
        <v>23</v>
      </c>
      <c r="Q209" s="304">
        <f t="shared" ca="1" si="106"/>
        <v>0</v>
      </c>
      <c r="R209" s="306">
        <f t="shared" ca="1" si="107"/>
        <v>0</v>
      </c>
      <c r="S209" s="307">
        <f t="shared" ca="1" si="108"/>
        <v>2.9362999999999984</v>
      </c>
      <c r="T209" s="304">
        <f t="shared" ca="1" si="88"/>
        <v>28.805102999999985</v>
      </c>
      <c r="U209" s="311">
        <f t="shared" ca="1" si="89"/>
        <v>0</v>
      </c>
      <c r="V209" s="306">
        <f t="shared" ca="1" si="90"/>
        <v>1.1150391868009368</v>
      </c>
      <c r="W209" s="304">
        <f t="shared" ca="1" si="91"/>
        <v>37.984342087698543</v>
      </c>
      <c r="Y209" s="314" t="str">
        <f t="shared" ca="1" si="109"/>
        <v/>
      </c>
      <c r="Z209" s="315" t="str">
        <f t="shared" ca="1" si="110"/>
        <v/>
      </c>
      <c r="AA209" s="316" t="str">
        <f t="shared" ca="1" si="111"/>
        <v/>
      </c>
      <c r="AC209" s="310" t="e">
        <f t="shared" ca="1" si="112"/>
        <v>#N/A</v>
      </c>
      <c r="AD209" s="323" t="e">
        <f t="shared" ca="1" si="113"/>
        <v>#N/A</v>
      </c>
      <c r="AE209" s="324">
        <f t="shared" ca="1" si="92"/>
        <v>939.8202715518687</v>
      </c>
      <c r="AG209" s="306">
        <f t="shared" ca="1" si="114"/>
        <v>-22.798599611284775</v>
      </c>
      <c r="AH209" s="304">
        <f t="shared" ca="1" si="115"/>
        <v>-13.41335176184807</v>
      </c>
    </row>
    <row r="210" spans="1:34" x14ac:dyDescent="0.2">
      <c r="A210" s="347">
        <f t="shared" ca="1" si="93"/>
        <v>0.1</v>
      </c>
      <c r="B210" s="304">
        <f t="shared" ca="1" si="94"/>
        <v>7.1999999999999549</v>
      </c>
      <c r="D210" s="306">
        <f t="shared" ca="1" si="95"/>
        <v>-3.7926431102374276</v>
      </c>
      <c r="E210" s="307">
        <f t="shared" ca="1" si="96"/>
        <v>-22.177666426460132</v>
      </c>
      <c r="F210" s="304">
        <f t="shared" ca="1" si="97"/>
        <v>22.49962288317225</v>
      </c>
      <c r="G210" s="306">
        <f t="shared" ca="1" si="98"/>
        <v>37.501911624973786</v>
      </c>
      <c r="H210" s="307">
        <f t="shared" ca="1" si="99"/>
        <v>121.3113222278164</v>
      </c>
      <c r="I210" s="304">
        <f t="shared" ca="1" si="100"/>
        <v>126.97570742543019</v>
      </c>
      <c r="J210" s="306">
        <f t="shared" ca="1" si="101"/>
        <v>240.09208467203248</v>
      </c>
      <c r="K210" s="307">
        <f t="shared" ca="1" si="102"/>
        <v>952.06229210678259</v>
      </c>
      <c r="L210" s="304">
        <f t="shared" ca="1" si="87"/>
        <v>981.86904278207237</v>
      </c>
      <c r="M210" s="306">
        <f t="shared" ca="1" si="103"/>
        <v>1.2709774829263778</v>
      </c>
      <c r="N210" s="304">
        <f t="shared" ca="1" si="104"/>
        <v>72.821645627842088</v>
      </c>
      <c r="P210" s="310">
        <f t="shared" ca="1" si="105"/>
        <v>23</v>
      </c>
      <c r="Q210" s="304">
        <f t="shared" ca="1" si="106"/>
        <v>0</v>
      </c>
      <c r="R210" s="306">
        <f t="shared" ca="1" si="107"/>
        <v>0</v>
      </c>
      <c r="S210" s="307">
        <f t="shared" ca="1" si="108"/>
        <v>2.9362999999999984</v>
      </c>
      <c r="T210" s="304">
        <f t="shared" ca="1" si="88"/>
        <v>28.805102999999985</v>
      </c>
      <c r="U210" s="311">
        <f t="shared" ca="1" si="89"/>
        <v>0</v>
      </c>
      <c r="V210" s="306">
        <f t="shared" ca="1" si="90"/>
        <v>1.1136719319968633</v>
      </c>
      <c r="W210" s="304">
        <f t="shared" ca="1" si="91"/>
        <v>36.638840209710708</v>
      </c>
      <c r="Y210" s="314" t="str">
        <f t="shared" ca="1" si="109"/>
        <v/>
      </c>
      <c r="Z210" s="315" t="str">
        <f t="shared" ca="1" si="110"/>
        <v/>
      </c>
      <c r="AA210" s="316" t="str">
        <f t="shared" ca="1" si="111"/>
        <v/>
      </c>
      <c r="AC210" s="310" t="e">
        <f t="shared" ca="1" si="112"/>
        <v>#N/A</v>
      </c>
      <c r="AD210" s="323" t="e">
        <f t="shared" ca="1" si="113"/>
        <v>#N/A</v>
      </c>
      <c r="AE210" s="324">
        <f t="shared" ca="1" si="92"/>
        <v>952.06229210678259</v>
      </c>
      <c r="AG210" s="306">
        <f t="shared" ca="1" si="114"/>
        <v>-22.315039127975673</v>
      </c>
      <c r="AH210" s="304">
        <f t="shared" ca="1" si="115"/>
        <v>-12.936124404079475</v>
      </c>
    </row>
    <row r="211" spans="1:34" x14ac:dyDescent="0.2">
      <c r="A211" s="347">
        <f t="shared" ca="1" si="93"/>
        <v>0.1</v>
      </c>
      <c r="B211" s="304">
        <f t="shared" ca="1" si="94"/>
        <v>7.2999999999999545</v>
      </c>
      <c r="D211" s="306">
        <f t="shared" ca="1" si="95"/>
        <v>-3.6853102713613191</v>
      </c>
      <c r="E211" s="307">
        <f t="shared" ca="1" si="96"/>
        <v>-21.731255276514375</v>
      </c>
      <c r="F211" s="304">
        <f t="shared" ca="1" si="97"/>
        <v>22.041528252125239</v>
      </c>
      <c r="G211" s="306">
        <f t="shared" ca="1" si="98"/>
        <v>37.133380597837657</v>
      </c>
      <c r="H211" s="307">
        <f t="shared" ca="1" si="99"/>
        <v>119.13819670016497</v>
      </c>
      <c r="I211" s="304">
        <f t="shared" ca="1" si="100"/>
        <v>124.79101677440995</v>
      </c>
      <c r="J211" s="306">
        <f t="shared" ca="1" si="101"/>
        <v>243.82384928317305</v>
      </c>
      <c r="K211" s="307">
        <f t="shared" ca="1" si="102"/>
        <v>964.08476805318162</v>
      </c>
      <c r="L211" s="304">
        <f t="shared" ca="1" si="87"/>
        <v>994.43929401015748</v>
      </c>
      <c r="M211" s="306">
        <f t="shared" ca="1" si="103"/>
        <v>1.2686557148300042</v>
      </c>
      <c r="N211" s="304">
        <f t="shared" ca="1" si="104"/>
        <v>72.688618114911762</v>
      </c>
      <c r="P211" s="310">
        <f t="shared" ca="1" si="105"/>
        <v>23</v>
      </c>
      <c r="Q211" s="304">
        <f t="shared" ca="1" si="106"/>
        <v>0</v>
      </c>
      <c r="R211" s="306">
        <f t="shared" ca="1" si="107"/>
        <v>0</v>
      </c>
      <c r="S211" s="307">
        <f t="shared" ca="1" si="108"/>
        <v>2.9362999999999984</v>
      </c>
      <c r="T211" s="304">
        <f t="shared" ca="1" si="88"/>
        <v>28.805102999999985</v>
      </c>
      <c r="U211" s="311">
        <f t="shared" ca="1" si="89"/>
        <v>0</v>
      </c>
      <c r="V211" s="306">
        <f t="shared" ca="1" si="90"/>
        <v>1.1123307512412983</v>
      </c>
      <c r="W211" s="304">
        <f t="shared" ca="1" si="91"/>
        <v>35.346283110880535</v>
      </c>
      <c r="Y211" s="314" t="str">
        <f t="shared" ca="1" si="109"/>
        <v/>
      </c>
      <c r="Z211" s="315" t="str">
        <f t="shared" ca="1" si="110"/>
        <v/>
      </c>
      <c r="AA211" s="316" t="str">
        <f t="shared" ca="1" si="111"/>
        <v/>
      </c>
      <c r="AC211" s="310" t="e">
        <f t="shared" ca="1" si="112"/>
        <v>#N/A</v>
      </c>
      <c r="AD211" s="323" t="e">
        <f t="shared" ca="1" si="113"/>
        <v>#N/A</v>
      </c>
      <c r="AE211" s="324">
        <f t="shared" ca="1" si="92"/>
        <v>964.08476805318162</v>
      </c>
      <c r="AG211" s="306">
        <f t="shared" ca="1" si="114"/>
        <v>-21.850270005392503</v>
      </c>
      <c r="AH211" s="304">
        <f t="shared" ca="1" si="115"/>
        <v>-12.477894019586122</v>
      </c>
    </row>
    <row r="212" spans="1:34" x14ac:dyDescent="0.2">
      <c r="A212" s="347">
        <f t="shared" ca="1" si="93"/>
        <v>0.1</v>
      </c>
      <c r="B212" s="304">
        <f t="shared" ca="1" si="94"/>
        <v>7.3999999999999542</v>
      </c>
      <c r="D212" s="306">
        <f t="shared" ca="1" si="95"/>
        <v>-3.5819910153349088</v>
      </c>
      <c r="E212" s="307">
        <f t="shared" ca="1" si="96"/>
        <v>-21.302407728372692</v>
      </c>
      <c r="F212" s="304">
        <f t="shared" ca="1" si="97"/>
        <v>21.601463715678449</v>
      </c>
      <c r="G212" s="306">
        <f t="shared" ca="1" si="98"/>
        <v>36.775181496304164</v>
      </c>
      <c r="H212" s="307">
        <f t="shared" ca="1" si="99"/>
        <v>117.0079559273277</v>
      </c>
      <c r="I212" s="304">
        <f t="shared" ca="1" si="100"/>
        <v>122.65103230049706</v>
      </c>
      <c r="J212" s="306">
        <f t="shared" ca="1" si="101"/>
        <v>247.51927738788015</v>
      </c>
      <c r="K212" s="307">
        <f t="shared" ca="1" si="102"/>
        <v>975.89207568455629</v>
      </c>
      <c r="L212" s="304">
        <f t="shared" ca="1" si="87"/>
        <v>1006.7924990098655</v>
      </c>
      <c r="M212" s="306">
        <f t="shared" ca="1" si="103"/>
        <v>1.2662757015782706</v>
      </c>
      <c r="N212" s="304">
        <f t="shared" ca="1" si="104"/>
        <v>72.552253400402222</v>
      </c>
      <c r="P212" s="310">
        <f t="shared" ca="1" si="105"/>
        <v>23</v>
      </c>
      <c r="Q212" s="304">
        <f t="shared" ca="1" si="106"/>
        <v>0</v>
      </c>
      <c r="R212" s="306">
        <f t="shared" ca="1" si="107"/>
        <v>0</v>
      </c>
      <c r="S212" s="307">
        <f t="shared" ca="1" si="108"/>
        <v>2.9362999999999984</v>
      </c>
      <c r="T212" s="304">
        <f t="shared" ca="1" si="88"/>
        <v>28.805102999999985</v>
      </c>
      <c r="U212" s="311">
        <f t="shared" ca="1" si="89"/>
        <v>0</v>
      </c>
      <c r="V212" s="306">
        <f t="shared" ca="1" si="90"/>
        <v>1.11101507021488</v>
      </c>
      <c r="W212" s="304">
        <f t="shared" ca="1" si="91"/>
        <v>34.104016274113832</v>
      </c>
      <c r="Y212" s="314" t="str">
        <f t="shared" ca="1" si="109"/>
        <v/>
      </c>
      <c r="Z212" s="315" t="str">
        <f t="shared" ca="1" si="110"/>
        <v/>
      </c>
      <c r="AA212" s="316" t="str">
        <f t="shared" ca="1" si="111"/>
        <v/>
      </c>
      <c r="AC212" s="310" t="e">
        <f t="shared" ca="1" si="112"/>
        <v>#N/A</v>
      </c>
      <c r="AD212" s="323" t="e">
        <f t="shared" ca="1" si="113"/>
        <v>#N/A</v>
      </c>
      <c r="AE212" s="324">
        <f t="shared" ca="1" si="92"/>
        <v>975.89207568455629</v>
      </c>
      <c r="AG212" s="306">
        <f t="shared" ca="1" si="114"/>
        <v>-21.403318498709101</v>
      </c>
      <c r="AH212" s="304">
        <f t="shared" ca="1" si="115"/>
        <v>-12.03769475560418</v>
      </c>
    </row>
    <row r="213" spans="1:34" x14ac:dyDescent="0.2">
      <c r="A213" s="347">
        <f t="shared" ca="1" si="93"/>
        <v>0.1</v>
      </c>
      <c r="B213" s="304">
        <f t="shared" ca="1" si="94"/>
        <v>7.4999999999999538</v>
      </c>
      <c r="D213" s="306">
        <f t="shared" ca="1" si="95"/>
        <v>-3.4824807038693497</v>
      </c>
      <c r="E213" s="307">
        <f t="shared" ca="1" si="96"/>
        <v>-20.890243037197919</v>
      </c>
      <c r="F213" s="304">
        <f t="shared" ca="1" si="97"/>
        <v>21.178525114039893</v>
      </c>
      <c r="G213" s="306">
        <f t="shared" ca="1" si="98"/>
        <v>36.426933425917227</v>
      </c>
      <c r="H213" s="307">
        <f t="shared" ca="1" si="99"/>
        <v>114.9189316236079</v>
      </c>
      <c r="I213" s="304">
        <f t="shared" ca="1" si="100"/>
        <v>120.55406390631414</v>
      </c>
      <c r="J213" s="306">
        <f t="shared" ca="1" si="101"/>
        <v>251.17938313399122</v>
      </c>
      <c r="K213" s="307">
        <f t="shared" ca="1" si="102"/>
        <v>987.48842006210305</v>
      </c>
      <c r="L213" s="304">
        <f t="shared" ca="1" si="87"/>
        <v>1018.9330018545483</v>
      </c>
      <c r="M213" s="306">
        <f t="shared" ca="1" si="103"/>
        <v>1.2638358062239796</v>
      </c>
      <c r="N213" s="304">
        <f t="shared" ca="1" si="104"/>
        <v>72.412457694147776</v>
      </c>
      <c r="P213" s="310">
        <f t="shared" ca="1" si="105"/>
        <v>23</v>
      </c>
      <c r="Q213" s="304">
        <f t="shared" ca="1" si="106"/>
        <v>0</v>
      </c>
      <c r="R213" s="306">
        <f t="shared" ca="1" si="107"/>
        <v>0</v>
      </c>
      <c r="S213" s="307">
        <f t="shared" ca="1" si="108"/>
        <v>2.9362999999999984</v>
      </c>
      <c r="T213" s="304">
        <f t="shared" ca="1" si="88"/>
        <v>28.805102999999985</v>
      </c>
      <c r="U213" s="311">
        <f t="shared" ca="1" si="89"/>
        <v>0</v>
      </c>
      <c r="V213" s="306">
        <f t="shared" ca="1" si="90"/>
        <v>1.1097243376277708</v>
      </c>
      <c r="W213" s="304">
        <f t="shared" ca="1" si="91"/>
        <v>32.909552915499148</v>
      </c>
      <c r="Y213" s="314" t="str">
        <f t="shared" ca="1" si="109"/>
        <v/>
      </c>
      <c r="Z213" s="315" t="str">
        <f t="shared" ca="1" si="110"/>
        <v/>
      </c>
      <c r="AA213" s="316" t="str">
        <f t="shared" ca="1" si="111"/>
        <v/>
      </c>
      <c r="AC213" s="310" t="e">
        <f t="shared" ca="1" si="112"/>
        <v>#N/A</v>
      </c>
      <c r="AD213" s="323" t="e">
        <f t="shared" ca="1" si="113"/>
        <v>#N/A</v>
      </c>
      <c r="AE213" s="324">
        <f t="shared" ca="1" si="92"/>
        <v>987.48842006210305</v>
      </c>
      <c r="AG213" s="306">
        <f t="shared" ca="1" si="114"/>
        <v>-20.973272285612602</v>
      </c>
      <c r="AH213" s="304">
        <f t="shared" ca="1" si="115"/>
        <v>-11.614622577432092</v>
      </c>
    </row>
    <row r="214" spans="1:34" x14ac:dyDescent="0.2">
      <c r="A214" s="347">
        <f t="shared" ca="1" si="93"/>
        <v>0.1</v>
      </c>
      <c r="B214" s="304">
        <f t="shared" ca="1" si="94"/>
        <v>7.5999999999999535</v>
      </c>
      <c r="D214" s="306">
        <f t="shared" ca="1" si="95"/>
        <v>-3.3865876018789378</v>
      </c>
      <c r="E214" s="307">
        <f t="shared" ca="1" si="96"/>
        <v>-20.493936100445552</v>
      </c>
      <c r="F214" s="304">
        <f t="shared" ca="1" si="97"/>
        <v>20.771865406706873</v>
      </c>
      <c r="G214" s="306">
        <f t="shared" ca="1" si="98"/>
        <v>36.08827466572933</v>
      </c>
      <c r="H214" s="307">
        <f t="shared" ca="1" si="99"/>
        <v>112.86953801356334</v>
      </c>
      <c r="I214" s="304">
        <f t="shared" ca="1" si="100"/>
        <v>118.49850707812458</v>
      </c>
      <c r="J214" s="306">
        <f t="shared" ca="1" si="101"/>
        <v>254.80514353857356</v>
      </c>
      <c r="K214" s="307">
        <f t="shared" ca="1" si="102"/>
        <v>998.8778435439616</v>
      </c>
      <c r="L214" s="304">
        <f t="shared" ca="1" si="87"/>
        <v>1030.8649802455936</v>
      </c>
      <c r="M214" s="306">
        <f t="shared" ca="1" si="103"/>
        <v>1.2613343244763549</v>
      </c>
      <c r="N214" s="304">
        <f t="shared" ca="1" si="104"/>
        <v>72.269133347479865</v>
      </c>
      <c r="P214" s="310">
        <f t="shared" ca="1" si="105"/>
        <v>23</v>
      </c>
      <c r="Q214" s="304">
        <f t="shared" ca="1" si="106"/>
        <v>0</v>
      </c>
      <c r="R214" s="306">
        <f t="shared" ca="1" si="107"/>
        <v>0</v>
      </c>
      <c r="S214" s="307">
        <f t="shared" ca="1" si="108"/>
        <v>2.9362999999999984</v>
      </c>
      <c r="T214" s="304">
        <f t="shared" ca="1" si="88"/>
        <v>28.805102999999985</v>
      </c>
      <c r="U214" s="311">
        <f t="shared" ca="1" si="89"/>
        <v>0</v>
      </c>
      <c r="V214" s="306">
        <f t="shared" ca="1" si="90"/>
        <v>1.1084580240469801</v>
      </c>
      <c r="W214" s="304">
        <f t="shared" ca="1" si="91"/>
        <v>31.760561412407881</v>
      </c>
      <c r="Y214" s="314" t="str">
        <f t="shared" ca="1" si="109"/>
        <v/>
      </c>
      <c r="Z214" s="315" t="str">
        <f t="shared" ca="1" si="110"/>
        <v/>
      </c>
      <c r="AA214" s="316" t="str">
        <f t="shared" ca="1" si="111"/>
        <v/>
      </c>
      <c r="AC214" s="310" t="e">
        <f t="shared" ca="1" si="112"/>
        <v>#N/A</v>
      </c>
      <c r="AD214" s="323" t="e">
        <f t="shared" ca="1" si="113"/>
        <v>#N/A</v>
      </c>
      <c r="AE214" s="324">
        <f t="shared" ca="1" si="92"/>
        <v>998.8778435439616</v>
      </c>
      <c r="AG214" s="306">
        <f t="shared" ca="1" si="114"/>
        <v>-20.559275749231364</v>
      </c>
      <c r="AH214" s="304">
        <f t="shared" ca="1" si="115"/>
        <v>-11.207830574362008</v>
      </c>
    </row>
    <row r="215" spans="1:34" x14ac:dyDescent="0.2">
      <c r="A215" s="347">
        <f t="shared" ca="1" si="93"/>
        <v>0.1</v>
      </c>
      <c r="B215" s="304">
        <f t="shared" ca="1" si="94"/>
        <v>7.6999999999999531</v>
      </c>
      <c r="D215" s="306">
        <f t="shared" ca="1" si="95"/>
        <v>-3.2941319105043569</v>
      </c>
      <c r="E215" s="307">
        <f t="shared" ca="1" si="96"/>
        <v>-20.112713286746413</v>
      </c>
      <c r="F215" s="304">
        <f t="shared" ca="1" si="97"/>
        <v>20.380690390628793</v>
      </c>
      <c r="G215" s="306">
        <f t="shared" ca="1" si="98"/>
        <v>35.758861474678895</v>
      </c>
      <c r="H215" s="307">
        <f t="shared" ca="1" si="99"/>
        <v>110.8582666848887</v>
      </c>
      <c r="I215" s="304">
        <f t="shared" ca="1" si="100"/>
        <v>116.48283764719667</v>
      </c>
      <c r="J215" s="306">
        <f t="shared" ca="1" si="101"/>
        <v>258.39750034559398</v>
      </c>
      <c r="K215" s="307">
        <f t="shared" ca="1" si="102"/>
        <v>1010.0642337788842</v>
      </c>
      <c r="L215" s="304">
        <f t="shared" ca="1" si="87"/>
        <v>1042.592453715341</v>
      </c>
      <c r="M215" s="306">
        <f t="shared" ca="1" si="103"/>
        <v>1.2587694814993027</v>
      </c>
      <c r="N215" s="304">
        <f t="shared" ca="1" si="104"/>
        <v>72.122178669781007</v>
      </c>
      <c r="P215" s="310">
        <f t="shared" ca="1" si="105"/>
        <v>23</v>
      </c>
      <c r="Q215" s="304">
        <f t="shared" ca="1" si="106"/>
        <v>0</v>
      </c>
      <c r="R215" s="306">
        <f t="shared" ca="1" si="107"/>
        <v>0</v>
      </c>
      <c r="S215" s="307">
        <f t="shared" ca="1" si="108"/>
        <v>2.9362999999999984</v>
      </c>
      <c r="T215" s="304">
        <f t="shared" ca="1" si="88"/>
        <v>28.805102999999985</v>
      </c>
      <c r="U215" s="311">
        <f t="shared" ca="1" si="89"/>
        <v>0</v>
      </c>
      <c r="V215" s="306">
        <f t="shared" ca="1" si="90"/>
        <v>1.1072156207985484</v>
      </c>
      <c r="W215" s="304">
        <f t="shared" ca="1" si="91"/>
        <v>30.654853822440156</v>
      </c>
      <c r="Y215" s="314" t="str">
        <f t="shared" ca="1" si="109"/>
        <v/>
      </c>
      <c r="Z215" s="315" t="str">
        <f t="shared" ca="1" si="110"/>
        <v/>
      </c>
      <c r="AA215" s="316" t="str">
        <f t="shared" ca="1" si="111"/>
        <v/>
      </c>
      <c r="AC215" s="310" t="e">
        <f t="shared" ca="1" si="112"/>
        <v>#N/A</v>
      </c>
      <c r="AD215" s="323" t="e">
        <f t="shared" ca="1" si="113"/>
        <v>#N/A</v>
      </c>
      <c r="AE215" s="324">
        <f t="shared" ca="1" si="92"/>
        <v>1010.0642337788842</v>
      </c>
      <c r="AG215" s="306">
        <f t="shared" ca="1" si="114"/>
        <v>-20.16052567202992</v>
      </c>
      <c r="AH215" s="304">
        <f t="shared" ca="1" si="115"/>
        <v>-10.816524678135034</v>
      </c>
    </row>
    <row r="216" spans="1:34" x14ac:dyDescent="0.2">
      <c r="A216" s="347">
        <f t="shared" ca="1" si="93"/>
        <v>0.1</v>
      </c>
      <c r="B216" s="304">
        <f t="shared" ca="1" si="94"/>
        <v>7.7999999999999527</v>
      </c>
      <c r="D216" s="306">
        <f t="shared" ca="1" si="95"/>
        <v>-3.2049448841200792</v>
      </c>
      <c r="E216" s="307">
        <f t="shared" ca="1" si="96"/>
        <v>-19.745848626661122</v>
      </c>
      <c r="F216" s="304">
        <f t="shared" ca="1" si="97"/>
        <v>20.004254789850641</v>
      </c>
      <c r="G216" s="306">
        <f t="shared" ca="1" si="98"/>
        <v>35.438366986266885</v>
      </c>
      <c r="H216" s="307">
        <f t="shared" ca="1" si="99"/>
        <v>108.8836818222226</v>
      </c>
      <c r="I216" s="304">
        <f t="shared" ca="1" si="100"/>
        <v>114.50560694488431</v>
      </c>
      <c r="J216" s="306">
        <f t="shared" ca="1" si="101"/>
        <v>261.95736176864125</v>
      </c>
      <c r="K216" s="307">
        <f t="shared" ca="1" si="102"/>
        <v>1021.0513312042398</v>
      </c>
      <c r="L216" s="304">
        <f t="shared" ca="1" si="87"/>
        <v>1054.1192913227312</v>
      </c>
      <c r="M216" s="306">
        <f t="shared" ca="1" si="103"/>
        <v>1.2561394285265868</v>
      </c>
      <c r="N216" s="304">
        <f t="shared" ca="1" si="104"/>
        <v>71.971487734548546</v>
      </c>
      <c r="P216" s="310">
        <f t="shared" ca="1" si="105"/>
        <v>23</v>
      </c>
      <c r="Q216" s="304">
        <f t="shared" ca="1" si="106"/>
        <v>0</v>
      </c>
      <c r="R216" s="306">
        <f t="shared" ca="1" si="107"/>
        <v>0</v>
      </c>
      <c r="S216" s="307">
        <f t="shared" ca="1" si="108"/>
        <v>2.9362999999999984</v>
      </c>
      <c r="T216" s="304">
        <f t="shared" ca="1" si="88"/>
        <v>28.805102999999985</v>
      </c>
      <c r="U216" s="311">
        <f t="shared" ca="1" si="89"/>
        <v>0</v>
      </c>
      <c r="V216" s="306">
        <f t="shared" ca="1" si="90"/>
        <v>1.1059966389389395</v>
      </c>
      <c r="W216" s="304">
        <f t="shared" ca="1" si="91"/>
        <v>29.590375386108196</v>
      </c>
      <c r="Y216" s="314" t="str">
        <f t="shared" ca="1" si="109"/>
        <v/>
      </c>
      <c r="Z216" s="315" t="str">
        <f t="shared" ca="1" si="110"/>
        <v/>
      </c>
      <c r="AA216" s="316" t="str">
        <f t="shared" ca="1" si="111"/>
        <v/>
      </c>
      <c r="AC216" s="310" t="e">
        <f t="shared" ca="1" si="112"/>
        <v>#N/A</v>
      </c>
      <c r="AD216" s="323" t="e">
        <f t="shared" ca="1" si="113"/>
        <v>#N/A</v>
      </c>
      <c r="AE216" s="324">
        <f t="shared" ca="1" si="92"/>
        <v>1021.0513312042398</v>
      </c>
      <c r="AG216" s="306">
        <f t="shared" ca="1" si="114"/>
        <v>-19.776267299533046</v>
      </c>
      <c r="AH216" s="304">
        <f t="shared" ca="1" si="115"/>
        <v>-10.439959752899966</v>
      </c>
    </row>
    <row r="217" spans="1:34" x14ac:dyDescent="0.2">
      <c r="A217" s="347">
        <f t="shared" ca="1" si="93"/>
        <v>0.1</v>
      </c>
      <c r="B217" s="304">
        <f t="shared" ca="1" si="94"/>
        <v>7.8999999999999524</v>
      </c>
      <c r="D217" s="306">
        <f t="shared" ca="1" si="95"/>
        <v>-3.1188680230856289</v>
      </c>
      <c r="E217" s="307">
        <f t="shared" ca="1" si="96"/>
        <v>-19.392660329770834</v>
      </c>
      <c r="F217" s="304">
        <f t="shared" ca="1" si="97"/>
        <v>19.641858680157881</v>
      </c>
      <c r="G217" s="306">
        <f t="shared" ca="1" si="98"/>
        <v>35.126480183958321</v>
      </c>
      <c r="H217" s="307">
        <f t="shared" ca="1" si="99"/>
        <v>106.94441578924551</v>
      </c>
      <c r="I217" s="304">
        <f t="shared" ca="1" si="100"/>
        <v>112.56543731810862</v>
      </c>
      <c r="J217" s="306">
        <f t="shared" ca="1" si="101"/>
        <v>265.4856041271525</v>
      </c>
      <c r="K217" s="307">
        <f t="shared" ca="1" si="102"/>
        <v>1031.8427360848132</v>
      </c>
      <c r="L217" s="304">
        <f t="shared" ca="1" si="87"/>
        <v>1065.4492188789443</v>
      </c>
      <c r="M217" s="306">
        <f t="shared" ca="1" si="103"/>
        <v>1.2534422392823796</v>
      </c>
      <c r="N217" s="304">
        <f t="shared" ca="1" si="104"/>
        <v>71.816950174307394</v>
      </c>
      <c r="P217" s="310">
        <f t="shared" ca="1" si="105"/>
        <v>23</v>
      </c>
      <c r="Q217" s="304">
        <f t="shared" ca="1" si="106"/>
        <v>0</v>
      </c>
      <c r="R217" s="306">
        <f t="shared" ca="1" si="107"/>
        <v>0</v>
      </c>
      <c r="S217" s="307">
        <f t="shared" ca="1" si="108"/>
        <v>2.9362999999999984</v>
      </c>
      <c r="T217" s="304">
        <f t="shared" ca="1" si="88"/>
        <v>28.805102999999985</v>
      </c>
      <c r="U217" s="311">
        <f t="shared" ca="1" si="89"/>
        <v>0</v>
      </c>
      <c r="V217" s="306">
        <f t="shared" ca="1" si="90"/>
        <v>1.1048006082904747</v>
      </c>
      <c r="W217" s="304">
        <f t="shared" ca="1" si="91"/>
        <v>28.565194917863753</v>
      </c>
      <c r="Y217" s="314" t="str">
        <f t="shared" ca="1" si="109"/>
        <v/>
      </c>
      <c r="Z217" s="315" t="str">
        <f t="shared" ca="1" si="110"/>
        <v/>
      </c>
      <c r="AA217" s="316" t="str">
        <f t="shared" ca="1" si="111"/>
        <v/>
      </c>
      <c r="AC217" s="310" t="e">
        <f t="shared" ca="1" si="112"/>
        <v>#N/A</v>
      </c>
      <c r="AD217" s="323" t="e">
        <f t="shared" ca="1" si="113"/>
        <v>#N/A</v>
      </c>
      <c r="AE217" s="324">
        <f t="shared" ca="1" si="92"/>
        <v>1031.8427360848132</v>
      </c>
      <c r="AG217" s="306">
        <f t="shared" ca="1" si="114"/>
        <v>-19.405790737274646</v>
      </c>
      <c r="AH217" s="304">
        <f t="shared" ca="1" si="115"/>
        <v>-10.077436020198281</v>
      </c>
    </row>
    <row r="218" spans="1:34" x14ac:dyDescent="0.2">
      <c r="A218" s="347">
        <f t="shared" ca="1" si="93"/>
        <v>0.1</v>
      </c>
      <c r="B218" s="304">
        <f t="shared" ca="1" si="94"/>
        <v>7.999999999999952</v>
      </c>
      <c r="D218" s="306">
        <f t="shared" ca="1" si="95"/>
        <v>-3.0357523349022815</v>
      </c>
      <c r="E218" s="307">
        <f t="shared" ca="1" si="96"/>
        <v>-19.052507596455047</v>
      </c>
      <c r="F218" s="304">
        <f t="shared" ca="1" si="97"/>
        <v>19.292844216233178</v>
      </c>
      <c r="G218" s="306">
        <f t="shared" ca="1" si="98"/>
        <v>34.822904950468093</v>
      </c>
      <c r="H218" s="307">
        <f t="shared" ca="1" si="99"/>
        <v>105.0391650296</v>
      </c>
      <c r="I218" s="304">
        <f t="shared" ca="1" si="100"/>
        <v>110.66101797518799</v>
      </c>
      <c r="J218" s="306">
        <f t="shared" ca="1" si="101"/>
        <v>268.98307338387383</v>
      </c>
      <c r="K218" s="307">
        <f t="shared" ca="1" si="102"/>
        <v>1042.4419151257555</v>
      </c>
      <c r="L218" s="304">
        <f t="shared" ca="1" si="87"/>
        <v>1076.5858257371251</v>
      </c>
      <c r="M218" s="306">
        <f t="shared" ca="1" si="103"/>
        <v>1.2506759061948638</v>
      </c>
      <c r="N218" s="304">
        <f t="shared" ca="1" si="104"/>
        <v>71.658450963665345</v>
      </c>
      <c r="P218" s="310">
        <f t="shared" ca="1" si="105"/>
        <v>23</v>
      </c>
      <c r="Q218" s="304">
        <f t="shared" ca="1" si="106"/>
        <v>0</v>
      </c>
      <c r="R218" s="306">
        <f t="shared" ca="1" si="107"/>
        <v>0</v>
      </c>
      <c r="S218" s="307">
        <f t="shared" ca="1" si="108"/>
        <v>2.9362999999999984</v>
      </c>
      <c r="T218" s="304">
        <f t="shared" ca="1" si="88"/>
        <v>28.805102999999985</v>
      </c>
      <c r="U218" s="311">
        <f t="shared" ca="1" si="89"/>
        <v>0</v>
      </c>
      <c r="V218" s="306">
        <f t="shared" ca="1" si="90"/>
        <v>1.1036270765361007</v>
      </c>
      <c r="W218" s="304">
        <f t="shared" ca="1" si="91"/>
        <v>27.577496000382705</v>
      </c>
      <c r="Y218" s="314" t="str">
        <f t="shared" ca="1" si="109"/>
        <v/>
      </c>
      <c r="Z218" s="315" t="str">
        <f t="shared" ca="1" si="110"/>
        <v/>
      </c>
      <c r="AA218" s="316" t="str">
        <f t="shared" ca="1" si="111"/>
        <v/>
      </c>
      <c r="AC218" s="310">
        <f t="shared" ca="1" si="112"/>
        <v>7.999999999999952</v>
      </c>
      <c r="AD218" s="323">
        <f t="shared" ca="1" si="113"/>
        <v>268.98307338387383</v>
      </c>
      <c r="AE218" s="324">
        <f t="shared" ca="1" si="92"/>
        <v>1042.4419151257555</v>
      </c>
      <c r="AG218" s="306">
        <f t="shared" ca="1" si="114"/>
        <v>-19.048427648345807</v>
      </c>
      <c r="AH218" s="304">
        <f t="shared" ca="1" si="115"/>
        <v>-9.7282957864876778</v>
      </c>
    </row>
    <row r="219" spans="1:34" x14ac:dyDescent="0.2">
      <c r="A219" s="347">
        <f t="shared" ca="1" si="93"/>
        <v>0.1</v>
      </c>
      <c r="B219" s="304">
        <f t="shared" ca="1" si="94"/>
        <v>8.0999999999999517</v>
      </c>
      <c r="D219" s="306">
        <f t="shared" ca="1" si="95"/>
        <v>-2.9554576572302418</v>
      </c>
      <c r="E219" s="307">
        <f t="shared" ca="1" si="96"/>
        <v>-18.724787696126121</v>
      </c>
      <c r="F219" s="304">
        <f t="shared" ca="1" si="97"/>
        <v>18.956592632345007</v>
      </c>
      <c r="G219" s="306">
        <f t="shared" ca="1" si="98"/>
        <v>34.527359184745066</v>
      </c>
      <c r="H219" s="307">
        <f t="shared" ca="1" si="99"/>
        <v>103.16668625998739</v>
      </c>
      <c r="I219" s="304">
        <f t="shared" ca="1" si="100"/>
        <v>108.79110113487717</v>
      </c>
      <c r="J219" s="306">
        <f t="shared" ca="1" si="101"/>
        <v>272.45058659063449</v>
      </c>
      <c r="K219" s="307">
        <f t="shared" ca="1" si="102"/>
        <v>1052.8522076902348</v>
      </c>
      <c r="L219" s="304">
        <f t="shared" ca="1" si="87"/>
        <v>1087.5325711774256</v>
      </c>
      <c r="M219" s="306">
        <f t="shared" ca="1" si="103"/>
        <v>1.2478383363896981</v>
      </c>
      <c r="N219" s="304">
        <f t="shared" ca="1" si="104"/>
        <v>71.495870189755593</v>
      </c>
      <c r="P219" s="310">
        <f t="shared" ca="1" si="105"/>
        <v>23</v>
      </c>
      <c r="Q219" s="304">
        <f t="shared" ca="1" si="106"/>
        <v>0</v>
      </c>
      <c r="R219" s="306">
        <f t="shared" ca="1" si="107"/>
        <v>0</v>
      </c>
      <c r="S219" s="307">
        <f t="shared" ca="1" si="108"/>
        <v>2.9362999999999984</v>
      </c>
      <c r="T219" s="304">
        <f t="shared" ca="1" si="88"/>
        <v>28.805102999999985</v>
      </c>
      <c r="U219" s="311">
        <f t="shared" ca="1" si="89"/>
        <v>0</v>
      </c>
      <c r="V219" s="306">
        <f t="shared" ca="1" si="90"/>
        <v>1.1024756083691678</v>
      </c>
      <c r="W219" s="304">
        <f t="shared" ca="1" si="91"/>
        <v>26.625568906100337</v>
      </c>
      <c r="Y219" s="314" t="str">
        <f t="shared" ca="1" si="109"/>
        <v/>
      </c>
      <c r="Z219" s="315" t="str">
        <f t="shared" ca="1" si="110"/>
        <v/>
      </c>
      <c r="AA219" s="316" t="str">
        <f t="shared" ca="1" si="111"/>
        <v/>
      </c>
      <c r="AC219" s="310" t="e">
        <f t="shared" ca="1" si="112"/>
        <v>#N/A</v>
      </c>
      <c r="AD219" s="323" t="e">
        <f t="shared" ca="1" si="113"/>
        <v>#N/A</v>
      </c>
      <c r="AE219" s="324">
        <f t="shared" ca="1" si="92"/>
        <v>1052.8522076902348</v>
      </c>
      <c r="AG219" s="306">
        <f t="shared" ca="1" si="114"/>
        <v>-18.70354822241514</v>
      </c>
      <c r="AH219" s="304">
        <f t="shared" ca="1" si="115"/>
        <v>-9.3919204442266526</v>
      </c>
    </row>
    <row r="220" spans="1:34" x14ac:dyDescent="0.2">
      <c r="A220" s="347">
        <f t="shared" ca="1" si="93"/>
        <v>0.1</v>
      </c>
      <c r="B220" s="304">
        <f t="shared" ca="1" si="94"/>
        <v>8.1999999999999513</v>
      </c>
      <c r="D220" s="306">
        <f t="shared" ca="1" si="95"/>
        <v>-2.8778520369205154</v>
      </c>
      <c r="E220" s="307">
        <f t="shared" ca="1" si="96"/>
        <v>-18.408933286702698</v>
      </c>
      <c r="F220" s="304">
        <f t="shared" ca="1" si="97"/>
        <v>18.632521490680702</v>
      </c>
      <c r="G220" s="306">
        <f t="shared" ca="1" si="98"/>
        <v>34.239573981053013</v>
      </c>
      <c r="H220" s="307">
        <f t="shared" ca="1" si="99"/>
        <v>101.32579293131711</v>
      </c>
      <c r="I220" s="304">
        <f t="shared" ca="1" si="100"/>
        <v>106.95449845408164</v>
      </c>
      <c r="J220" s="306">
        <f t="shared" ca="1" si="101"/>
        <v>275.88893324892439</v>
      </c>
      <c r="K220" s="307">
        <f t="shared" ca="1" si="102"/>
        <v>1063.0768316497999</v>
      </c>
      <c r="L220" s="304">
        <f t="shared" ca="1" si="87"/>
        <v>1098.2927904160197</v>
      </c>
      <c r="M220" s="306">
        <f t="shared" ca="1" si="103"/>
        <v>1.2449273474492648</v>
      </c>
      <c r="N220" s="304">
        <f t="shared" ca="1" si="104"/>
        <v>71.329082809259504</v>
      </c>
      <c r="P220" s="310">
        <f t="shared" ca="1" si="105"/>
        <v>23</v>
      </c>
      <c r="Q220" s="304">
        <f t="shared" ca="1" si="106"/>
        <v>0</v>
      </c>
      <c r="R220" s="306">
        <f t="shared" ca="1" si="107"/>
        <v>0</v>
      </c>
      <c r="S220" s="307">
        <f t="shared" ca="1" si="108"/>
        <v>2.9362999999999984</v>
      </c>
      <c r="T220" s="304">
        <f t="shared" ca="1" si="88"/>
        <v>28.805102999999985</v>
      </c>
      <c r="U220" s="311">
        <f t="shared" ca="1" si="89"/>
        <v>0</v>
      </c>
      <c r="V220" s="306">
        <f t="shared" ca="1" si="90"/>
        <v>1.1013457846942676</v>
      </c>
      <c r="W220" s="304">
        <f t="shared" ca="1" si="91"/>
        <v>25.707803178006422</v>
      </c>
      <c r="Y220" s="314" t="str">
        <f t="shared" ca="1" si="109"/>
        <v/>
      </c>
      <c r="Z220" s="315" t="str">
        <f t="shared" ca="1" si="110"/>
        <v/>
      </c>
      <c r="AA220" s="316" t="str">
        <f t="shared" ca="1" si="111"/>
        <v/>
      </c>
      <c r="AC220" s="310" t="e">
        <f t="shared" ca="1" si="112"/>
        <v>#N/A</v>
      </c>
      <c r="AD220" s="323" t="e">
        <f t="shared" ca="1" si="113"/>
        <v>#N/A</v>
      </c>
      <c r="AE220" s="324">
        <f t="shared" ca="1" si="92"/>
        <v>1063.0768316497999</v>
      </c>
      <c r="AG220" s="306">
        <f t="shared" ca="1" si="114"/>
        <v>-18.370558390174136</v>
      </c>
      <c r="AH220" s="304">
        <f t="shared" ca="1" si="115"/>
        <v>-9.0677277206349327</v>
      </c>
    </row>
    <row r="221" spans="1:34" x14ac:dyDescent="0.2">
      <c r="A221" s="347">
        <f t="shared" ca="1" si="93"/>
        <v>0.1</v>
      </c>
      <c r="B221" s="304">
        <f t="shared" ca="1" si="94"/>
        <v>8.299999999999951</v>
      </c>
      <c r="D221" s="306">
        <f t="shared" ca="1" si="95"/>
        <v>-2.8028111598328436</v>
      </c>
      <c r="E221" s="307">
        <f t="shared" ca="1" si="96"/>
        <v>-18.104409952762893</v>
      </c>
      <c r="F221" s="304">
        <f t="shared" ca="1" si="97"/>
        <v>18.320082154165785</v>
      </c>
      <c r="G221" s="306">
        <f t="shared" ca="1" si="98"/>
        <v>33.959292865069727</v>
      </c>
      <c r="H221" s="307">
        <f t="shared" ca="1" si="99"/>
        <v>99.515351936040815</v>
      </c>
      <c r="I221" s="304">
        <f t="shared" ca="1" si="100"/>
        <v>105.15007771204755</v>
      </c>
      <c r="J221" s="306">
        <f t="shared" ca="1" si="101"/>
        <v>279.29887659123051</v>
      </c>
      <c r="K221" s="307">
        <f t="shared" ca="1" si="102"/>
        <v>1073.1188888931679</v>
      </c>
      <c r="L221" s="304">
        <f t="shared" ca="1" si="87"/>
        <v>1108.8697002643867</v>
      </c>
      <c r="M221" s="306">
        <f t="shared" ca="1" si="103"/>
        <v>1.2419406629226299</v>
      </c>
      <c r="N221" s="304">
        <f t="shared" ca="1" si="104"/>
        <v>71.157958391146295</v>
      </c>
      <c r="P221" s="310">
        <f t="shared" ca="1" si="105"/>
        <v>23</v>
      </c>
      <c r="Q221" s="304">
        <f t="shared" ca="1" si="106"/>
        <v>0</v>
      </c>
      <c r="R221" s="306">
        <f t="shared" ca="1" si="107"/>
        <v>0</v>
      </c>
      <c r="S221" s="307">
        <f t="shared" ca="1" si="108"/>
        <v>2.9362999999999984</v>
      </c>
      <c r="T221" s="304">
        <f t="shared" ca="1" si="88"/>
        <v>28.805102999999985</v>
      </c>
      <c r="U221" s="311">
        <f t="shared" ca="1" si="89"/>
        <v>0</v>
      </c>
      <c r="V221" s="306">
        <f t="shared" ca="1" si="90"/>
        <v>1.1002372018755144</v>
      </c>
      <c r="W221" s="304">
        <f t="shared" ca="1" si="91"/>
        <v>24.822680808794352</v>
      </c>
      <c r="Y221" s="314" t="str">
        <f t="shared" ca="1" si="109"/>
        <v/>
      </c>
      <c r="Z221" s="315" t="str">
        <f t="shared" ca="1" si="110"/>
        <v/>
      </c>
      <c r="AA221" s="316" t="str">
        <f t="shared" ca="1" si="111"/>
        <v/>
      </c>
      <c r="AC221" s="310" t="e">
        <f t="shared" ca="1" si="112"/>
        <v>#N/A</v>
      </c>
      <c r="AD221" s="323" t="e">
        <f t="shared" ca="1" si="113"/>
        <v>#N/A</v>
      </c>
      <c r="AE221" s="324">
        <f t="shared" ca="1" si="92"/>
        <v>1073.1188888931679</v>
      </c>
      <c r="AG221" s="306">
        <f t="shared" ca="1" si="114"/>
        <v>-18.048897259876568</v>
      </c>
      <c r="AH221" s="304">
        <f t="shared" ca="1" si="115"/>
        <v>-8.7551691509745044</v>
      </c>
    </row>
    <row r="222" spans="1:34" x14ac:dyDescent="0.2">
      <c r="A222" s="347">
        <f t="shared" ca="1" si="93"/>
        <v>0.1</v>
      </c>
      <c r="B222" s="304">
        <f t="shared" ca="1" si="94"/>
        <v>8.3999999999999506</v>
      </c>
      <c r="D222" s="306">
        <f t="shared" ca="1" si="95"/>
        <v>-2.7302178267567587</v>
      </c>
      <c r="E222" s="307">
        <f t="shared" ca="1" si="96"/>
        <v>-17.81071394216864</v>
      </c>
      <c r="F222" s="304">
        <f t="shared" ca="1" si="97"/>
        <v>18.018757463024489</v>
      </c>
      <c r="G222" s="306">
        <f t="shared" ca="1" si="98"/>
        <v>33.68627108239405</v>
      </c>
      <c r="H222" s="307">
        <f t="shared" ca="1" si="99"/>
        <v>97.734280541823949</v>
      </c>
      <c r="I222" s="304">
        <f t="shared" ca="1" si="100"/>
        <v>103.3767597309206</v>
      </c>
      <c r="J222" s="306">
        <f t="shared" ca="1" si="101"/>
        <v>282.68115478860369</v>
      </c>
      <c r="K222" s="307">
        <f t="shared" ca="1" si="102"/>
        <v>1082.9813705170611</v>
      </c>
      <c r="L222" s="304">
        <f t="shared" ca="1" si="87"/>
        <v>1119.266404463044</v>
      </c>
      <c r="M222" s="306">
        <f t="shared" ca="1" si="103"/>
        <v>1.2388759075701199</v>
      </c>
      <c r="N222" s="304">
        <f t="shared" ca="1" si="104"/>
        <v>70.982360844207349</v>
      </c>
      <c r="P222" s="310">
        <f t="shared" ca="1" si="105"/>
        <v>23</v>
      </c>
      <c r="Q222" s="304">
        <f t="shared" ca="1" si="106"/>
        <v>0</v>
      </c>
      <c r="R222" s="306">
        <f t="shared" ca="1" si="107"/>
        <v>0</v>
      </c>
      <c r="S222" s="307">
        <f t="shared" ca="1" si="108"/>
        <v>2.9362999999999984</v>
      </c>
      <c r="T222" s="304">
        <f t="shared" ca="1" si="88"/>
        <v>28.805102999999985</v>
      </c>
      <c r="U222" s="311">
        <f t="shared" ca="1" si="89"/>
        <v>0</v>
      </c>
      <c r="V222" s="306">
        <f t="shared" ca="1" si="90"/>
        <v>1.0991494710289296</v>
      </c>
      <c r="W222" s="304">
        <f t="shared" ca="1" si="91"/>
        <v>23.968769963730281</v>
      </c>
      <c r="Y222" s="314" t="str">
        <f t="shared" ca="1" si="109"/>
        <v/>
      </c>
      <c r="Z222" s="315" t="str">
        <f t="shared" ca="1" si="110"/>
        <v/>
      </c>
      <c r="AA222" s="316" t="str">
        <f t="shared" ca="1" si="111"/>
        <v/>
      </c>
      <c r="AC222" s="310" t="e">
        <f t="shared" ca="1" si="112"/>
        <v>#N/A</v>
      </c>
      <c r="AD222" s="323" t="e">
        <f t="shared" ca="1" si="113"/>
        <v>#N/A</v>
      </c>
      <c r="AE222" s="324">
        <f t="shared" ca="1" si="92"/>
        <v>1082.9813705170611</v>
      </c>
      <c r="AG222" s="306">
        <f t="shared" ca="1" si="114"/>
        <v>-17.738034755038779</v>
      </c>
      <c r="AH222" s="304">
        <f t="shared" ca="1" si="115"/>
        <v>-8.4537277556088846</v>
      </c>
    </row>
    <row r="223" spans="1:34" x14ac:dyDescent="0.2">
      <c r="A223" s="347">
        <f t="shared" ca="1" si="93"/>
        <v>0.1</v>
      </c>
      <c r="B223" s="304">
        <f t="shared" ca="1" si="94"/>
        <v>8.4999999999999503</v>
      </c>
      <c r="D223" s="306">
        <f t="shared" ca="1" si="95"/>
        <v>-2.659961471235774</v>
      </c>
      <c r="E223" s="307">
        <f t="shared" ca="1" si="96"/>
        <v>-17.527370083032771</v>
      </c>
      <c r="F223" s="304">
        <f t="shared" ca="1" si="97"/>
        <v>17.728059596471663</v>
      </c>
      <c r="G223" s="306">
        <f t="shared" ca="1" si="98"/>
        <v>33.42027493527047</v>
      </c>
      <c r="H223" s="307">
        <f t="shared" ca="1" si="99"/>
        <v>95.981543533520679</v>
      </c>
      <c r="I223" s="304">
        <f t="shared" ca="1" si="100"/>
        <v>101.63351551445119</v>
      </c>
      <c r="J223" s="306">
        <f t="shared" ca="1" si="101"/>
        <v>286.03648208948692</v>
      </c>
      <c r="K223" s="307">
        <f t="shared" ca="1" si="102"/>
        <v>1092.6671617208283</v>
      </c>
      <c r="L223" s="304">
        <f t="shared" ca="1" si="87"/>
        <v>1129.4858987119671</v>
      </c>
      <c r="M223" s="306">
        <f t="shared" ca="1" si="103"/>
        <v>1.2357306023253025</v>
      </c>
      <c r="N223" s="304">
        <f t="shared" ca="1" si="104"/>
        <v>70.80214812839894</v>
      </c>
      <c r="P223" s="310">
        <f t="shared" ca="1" si="105"/>
        <v>23</v>
      </c>
      <c r="Q223" s="304">
        <f t="shared" ca="1" si="106"/>
        <v>0</v>
      </c>
      <c r="R223" s="306">
        <f t="shared" ca="1" si="107"/>
        <v>0</v>
      </c>
      <c r="S223" s="307">
        <f t="shared" ca="1" si="108"/>
        <v>2.9362999999999984</v>
      </c>
      <c r="T223" s="304">
        <f t="shared" ca="1" si="88"/>
        <v>28.805102999999985</v>
      </c>
      <c r="U223" s="311">
        <f t="shared" ca="1" si="89"/>
        <v>0</v>
      </c>
      <c r="V223" s="306">
        <f t="shared" ca="1" si="90"/>
        <v>1.0980822173558813</v>
      </c>
      <c r="W223" s="304">
        <f t="shared" ca="1" si="91"/>
        <v>23.144719198171384</v>
      </c>
      <c r="Y223" s="314" t="str">
        <f t="shared" ca="1" si="109"/>
        <v/>
      </c>
      <c r="Z223" s="315" t="str">
        <f t="shared" ca="1" si="110"/>
        <v/>
      </c>
      <c r="AA223" s="316" t="str">
        <f t="shared" ca="1" si="111"/>
        <v/>
      </c>
      <c r="AC223" s="310" t="e">
        <f t="shared" ca="1" si="112"/>
        <v>#N/A</v>
      </c>
      <c r="AD223" s="323" t="e">
        <f t="shared" ca="1" si="113"/>
        <v>#N/A</v>
      </c>
      <c r="AE223" s="324">
        <f t="shared" ca="1" si="92"/>
        <v>1092.6671617208283</v>
      </c>
      <c r="AG223" s="306">
        <f t="shared" ca="1" si="114"/>
        <v>-17.437469434487333</v>
      </c>
      <c r="AH223" s="304">
        <f t="shared" ca="1" si="115"/>
        <v>-8.1629159022342037</v>
      </c>
    </row>
    <row r="224" spans="1:34" x14ac:dyDescent="0.2">
      <c r="A224" s="347">
        <f t="shared" ca="1" si="93"/>
        <v>0.1</v>
      </c>
      <c r="B224" s="304">
        <f t="shared" ca="1" si="94"/>
        <v>8.5999999999999499</v>
      </c>
      <c r="D224" s="306">
        <f t="shared" ca="1" si="95"/>
        <v>-2.5919377155233287</v>
      </c>
      <c r="E224" s="307">
        <f t="shared" ca="1" si="96"/>
        <v>-17.253929864745835</v>
      </c>
      <c r="F224" s="304">
        <f t="shared" ca="1" si="97"/>
        <v>17.447528102820772</v>
      </c>
      <c r="G224" s="306">
        <f t="shared" ca="1" si="98"/>
        <v>33.161081163718137</v>
      </c>
      <c r="H224" s="307">
        <f t="shared" ca="1" si="99"/>
        <v>94.25615054704609</v>
      </c>
      <c r="I224" s="304">
        <f t="shared" ca="1" si="100"/>
        <v>99.919363588316145</v>
      </c>
      <c r="J224" s="306">
        <f t="shared" ca="1" si="101"/>
        <v>289.36554989443636</v>
      </c>
      <c r="K224" s="307">
        <f t="shared" ca="1" si="102"/>
        <v>1102.1790464248566</v>
      </c>
      <c r="L224" s="304">
        <f t="shared" ca="1" si="87"/>
        <v>1139.5310754181808</v>
      </c>
      <c r="M224" s="306">
        <f t="shared" ca="1" si="103"/>
        <v>1.2325021589559813</v>
      </c>
      <c r="N224" s="304">
        <f t="shared" ca="1" si="104"/>
        <v>70.617171948939841</v>
      </c>
      <c r="P224" s="310">
        <f t="shared" ca="1" si="105"/>
        <v>23</v>
      </c>
      <c r="Q224" s="304">
        <f t="shared" ca="1" si="106"/>
        <v>0</v>
      </c>
      <c r="R224" s="306">
        <f t="shared" ca="1" si="107"/>
        <v>0</v>
      </c>
      <c r="S224" s="307">
        <f t="shared" ca="1" si="108"/>
        <v>2.9362999999999984</v>
      </c>
      <c r="T224" s="304">
        <f t="shared" ca="1" si="88"/>
        <v>28.805102999999985</v>
      </c>
      <c r="U224" s="311">
        <f t="shared" ca="1" si="89"/>
        <v>0</v>
      </c>
      <c r="V224" s="306">
        <f t="shared" ca="1" si="90"/>
        <v>1.0970350795147676</v>
      </c>
      <c r="W224" s="304">
        <f t="shared" ca="1" si="91"/>
        <v>22.349252125599751</v>
      </c>
      <c r="Y224" s="314" t="str">
        <f t="shared" ca="1" si="109"/>
        <v/>
      </c>
      <c r="Z224" s="315" t="str">
        <f t="shared" ca="1" si="110"/>
        <v/>
      </c>
      <c r="AA224" s="316" t="str">
        <f t="shared" ca="1" si="111"/>
        <v/>
      </c>
      <c r="AC224" s="310" t="e">
        <f t="shared" ca="1" si="112"/>
        <v>#N/A</v>
      </c>
      <c r="AD224" s="323" t="e">
        <f t="shared" ca="1" si="113"/>
        <v>#N/A</v>
      </c>
      <c r="AE224" s="324">
        <f t="shared" ca="1" si="92"/>
        <v>1102.1790464248566</v>
      </c>
      <c r="AG224" s="306">
        <f t="shared" ca="1" si="114"/>
        <v>-17.146726477817356</v>
      </c>
      <c r="AH224" s="304">
        <f t="shared" ca="1" si="115"/>
        <v>-7.8822733365703082</v>
      </c>
    </row>
    <row r="225" spans="1:34" x14ac:dyDescent="0.2">
      <c r="A225" s="347">
        <f t="shared" ca="1" si="93"/>
        <v>0.1</v>
      </c>
      <c r="B225" s="304">
        <f t="shared" ca="1" si="94"/>
        <v>8.6999999999999496</v>
      </c>
      <c r="D225" s="306">
        <f t="shared" ca="1" si="95"/>
        <v>-2.526047961279466</v>
      </c>
      <c r="E225" s="307">
        <f t="shared" ca="1" si="96"/>
        <v>-16.989969668417174</v>
      </c>
      <c r="F225" s="304">
        <f t="shared" ca="1" si="97"/>
        <v>17.176728082973771</v>
      </c>
      <c r="G225" s="306">
        <f t="shared" ca="1" si="98"/>
        <v>32.90847636759019</v>
      </c>
      <c r="H225" s="307">
        <f t="shared" ca="1" si="99"/>
        <v>92.557153580204371</v>
      </c>
      <c r="I225" s="304">
        <f t="shared" ca="1" si="100"/>
        <v>98.233367527056615</v>
      </c>
      <c r="J225" s="306">
        <f t="shared" ca="1" si="101"/>
        <v>292.66902777100177</v>
      </c>
      <c r="K225" s="307">
        <f t="shared" ca="1" si="102"/>
        <v>1111.519711631219</v>
      </c>
      <c r="L225" s="304">
        <f t="shared" ca="1" si="87"/>
        <v>1149.4047281794049</v>
      </c>
      <c r="M225" s="306">
        <f t="shared" ca="1" si="103"/>
        <v>1.2291878744045479</v>
      </c>
      <c r="N225" s="304">
        <f t="shared" ca="1" si="104"/>
        <v>70.4272774320373</v>
      </c>
      <c r="P225" s="310">
        <f t="shared" ca="1" si="105"/>
        <v>23</v>
      </c>
      <c r="Q225" s="304">
        <f t="shared" ca="1" si="106"/>
        <v>0</v>
      </c>
      <c r="R225" s="306">
        <f t="shared" ca="1" si="107"/>
        <v>0</v>
      </c>
      <c r="S225" s="307">
        <f t="shared" ca="1" si="108"/>
        <v>2.9362999999999984</v>
      </c>
      <c r="T225" s="304">
        <f t="shared" ca="1" si="88"/>
        <v>28.805102999999985</v>
      </c>
      <c r="U225" s="311">
        <f t="shared" ca="1" si="89"/>
        <v>0</v>
      </c>
      <c r="V225" s="306">
        <f t="shared" ca="1" si="90"/>
        <v>1.0960077090283487</v>
      </c>
      <c r="W225" s="304">
        <f t="shared" ca="1" si="91"/>
        <v>21.581162496430359</v>
      </c>
      <c r="Y225" s="314" t="str">
        <f t="shared" ca="1" si="109"/>
        <v/>
      </c>
      <c r="Z225" s="315" t="str">
        <f t="shared" ca="1" si="110"/>
        <v/>
      </c>
      <c r="AA225" s="316" t="str">
        <f t="shared" ca="1" si="111"/>
        <v/>
      </c>
      <c r="AC225" s="310" t="e">
        <f t="shared" ca="1" si="112"/>
        <v>#N/A</v>
      </c>
      <c r="AD225" s="323" t="e">
        <f t="shared" ca="1" si="113"/>
        <v>#N/A</v>
      </c>
      <c r="AE225" s="324">
        <f t="shared" ca="1" si="92"/>
        <v>1111.519711631219</v>
      </c>
      <c r="AG225" s="306">
        <f t="shared" ca="1" si="114"/>
        <v>-16.865355820986846</v>
      </c>
      <c r="AH225" s="304">
        <f t="shared" ca="1" si="115"/>
        <v>-7.6113653664815457</v>
      </c>
    </row>
    <row r="226" spans="1:34" x14ac:dyDescent="0.2">
      <c r="A226" s="347">
        <f t="shared" ca="1" si="93"/>
        <v>0.1</v>
      </c>
      <c r="B226" s="304">
        <f t="shared" ca="1" si="94"/>
        <v>8.7999999999999492</v>
      </c>
      <c r="D226" s="306">
        <f t="shared" ca="1" si="95"/>
        <v>-2.4621990119556982</v>
      </c>
      <c r="E226" s="307">
        <f t="shared" ca="1" si="96"/>
        <v>-16.735089133541653</v>
      </c>
      <c r="F226" s="304">
        <f t="shared" ca="1" si="97"/>
        <v>16.915248513754079</v>
      </c>
      <c r="G226" s="306">
        <f t="shared" ca="1" si="98"/>
        <v>32.662256466394616</v>
      </c>
      <c r="H226" s="307">
        <f t="shared" ca="1" si="99"/>
        <v>90.883644666850202</v>
      </c>
      <c r="I226" s="304">
        <f t="shared" ca="1" si="100"/>
        <v>96.574633654013027</v>
      </c>
      <c r="J226" s="306">
        <f t="shared" ca="1" si="101"/>
        <v>295.94756441270101</v>
      </c>
      <c r="K226" s="307">
        <f t="shared" ca="1" si="102"/>
        <v>1120.6917515435719</v>
      </c>
      <c r="L226" s="304">
        <f t="shared" ca="1" si="87"/>
        <v>1159.1095560211763</v>
      </c>
      <c r="M226" s="306">
        <f t="shared" ca="1" si="103"/>
        <v>1.2257849247866985</v>
      </c>
      <c r="N226" s="304">
        <f t="shared" ca="1" si="104"/>
        <v>70.232302781038882</v>
      </c>
      <c r="P226" s="310">
        <f t="shared" ca="1" si="105"/>
        <v>23</v>
      </c>
      <c r="Q226" s="304">
        <f t="shared" ca="1" si="106"/>
        <v>0</v>
      </c>
      <c r="R226" s="306">
        <f t="shared" ca="1" si="107"/>
        <v>0</v>
      </c>
      <c r="S226" s="307">
        <f t="shared" ca="1" si="108"/>
        <v>2.9362999999999984</v>
      </c>
      <c r="T226" s="304">
        <f t="shared" ca="1" si="88"/>
        <v>28.805102999999985</v>
      </c>
      <c r="U226" s="311">
        <f t="shared" ca="1" si="89"/>
        <v>0</v>
      </c>
      <c r="V226" s="306">
        <f t="shared" ca="1" si="90"/>
        <v>1.0949997697243472</v>
      </c>
      <c r="W226" s="304">
        <f t="shared" ca="1" si="91"/>
        <v>20.839309651761983</v>
      </c>
      <c r="Y226" s="314" t="str">
        <f t="shared" ca="1" si="109"/>
        <v/>
      </c>
      <c r="Z226" s="315" t="str">
        <f t="shared" ca="1" si="110"/>
        <v/>
      </c>
      <c r="AA226" s="316" t="str">
        <f t="shared" ca="1" si="111"/>
        <v/>
      </c>
      <c r="AC226" s="310" t="e">
        <f t="shared" ca="1" si="112"/>
        <v>#N/A</v>
      </c>
      <c r="AD226" s="323" t="e">
        <f t="shared" ca="1" si="113"/>
        <v>#N/A</v>
      </c>
      <c r="AE226" s="324">
        <f t="shared" ca="1" si="92"/>
        <v>1120.6917515435719</v>
      </c>
      <c r="AG226" s="306">
        <f t="shared" ca="1" si="114"/>
        <v>-16.592930428247037</v>
      </c>
      <c r="AH226" s="304">
        <f t="shared" ca="1" si="115"/>
        <v>-7.3497811859927022</v>
      </c>
    </row>
    <row r="227" spans="1:34" x14ac:dyDescent="0.2">
      <c r="A227" s="347">
        <f t="shared" ca="1" si="93"/>
        <v>0.1</v>
      </c>
      <c r="B227" s="304">
        <f t="shared" ca="1" si="94"/>
        <v>8.8999999999999488</v>
      </c>
      <c r="D227" s="306">
        <f t="shared" ca="1" si="95"/>
        <v>-2.4003027241169486</v>
      </c>
      <c r="E227" s="307">
        <f t="shared" ca="1" si="96"/>
        <v>-16.488909649000053</v>
      </c>
      <c r="F227" s="304">
        <f t="shared" ca="1" si="97"/>
        <v>16.662700698875028</v>
      </c>
      <c r="G227" s="306">
        <f t="shared" ca="1" si="98"/>
        <v>32.422226193982922</v>
      </c>
      <c r="H227" s="307">
        <f t="shared" ca="1" si="99"/>
        <v>89.234753701950197</v>
      </c>
      <c r="I227" s="304">
        <f t="shared" ca="1" si="100"/>
        <v>94.942308901887927</v>
      </c>
      <c r="J227" s="306">
        <f t="shared" ca="1" si="101"/>
        <v>299.20178854571986</v>
      </c>
      <c r="K227" s="307">
        <f t="shared" ca="1" si="102"/>
        <v>1129.6976714620118</v>
      </c>
      <c r="L227" s="304">
        <f t="shared" ca="1" si="87"/>
        <v>1168.6481674035385</v>
      </c>
      <c r="M227" s="306">
        <f t="shared" ca="1" si="103"/>
        <v>1.2222903590260865</v>
      </c>
      <c r="N227" s="304">
        <f t="shared" ca="1" si="104"/>
        <v>70.032078911724881</v>
      </c>
      <c r="P227" s="310">
        <f t="shared" ca="1" si="105"/>
        <v>23</v>
      </c>
      <c r="Q227" s="304">
        <f t="shared" ca="1" si="106"/>
        <v>0</v>
      </c>
      <c r="R227" s="306">
        <f t="shared" ca="1" si="107"/>
        <v>0</v>
      </c>
      <c r="S227" s="307">
        <f t="shared" ca="1" si="108"/>
        <v>2.9362999999999984</v>
      </c>
      <c r="T227" s="304">
        <f t="shared" ca="1" si="88"/>
        <v>28.805102999999985</v>
      </c>
      <c r="U227" s="311">
        <f t="shared" ca="1" si="89"/>
        <v>0</v>
      </c>
      <c r="V227" s="306">
        <f t="shared" ca="1" si="90"/>
        <v>1.0940109372071096</v>
      </c>
      <c r="W227" s="304">
        <f t="shared" ca="1" si="91"/>
        <v>20.122614319726509</v>
      </c>
      <c r="Y227" s="314" t="str">
        <f t="shared" ca="1" si="109"/>
        <v/>
      </c>
      <c r="Z227" s="315" t="str">
        <f t="shared" ca="1" si="110"/>
        <v/>
      </c>
      <c r="AA227" s="316" t="str">
        <f t="shared" ca="1" si="111"/>
        <v/>
      </c>
      <c r="AC227" s="310" t="e">
        <f t="shared" ca="1" si="112"/>
        <v>#N/A</v>
      </c>
      <c r="AD227" s="323" t="e">
        <f t="shared" ca="1" si="113"/>
        <v>#N/A</v>
      </c>
      <c r="AE227" s="324">
        <f t="shared" ca="1" si="92"/>
        <v>1129.6976714620118</v>
      </c>
      <c r="AG227" s="306">
        <f t="shared" ca="1" si="114"/>
        <v>-16.329044687917207</v>
      </c>
      <c r="AH227" s="304">
        <f t="shared" ca="1" si="115"/>
        <v>-7.0971323269972393</v>
      </c>
    </row>
    <row r="228" spans="1:34" x14ac:dyDescent="0.2">
      <c r="A228" s="347">
        <f t="shared" ca="1" si="93"/>
        <v>0.1</v>
      </c>
      <c r="B228" s="304">
        <f t="shared" ca="1" si="94"/>
        <v>8.9999999999999485</v>
      </c>
      <c r="D228" s="306">
        <f t="shared" ca="1" si="95"/>
        <v>-2.3402756852183271</v>
      </c>
      <c r="E228" s="307">
        <f t="shared" ca="1" si="96"/>
        <v>-16.251072957657563</v>
      </c>
      <c r="F228" s="304">
        <f t="shared" ca="1" si="97"/>
        <v>16.418716836523281</v>
      </c>
      <c r="G228" s="306">
        <f t="shared" ca="1" si="98"/>
        <v>32.188198625461091</v>
      </c>
      <c r="H228" s="307">
        <f t="shared" ca="1" si="99"/>
        <v>87.609646406184439</v>
      </c>
      <c r="I228" s="304">
        <f t="shared" ca="1" si="100"/>
        <v>93.335578822701905</v>
      </c>
      <c r="J228" s="306">
        <f t="shared" ca="1" si="101"/>
        <v>302.43230978669209</v>
      </c>
      <c r="K228" s="307">
        <f t="shared" ca="1" si="102"/>
        <v>1138.5398914674186</v>
      </c>
      <c r="L228" s="304">
        <f t="shared" ca="1" si="87"/>
        <v>1178.0230840121746</v>
      </c>
      <c r="M228" s="306">
        <f t="shared" ca="1" si="103"/>
        <v>1.2187010921009749</v>
      </c>
      <c r="N228" s="304">
        <f t="shared" ca="1" si="104"/>
        <v>69.826429065370093</v>
      </c>
      <c r="P228" s="310">
        <f t="shared" ca="1" si="105"/>
        <v>23</v>
      </c>
      <c r="Q228" s="304">
        <f t="shared" ca="1" si="106"/>
        <v>0</v>
      </c>
      <c r="R228" s="306">
        <f t="shared" ca="1" si="107"/>
        <v>0</v>
      </c>
      <c r="S228" s="307">
        <f t="shared" ca="1" si="108"/>
        <v>2.9362999999999984</v>
      </c>
      <c r="T228" s="304">
        <f t="shared" ca="1" si="88"/>
        <v>28.805102999999985</v>
      </c>
      <c r="U228" s="311">
        <f t="shared" ca="1" si="89"/>
        <v>0</v>
      </c>
      <c r="V228" s="306">
        <f t="shared" ca="1" si="90"/>
        <v>1.0930408983583051</v>
      </c>
      <c r="W228" s="304">
        <f t="shared" ca="1" si="91"/>
        <v>19.430054725205462</v>
      </c>
      <c r="Y228" s="314" t="str">
        <f t="shared" ca="1" si="109"/>
        <v/>
      </c>
      <c r="Z228" s="315" t="str">
        <f t="shared" ca="1" si="110"/>
        <v/>
      </c>
      <c r="AA228" s="316" t="str">
        <f t="shared" ca="1" si="111"/>
        <v/>
      </c>
      <c r="AC228" s="310">
        <f t="shared" ca="1" si="112"/>
        <v>8.9999999999999485</v>
      </c>
      <c r="AD228" s="323">
        <f t="shared" ca="1" si="113"/>
        <v>302.43230978669209</v>
      </c>
      <c r="AE228" s="324">
        <f t="shared" ca="1" si="92"/>
        <v>1138.5398914674186</v>
      </c>
      <c r="AG228" s="306">
        <f t="shared" ca="1" si="114"/>
        <v>-16.073312920674901</v>
      </c>
      <c r="AH228" s="304">
        <f t="shared" ca="1" si="115"/>
        <v>-6.8530512276424478</v>
      </c>
    </row>
    <row r="229" spans="1:34" x14ac:dyDescent="0.2">
      <c r="A229" s="347">
        <f t="shared" ca="1" si="93"/>
        <v>0.1</v>
      </c>
      <c r="B229" s="304">
        <f t="shared" ca="1" si="94"/>
        <v>9.0999999999999481</v>
      </c>
      <c r="D229" s="306">
        <f t="shared" ca="1" si="95"/>
        <v>-2.2820389155946654</v>
      </c>
      <c r="E229" s="307">
        <f t="shared" ca="1" si="96"/>
        <v>-16.021239864857062</v>
      </c>
      <c r="F229" s="304">
        <f t="shared" ca="1" si="97"/>
        <v>16.182948693596405</v>
      </c>
      <c r="G229" s="306">
        <f t="shared" ca="1" si="98"/>
        <v>31.959994733901624</v>
      </c>
      <c r="H229" s="307">
        <f t="shared" ca="1" si="99"/>
        <v>86.007522419698731</v>
      </c>
      <c r="I229" s="304">
        <f t="shared" ca="1" si="100"/>
        <v>91.753665736939354</v>
      </c>
      <c r="J229" s="306">
        <f t="shared" ca="1" si="101"/>
        <v>305.63971945466022</v>
      </c>
      <c r="K229" s="307">
        <f t="shared" ca="1" si="102"/>
        <v>1147.2207499087126</v>
      </c>
      <c r="L229" s="304">
        <f t="shared" ca="1" si="87"/>
        <v>1187.2367443477447</v>
      </c>
      <c r="M229" s="306">
        <f t="shared" ca="1" si="103"/>
        <v>1.2150138978773362</v>
      </c>
      <c r="N229" s="304">
        <f t="shared" ca="1" si="104"/>
        <v>69.615168398110569</v>
      </c>
      <c r="P229" s="310">
        <f t="shared" ca="1" si="105"/>
        <v>23</v>
      </c>
      <c r="Q229" s="304">
        <f t="shared" ca="1" si="106"/>
        <v>0</v>
      </c>
      <c r="R229" s="306">
        <f t="shared" ca="1" si="107"/>
        <v>0</v>
      </c>
      <c r="S229" s="307">
        <f t="shared" ca="1" si="108"/>
        <v>2.9362999999999984</v>
      </c>
      <c r="T229" s="304">
        <f t="shared" ca="1" si="88"/>
        <v>28.805102999999985</v>
      </c>
      <c r="U229" s="311">
        <f t="shared" ca="1" si="89"/>
        <v>0</v>
      </c>
      <c r="V229" s="306">
        <f t="shared" ca="1" si="90"/>
        <v>1.0920893508647713</v>
      </c>
      <c r="W229" s="304">
        <f t="shared" ca="1" si="91"/>
        <v>18.760662986465491</v>
      </c>
      <c r="Y229" s="314" t="str">
        <f t="shared" ca="1" si="109"/>
        <v/>
      </c>
      <c r="Z229" s="315" t="str">
        <f t="shared" ca="1" si="110"/>
        <v/>
      </c>
      <c r="AA229" s="316" t="str">
        <f t="shared" ca="1" si="111"/>
        <v/>
      </c>
      <c r="AC229" s="310" t="e">
        <f t="shared" ca="1" si="112"/>
        <v>#N/A</v>
      </c>
      <c r="AD229" s="323" t="e">
        <f t="shared" ca="1" si="113"/>
        <v>#N/A</v>
      </c>
      <c r="AE229" s="324">
        <f t="shared" ca="1" si="92"/>
        <v>1147.2207499087126</v>
      </c>
      <c r="AG229" s="306">
        <f t="shared" ca="1" si="114"/>
        <v>-15.825367990065114</v>
      </c>
      <c r="AH229" s="304">
        <f t="shared" ca="1" si="115"/>
        <v>-6.6171899074363907</v>
      </c>
    </row>
    <row r="230" spans="1:34" x14ac:dyDescent="0.2">
      <c r="A230" s="347">
        <f t="shared" ca="1" si="93"/>
        <v>0.1</v>
      </c>
      <c r="B230" s="304">
        <f t="shared" ca="1" si="94"/>
        <v>9.1999999999999478</v>
      </c>
      <c r="D230" s="306">
        <f t="shared" ca="1" si="95"/>
        <v>-2.2255175926355544</v>
      </c>
      <c r="E230" s="307">
        <f t="shared" ca="1" si="96"/>
        <v>-15.799089042026546</v>
      </c>
      <c r="F230" s="304">
        <f t="shared" ca="1" si="97"/>
        <v>15.955066377580936</v>
      </c>
      <c r="G230" s="306">
        <f t="shared" ca="1" si="98"/>
        <v>31.737442974638068</v>
      </c>
      <c r="H230" s="307">
        <f t="shared" ca="1" si="99"/>
        <v>84.427613515496077</v>
      </c>
      <c r="I230" s="304">
        <f t="shared" ca="1" si="100"/>
        <v>90.195827012619489</v>
      </c>
      <c r="J230" s="306">
        <f t="shared" ca="1" si="101"/>
        <v>308.82459134008718</v>
      </c>
      <c r="K230" s="307">
        <f t="shared" ca="1" si="102"/>
        <v>1155.7425067054724</v>
      </c>
      <c r="L230" s="304">
        <f t="shared" ca="1" si="87"/>
        <v>1196.2915071261773</v>
      </c>
      <c r="M230" s="306">
        <f t="shared" ca="1" si="103"/>
        <v>1.2112254015011548</v>
      </c>
      <c r="N230" s="304">
        <f t="shared" ca="1" si="104"/>
        <v>69.398103545054781</v>
      </c>
      <c r="P230" s="310">
        <f t="shared" ca="1" si="105"/>
        <v>23</v>
      </c>
      <c r="Q230" s="304">
        <f t="shared" ca="1" si="106"/>
        <v>0</v>
      </c>
      <c r="R230" s="306">
        <f t="shared" ca="1" si="107"/>
        <v>0</v>
      </c>
      <c r="S230" s="307">
        <f t="shared" ca="1" si="108"/>
        <v>2.9362999999999984</v>
      </c>
      <c r="T230" s="304">
        <f t="shared" ca="1" si="88"/>
        <v>28.805102999999985</v>
      </c>
      <c r="U230" s="311">
        <f t="shared" ca="1" si="89"/>
        <v>0</v>
      </c>
      <c r="V230" s="306">
        <f t="shared" ca="1" si="90"/>
        <v>1.0911560027717808</v>
      </c>
      <c r="W230" s="304">
        <f t="shared" ca="1" si="91"/>
        <v>18.113521774756091</v>
      </c>
      <c r="Y230" s="314" t="str">
        <f t="shared" ca="1" si="109"/>
        <v/>
      </c>
      <c r="Z230" s="315" t="str">
        <f t="shared" ca="1" si="110"/>
        <v/>
      </c>
      <c r="AA230" s="316" t="str">
        <f t="shared" ca="1" si="111"/>
        <v/>
      </c>
      <c r="AC230" s="310" t="e">
        <f t="shared" ca="1" si="112"/>
        <v>#N/A</v>
      </c>
      <c r="AD230" s="323" t="e">
        <f t="shared" ca="1" si="113"/>
        <v>#N/A</v>
      </c>
      <c r="AE230" s="324">
        <f t="shared" ca="1" si="92"/>
        <v>1155.7425067054724</v>
      </c>
      <c r="AG230" s="306">
        <f t="shared" ca="1" si="114"/>
        <v>-15.584860005849965</v>
      </c>
      <c r="AH230" s="304">
        <f t="shared" ca="1" si="115"/>
        <v>-6.389218740069305</v>
      </c>
    </row>
    <row r="231" spans="1:34" x14ac:dyDescent="0.2">
      <c r="A231" s="347">
        <f t="shared" ca="1" si="93"/>
        <v>0.1</v>
      </c>
      <c r="B231" s="304">
        <f t="shared" ca="1" si="94"/>
        <v>9.2999999999999474</v>
      </c>
      <c r="D231" s="306">
        <f t="shared" ca="1" si="95"/>
        <v>-2.1706407953110425</v>
      </c>
      <c r="E231" s="307">
        <f t="shared" ca="1" si="96"/>
        <v>-15.584315917446077</v>
      </c>
      <c r="F231" s="304">
        <f t="shared" ca="1" si="97"/>
        <v>15.734757197905269</v>
      </c>
      <c r="G231" s="306">
        <f t="shared" ca="1" si="98"/>
        <v>31.520378895106962</v>
      </c>
      <c r="H231" s="307">
        <f t="shared" ca="1" si="99"/>
        <v>82.869181923751469</v>
      </c>
      <c r="I231" s="304">
        <f t="shared" ca="1" si="100"/>
        <v>88.661353465886833</v>
      </c>
      <c r="J231" s="306">
        <f t="shared" ca="1" si="101"/>
        <v>311.98748243357443</v>
      </c>
      <c r="K231" s="307">
        <f t="shared" ca="1" si="102"/>
        <v>1164.1073464774347</v>
      </c>
      <c r="L231" s="304">
        <f t="shared" ca="1" si="87"/>
        <v>1205.1896545017196</v>
      </c>
      <c r="M231" s="306">
        <f t="shared" ca="1" si="103"/>
        <v>1.207332071320885</v>
      </c>
      <c r="N231" s="304">
        <f t="shared" ca="1" si="104"/>
        <v>69.175032157474405</v>
      </c>
      <c r="P231" s="310">
        <f t="shared" ca="1" si="105"/>
        <v>23</v>
      </c>
      <c r="Q231" s="304">
        <f t="shared" ca="1" si="106"/>
        <v>0</v>
      </c>
      <c r="R231" s="306">
        <f t="shared" ca="1" si="107"/>
        <v>0</v>
      </c>
      <c r="S231" s="307">
        <f t="shared" ca="1" si="108"/>
        <v>2.9362999999999984</v>
      </c>
      <c r="T231" s="304">
        <f t="shared" ca="1" si="88"/>
        <v>28.805102999999985</v>
      </c>
      <c r="U231" s="311">
        <f t="shared" ca="1" si="89"/>
        <v>0</v>
      </c>
      <c r="V231" s="306">
        <f t="shared" ca="1" si="90"/>
        <v>1.0902405720601105</v>
      </c>
      <c r="W231" s="304">
        <f t="shared" ca="1" si="91"/>
        <v>17.48776121514555</v>
      </c>
      <c r="Y231" s="314" t="str">
        <f t="shared" ca="1" si="109"/>
        <v/>
      </c>
      <c r="Z231" s="315" t="str">
        <f t="shared" ca="1" si="110"/>
        <v/>
      </c>
      <c r="AA231" s="316" t="str">
        <f t="shared" ca="1" si="111"/>
        <v/>
      </c>
      <c r="AC231" s="310" t="e">
        <f t="shared" ca="1" si="112"/>
        <v>#N/A</v>
      </c>
      <c r="AD231" s="323" t="e">
        <f t="shared" ca="1" si="113"/>
        <v>#N/A</v>
      </c>
      <c r="AE231" s="324">
        <f t="shared" ca="1" si="92"/>
        <v>1164.1073464774347</v>
      </c>
      <c r="AG231" s="306">
        <f t="shared" ca="1" si="114"/>
        <v>-15.35145511163627</v>
      </c>
      <c r="AH231" s="304">
        <f t="shared" ca="1" si="115"/>
        <v>-6.168825315790655</v>
      </c>
    </row>
    <row r="232" spans="1:34" x14ac:dyDescent="0.2">
      <c r="A232" s="347">
        <f t="shared" ca="1" si="93"/>
        <v>0.1</v>
      </c>
      <c r="B232" s="304">
        <f t="shared" ca="1" si="94"/>
        <v>9.3999999999999471</v>
      </c>
      <c r="D232" s="306">
        <f t="shared" ca="1" si="95"/>
        <v>-2.117341267385739</v>
      </c>
      <c r="E232" s="307">
        <f t="shared" ca="1" si="96"/>
        <v>-15.376631646959458</v>
      </c>
      <c r="F232" s="304">
        <f t="shared" ca="1" si="97"/>
        <v>15.521724609361222</v>
      </c>
      <c r="G232" s="306">
        <f t="shared" ca="1" si="98"/>
        <v>31.308644768368389</v>
      </c>
      <c r="H232" s="307">
        <f t="shared" ca="1" si="99"/>
        <v>81.331518759055527</v>
      </c>
      <c r="I232" s="304">
        <f t="shared" ca="1" si="100"/>
        <v>87.14956787550058</v>
      </c>
      <c r="J232" s="306">
        <f t="shared" ca="1" si="101"/>
        <v>315.12893361674821</v>
      </c>
      <c r="K232" s="307">
        <f t="shared" ca="1" si="102"/>
        <v>1172.3173815115751</v>
      </c>
      <c r="L232" s="304">
        <f t="shared" ca="1" si="87"/>
        <v>1213.9333951237131</v>
      </c>
      <c r="M232" s="306">
        <f t="shared" ca="1" si="103"/>
        <v>1.2033302103091335</v>
      </c>
      <c r="N232" s="304">
        <f t="shared" ca="1" si="104"/>
        <v>68.945742411303087</v>
      </c>
      <c r="P232" s="310">
        <f t="shared" ca="1" si="105"/>
        <v>23</v>
      </c>
      <c r="Q232" s="304">
        <f t="shared" ca="1" si="106"/>
        <v>0</v>
      </c>
      <c r="R232" s="306">
        <f t="shared" ca="1" si="107"/>
        <v>0</v>
      </c>
      <c r="S232" s="307">
        <f t="shared" ca="1" si="108"/>
        <v>2.9362999999999984</v>
      </c>
      <c r="T232" s="304">
        <f t="shared" ca="1" si="88"/>
        <v>28.805102999999985</v>
      </c>
      <c r="U232" s="311">
        <f t="shared" ca="1" si="89"/>
        <v>0</v>
      </c>
      <c r="V232" s="306">
        <f t="shared" ca="1" si="90"/>
        <v>1.0893427862454281</v>
      </c>
      <c r="W232" s="304">
        <f t="shared" ca="1" si="91"/>
        <v>16.882556008874683</v>
      </c>
      <c r="Y232" s="314" t="str">
        <f t="shared" ca="1" si="109"/>
        <v/>
      </c>
      <c r="Z232" s="315" t="str">
        <f t="shared" ca="1" si="110"/>
        <v/>
      </c>
      <c r="AA232" s="316" t="str">
        <f t="shared" ca="1" si="111"/>
        <v/>
      </c>
      <c r="AC232" s="310" t="e">
        <f t="shared" ca="1" si="112"/>
        <v>#N/A</v>
      </c>
      <c r="AD232" s="323" t="e">
        <f t="shared" ca="1" si="113"/>
        <v>#N/A</v>
      </c>
      <c r="AE232" s="324">
        <f t="shared" ca="1" si="92"/>
        <v>1172.3173815115751</v>
      </c>
      <c r="AG232" s="306">
        <f t="shared" ca="1" si="114"/>
        <v>-15.124834348943232</v>
      </c>
      <c r="AH232" s="304">
        <f t="shared" ca="1" si="115"/>
        <v>-5.9557133859433842</v>
      </c>
    </row>
    <row r="233" spans="1:34" x14ac:dyDescent="0.2">
      <c r="A233" s="347">
        <f t="shared" ca="1" si="93"/>
        <v>0.1</v>
      </c>
      <c r="B233" s="304">
        <f t="shared" ca="1" si="94"/>
        <v>9.4999999999999467</v>
      </c>
      <c r="D233" s="306">
        <f t="shared" ca="1" si="95"/>
        <v>-2.0655551978140529</v>
      </c>
      <c r="E233" s="307">
        <f t="shared" ca="1" si="96"/>
        <v>-15.17576215807993</v>
      </c>
      <c r="F233" s="304">
        <f t="shared" ca="1" si="97"/>
        <v>15.315687230869775</v>
      </c>
      <c r="G233" s="306">
        <f t="shared" ca="1" si="98"/>
        <v>31.102089248586985</v>
      </c>
      <c r="H233" s="307">
        <f t="shared" ca="1" si="99"/>
        <v>79.813942543247535</v>
      </c>
      <c r="I233" s="304">
        <f t="shared" ca="1" si="100"/>
        <v>85.659823604323918</v>
      </c>
      <c r="J233" s="306">
        <f t="shared" ca="1" si="101"/>
        <v>318.24947031759598</v>
      </c>
      <c r="K233" s="307">
        <f t="shared" ca="1" si="102"/>
        <v>1180.3746545766903</v>
      </c>
      <c r="L233" s="304">
        <f t="shared" ca="1" si="87"/>
        <v>1222.5248670372605</v>
      </c>
      <c r="M233" s="306">
        <f t="shared" ca="1" si="103"/>
        <v>1.1992159469506487</v>
      </c>
      <c r="N233" s="304">
        <f t="shared" ca="1" si="104"/>
        <v>68.710012485056595</v>
      </c>
      <c r="P233" s="310">
        <f t="shared" ca="1" si="105"/>
        <v>23</v>
      </c>
      <c r="Q233" s="304">
        <f t="shared" ca="1" si="106"/>
        <v>0</v>
      </c>
      <c r="R233" s="306">
        <f t="shared" ca="1" si="107"/>
        <v>0</v>
      </c>
      <c r="S233" s="307">
        <f t="shared" ca="1" si="108"/>
        <v>2.9362999999999984</v>
      </c>
      <c r="T233" s="304">
        <f t="shared" ca="1" si="88"/>
        <v>28.805102999999985</v>
      </c>
      <c r="U233" s="311">
        <f t="shared" ca="1" si="89"/>
        <v>0</v>
      </c>
      <c r="V233" s="306">
        <f t="shared" ca="1" si="90"/>
        <v>1.088462381998611</v>
      </c>
      <c r="W233" s="304">
        <f t="shared" ca="1" si="91"/>
        <v>16.297122759307978</v>
      </c>
      <c r="Y233" s="314" t="str">
        <f t="shared" ca="1" si="109"/>
        <v/>
      </c>
      <c r="Z233" s="315" t="str">
        <f t="shared" ca="1" si="110"/>
        <v/>
      </c>
      <c r="AA233" s="316" t="str">
        <f t="shared" ca="1" si="111"/>
        <v/>
      </c>
      <c r="AC233" s="310" t="e">
        <f t="shared" ca="1" si="112"/>
        <v>#N/A</v>
      </c>
      <c r="AD233" s="323" t="e">
        <f t="shared" ca="1" si="113"/>
        <v>#N/A</v>
      </c>
      <c r="AE233" s="324">
        <f t="shared" ca="1" si="92"/>
        <v>1180.3746545766903</v>
      </c>
      <c r="AG233" s="306">
        <f t="shared" ca="1" si="114"/>
        <v>-14.904692590516177</v>
      </c>
      <c r="AH233" s="304">
        <f t="shared" ca="1" si="115"/>
        <v>-5.7496018829393085</v>
      </c>
    </row>
    <row r="234" spans="1:34" x14ac:dyDescent="0.2">
      <c r="A234" s="347">
        <f t="shared" ca="1" si="93"/>
        <v>0.1</v>
      </c>
      <c r="B234" s="304">
        <f t="shared" ca="1" si="94"/>
        <v>9.5999999999999464</v>
      </c>
      <c r="D234" s="306">
        <f t="shared" ca="1" si="95"/>
        <v>-2.0152220169487167</v>
      </c>
      <c r="E234" s="307">
        <f t="shared" ca="1" si="96"/>
        <v>-14.981447261535319</v>
      </c>
      <c r="F234" s="304">
        <f t="shared" ca="1" si="97"/>
        <v>15.116377933478606</v>
      </c>
      <c r="G234" s="306">
        <f t="shared" ca="1" si="98"/>
        <v>30.900567046892114</v>
      </c>
      <c r="H234" s="307">
        <f t="shared" ca="1" si="99"/>
        <v>78.315797817094008</v>
      </c>
      <c r="I234" s="304">
        <f t="shared" ca="1" si="100"/>
        <v>84.19150332157885</v>
      </c>
      <c r="J234" s="306">
        <f t="shared" ca="1" si="101"/>
        <v>321.34960313236991</v>
      </c>
      <c r="K234" s="307">
        <f t="shared" ca="1" si="102"/>
        <v>1188.2811415947074</v>
      </c>
      <c r="L234" s="304">
        <f t="shared" ca="1" si="87"/>
        <v>1230.9661404372391</v>
      </c>
      <c r="M234" s="306">
        <f t="shared" ca="1" si="103"/>
        <v>1.1949852255616311</v>
      </c>
      <c r="N234" s="304">
        <f t="shared" ca="1" si="104"/>
        <v>68.467610005170158</v>
      </c>
      <c r="P234" s="310">
        <f t="shared" ca="1" si="105"/>
        <v>23</v>
      </c>
      <c r="Q234" s="304">
        <f t="shared" ca="1" si="106"/>
        <v>0</v>
      </c>
      <c r="R234" s="306">
        <f t="shared" ca="1" si="107"/>
        <v>0</v>
      </c>
      <c r="S234" s="307">
        <f t="shared" ca="1" si="108"/>
        <v>2.9362999999999984</v>
      </c>
      <c r="T234" s="304">
        <f t="shared" ca="1" si="88"/>
        <v>28.805102999999985</v>
      </c>
      <c r="U234" s="311">
        <f t="shared" ca="1" si="89"/>
        <v>0</v>
      </c>
      <c r="V234" s="306">
        <f t="shared" ca="1" si="90"/>
        <v>1.0875991047857165</v>
      </c>
      <c r="W234" s="304">
        <f t="shared" ca="1" si="91"/>
        <v>15.730717485180634</v>
      </c>
      <c r="Y234" s="314" t="str">
        <f t="shared" ca="1" si="109"/>
        <v/>
      </c>
      <c r="Z234" s="315" t="str">
        <f t="shared" ca="1" si="110"/>
        <v/>
      </c>
      <c r="AA234" s="316" t="str">
        <f t="shared" ca="1" si="111"/>
        <v/>
      </c>
      <c r="AC234" s="310" t="e">
        <f t="shared" ca="1" si="112"/>
        <v>#N/A</v>
      </c>
      <c r="AD234" s="323" t="e">
        <f t="shared" ca="1" si="113"/>
        <v>#N/A</v>
      </c>
      <c r="AE234" s="324">
        <f t="shared" ca="1" si="92"/>
        <v>1188.2811415947074</v>
      </c>
      <c r="AG234" s="306">
        <f t="shared" ca="1" si="114"/>
        <v>-14.690737536263242</v>
      </c>
      <c r="AH234" s="304">
        <f t="shared" ca="1" si="115"/>
        <v>-5.5502240095725872</v>
      </c>
    </row>
    <row r="235" spans="1:34" x14ac:dyDescent="0.2">
      <c r="A235" s="347">
        <f t="shared" ca="1" si="93"/>
        <v>0.1</v>
      </c>
      <c r="B235" s="304">
        <f t="shared" ca="1" si="94"/>
        <v>9.699999999999946</v>
      </c>
      <c r="D235" s="306">
        <f t="shared" ca="1" si="95"/>
        <v>-1.9662842073202973</v>
      </c>
      <c r="E235" s="307">
        <f t="shared" ca="1" si="96"/>
        <v>-14.793439824834199</v>
      </c>
      <c r="F235" s="304">
        <f t="shared" ca="1" si="97"/>
        <v>14.923542992029329</v>
      </c>
      <c r="G235" s="306">
        <f t="shared" ca="1" si="98"/>
        <v>30.703938626160085</v>
      </c>
      <c r="H235" s="307">
        <f t="shared" ca="1" si="99"/>
        <v>76.836453834610595</v>
      </c>
      <c r="I235" s="304">
        <f t="shared" ca="1" si="100"/>
        <v>82.74401782024637</v>
      </c>
      <c r="J235" s="306">
        <f t="shared" ca="1" si="101"/>
        <v>324.42982841602253</v>
      </c>
      <c r="K235" s="307">
        <f t="shared" ca="1" si="102"/>
        <v>1196.0387541772925</v>
      </c>
      <c r="L235" s="304">
        <f t="shared" ca="1" si="87"/>
        <v>1239.2592202844487</v>
      </c>
      <c r="M235" s="306">
        <f t="shared" ca="1" si="103"/>
        <v>1.1906337960032183</v>
      </c>
      <c r="N235" s="304">
        <f t="shared" ca="1" si="104"/>
        <v>68.218291456624627</v>
      </c>
      <c r="P235" s="310">
        <f t="shared" ca="1" si="105"/>
        <v>23</v>
      </c>
      <c r="Q235" s="304">
        <f t="shared" ca="1" si="106"/>
        <v>0</v>
      </c>
      <c r="R235" s="306">
        <f t="shared" ca="1" si="107"/>
        <v>0</v>
      </c>
      <c r="S235" s="307">
        <f t="shared" ca="1" si="108"/>
        <v>2.9362999999999984</v>
      </c>
      <c r="T235" s="304">
        <f t="shared" ca="1" si="88"/>
        <v>28.805102999999985</v>
      </c>
      <c r="U235" s="311">
        <f t="shared" ca="1" si="89"/>
        <v>0</v>
      </c>
      <c r="V235" s="306">
        <f t="shared" ca="1" si="90"/>
        <v>1.0867527085264048</v>
      </c>
      <c r="W235" s="304">
        <f t="shared" ca="1" si="91"/>
        <v>15.182633306297733</v>
      </c>
      <c r="Y235" s="314" t="str">
        <f t="shared" ca="1" si="109"/>
        <v/>
      </c>
      <c r="Z235" s="315" t="str">
        <f t="shared" ca="1" si="110"/>
        <v/>
      </c>
      <c r="AA235" s="316" t="str">
        <f t="shared" ca="1" si="111"/>
        <v/>
      </c>
      <c r="AC235" s="310" t="e">
        <f t="shared" ca="1" si="112"/>
        <v>#N/A</v>
      </c>
      <c r="AD235" s="323" t="e">
        <f t="shared" ca="1" si="113"/>
        <v>#N/A</v>
      </c>
      <c r="AE235" s="324">
        <f t="shared" ca="1" si="92"/>
        <v>1196.0387541772925</v>
      </c>
      <c r="AG235" s="306">
        <f t="shared" ca="1" si="114"/>
        <v>-14.482688765697429</v>
      </c>
      <c r="AH235" s="304">
        <f t="shared" ca="1" si="115"/>
        <v>-5.3573263921195524</v>
      </c>
    </row>
    <row r="236" spans="1:34" x14ac:dyDescent="0.2">
      <c r="A236" s="347">
        <f t="shared" ca="1" si="93"/>
        <v>0.1</v>
      </c>
      <c r="B236" s="304">
        <f t="shared" ca="1" si="94"/>
        <v>9.7999999999999456</v>
      </c>
      <c r="D236" s="306">
        <f t="shared" ca="1" si="95"/>
        <v>-1.9186871278585949</v>
      </c>
      <c r="E236" s="307">
        <f t="shared" ca="1" si="96"/>
        <v>-14.611505002917141</v>
      </c>
      <c r="F236" s="304">
        <f t="shared" ca="1" si="97"/>
        <v>14.736941295427723</v>
      </c>
      <c r="G236" s="306">
        <f t="shared" ca="1" si="98"/>
        <v>30.512069913374226</v>
      </c>
      <c r="H236" s="307">
        <f t="shared" ca="1" si="99"/>
        <v>75.375303334318886</v>
      </c>
      <c r="I236" s="304">
        <f t="shared" ca="1" si="100"/>
        <v>81.316804924561694</v>
      </c>
      <c r="J236" s="306">
        <f t="shared" ca="1" si="101"/>
        <v>327.49062884299923</v>
      </c>
      <c r="K236" s="307">
        <f t="shared" ca="1" si="102"/>
        <v>1203.649342035739</v>
      </c>
      <c r="L236" s="304">
        <f t="shared" ca="1" si="87"/>
        <v>1247.4060487920726</v>
      </c>
      <c r="M236" s="306">
        <f t="shared" ca="1" si="103"/>
        <v>1.1861572027497764</v>
      </c>
      <c r="N236" s="304">
        <f t="shared" ca="1" si="104"/>
        <v>67.961801556605678</v>
      </c>
      <c r="P236" s="310">
        <f t="shared" ca="1" si="105"/>
        <v>23</v>
      </c>
      <c r="Q236" s="304">
        <f t="shared" ca="1" si="106"/>
        <v>0</v>
      </c>
      <c r="R236" s="306">
        <f t="shared" ca="1" si="107"/>
        <v>0</v>
      </c>
      <c r="S236" s="307">
        <f t="shared" ca="1" si="108"/>
        <v>2.9362999999999984</v>
      </c>
      <c r="T236" s="304">
        <f t="shared" ca="1" si="88"/>
        <v>28.805102999999985</v>
      </c>
      <c r="U236" s="311">
        <f t="shared" ca="1" si="89"/>
        <v>0</v>
      </c>
      <c r="V236" s="306">
        <f t="shared" ca="1" si="90"/>
        <v>1.0859229552697158</v>
      </c>
      <c r="W236" s="304">
        <f t="shared" ca="1" si="91"/>
        <v>14.652198288156166</v>
      </c>
      <c r="Y236" s="314" t="str">
        <f t="shared" ca="1" si="109"/>
        <v/>
      </c>
      <c r="Z236" s="315" t="str">
        <f t="shared" ca="1" si="110"/>
        <v/>
      </c>
      <c r="AA236" s="316" t="str">
        <f t="shared" ca="1" si="111"/>
        <v/>
      </c>
      <c r="AC236" s="310" t="e">
        <f t="shared" ca="1" si="112"/>
        <v>#N/A</v>
      </c>
      <c r="AD236" s="323" t="e">
        <f t="shared" ca="1" si="113"/>
        <v>#N/A</v>
      </c>
      <c r="AE236" s="324">
        <f t="shared" ca="1" si="92"/>
        <v>1203.649342035739</v>
      </c>
      <c r="AG236" s="306">
        <f t="shared" ca="1" si="114"/>
        <v>-14.280276841213221</v>
      </c>
      <c r="AH236" s="304">
        <f t="shared" ca="1" si="115"/>
        <v>-5.1706682921696494</v>
      </c>
    </row>
    <row r="237" spans="1:34" x14ac:dyDescent="0.2">
      <c r="A237" s="347">
        <f t="shared" ca="1" si="93"/>
        <v>0.1</v>
      </c>
      <c r="B237" s="304">
        <f t="shared" ca="1" si="94"/>
        <v>9.8999999999999453</v>
      </c>
      <c r="D237" s="306">
        <f t="shared" ca="1" si="95"/>
        <v>-1.8723788505291339</v>
      </c>
      <c r="E237" s="307">
        <f t="shared" ca="1" si="96"/>
        <v>-14.435419521391939</v>
      </c>
      <c r="F237" s="304">
        <f t="shared" ca="1" si="97"/>
        <v>14.556343610896668</v>
      </c>
      <c r="G237" s="306">
        <f t="shared" ca="1" si="98"/>
        <v>30.324832028321314</v>
      </c>
      <c r="H237" s="307">
        <f t="shared" ca="1" si="99"/>
        <v>73.931761382179687</v>
      </c>
      <c r="I237" s="304">
        <f t="shared" ca="1" si="100"/>
        <v>79.909328483084238</v>
      </c>
      <c r="J237" s="306">
        <f t="shared" ca="1" si="101"/>
        <v>330.532473940084</v>
      </c>
      <c r="K237" s="307">
        <f t="shared" ca="1" si="102"/>
        <v>1211.114695271564</v>
      </c>
      <c r="L237" s="304">
        <f t="shared" ca="1" si="87"/>
        <v>1255.4085077900681</v>
      </c>
      <c r="M237" s="306">
        <f t="shared" ca="1" si="103"/>
        <v>1.1815507732703285</v>
      </c>
      <c r="N237" s="304">
        <f t="shared" ca="1" si="104"/>
        <v>67.697872588808664</v>
      </c>
      <c r="P237" s="310">
        <f t="shared" ca="1" si="105"/>
        <v>23</v>
      </c>
      <c r="Q237" s="304">
        <f t="shared" ca="1" si="106"/>
        <v>0</v>
      </c>
      <c r="R237" s="306">
        <f t="shared" ca="1" si="107"/>
        <v>0</v>
      </c>
      <c r="S237" s="307">
        <f t="shared" ca="1" si="108"/>
        <v>2.9362999999999984</v>
      </c>
      <c r="T237" s="304">
        <f t="shared" ca="1" si="88"/>
        <v>28.805102999999985</v>
      </c>
      <c r="U237" s="311">
        <f t="shared" ca="1" si="89"/>
        <v>0</v>
      </c>
      <c r="V237" s="306">
        <f t="shared" ca="1" si="90"/>
        <v>1.0851096148861619</v>
      </c>
      <c r="W237" s="304">
        <f t="shared" ca="1" si="91"/>
        <v>14.138773433145261</v>
      </c>
      <c r="Y237" s="314" t="str">
        <f t="shared" ca="1" si="109"/>
        <v/>
      </c>
      <c r="Z237" s="315" t="str">
        <f t="shared" ca="1" si="110"/>
        <v/>
      </c>
      <c r="AA237" s="316" t="str">
        <f t="shared" ca="1" si="111"/>
        <v/>
      </c>
      <c r="AC237" s="310" t="e">
        <f t="shared" ca="1" si="112"/>
        <v>#N/A</v>
      </c>
      <c r="AD237" s="323" t="e">
        <f t="shared" ca="1" si="113"/>
        <v>#N/A</v>
      </c>
      <c r="AE237" s="324">
        <f t="shared" ca="1" si="92"/>
        <v>1211.114695271564</v>
      </c>
      <c r="AG237" s="306">
        <f t="shared" ca="1" si="114"/>
        <v>-14.083242456920804</v>
      </c>
      <c r="AH237" s="304">
        <f t="shared" ca="1" si="115"/>
        <v>-4.9900208725798363</v>
      </c>
    </row>
    <row r="238" spans="1:34" x14ac:dyDescent="0.2">
      <c r="A238" s="347">
        <f t="shared" ca="1" si="93"/>
        <v>0.1</v>
      </c>
      <c r="B238" s="304">
        <f t="shared" ca="1" si="94"/>
        <v>9.9999999999999449</v>
      </c>
      <c r="D238" s="306">
        <f t="shared" ca="1" si="95"/>
        <v>-1.8273100084504141</v>
      </c>
      <c r="E238" s="307">
        <f t="shared" ca="1" si="96"/>
        <v>-14.26497100824348</v>
      </c>
      <c r="F238" s="304">
        <f t="shared" ca="1" si="97"/>
        <v>14.381531897993693</v>
      </c>
      <c r="G238" s="306">
        <f t="shared" ca="1" si="98"/>
        <v>30.142101027476272</v>
      </c>
      <c r="H238" s="307">
        <f t="shared" ca="1" si="99"/>
        <v>72.505264281355338</v>
      </c>
      <c r="I238" s="304">
        <f t="shared" ca="1" si="100"/>
        <v>78.521077443319442</v>
      </c>
      <c r="J238" s="306">
        <f t="shared" ca="1" si="101"/>
        <v>333.55582059287389</v>
      </c>
      <c r="K238" s="307">
        <f t="shared" ca="1" si="102"/>
        <v>1218.4365465547407</v>
      </c>
      <c r="L238" s="304">
        <f t="shared" ca="1" si="87"/>
        <v>1263.2684209745878</v>
      </c>
      <c r="M238" s="306">
        <f t="shared" ca="1" si="103"/>
        <v>1.1768096056791233</v>
      </c>
      <c r="N238" s="304">
        <f t="shared" ca="1" si="104"/>
        <v>67.426223695868401</v>
      </c>
      <c r="P238" s="310">
        <f t="shared" ca="1" si="105"/>
        <v>23</v>
      </c>
      <c r="Q238" s="304">
        <f t="shared" ca="1" si="106"/>
        <v>0</v>
      </c>
      <c r="R238" s="306">
        <f t="shared" ca="1" si="107"/>
        <v>0</v>
      </c>
      <c r="S238" s="307">
        <f t="shared" ca="1" si="108"/>
        <v>2.9362999999999984</v>
      </c>
      <c r="T238" s="304">
        <f t="shared" ca="1" si="88"/>
        <v>28.805102999999985</v>
      </c>
      <c r="U238" s="311">
        <f t="shared" ca="1" si="89"/>
        <v>0</v>
      </c>
      <c r="V238" s="306">
        <f t="shared" ca="1" si="90"/>
        <v>1.0843124647751758</v>
      </c>
      <c r="W238" s="304">
        <f t="shared" ca="1" si="91"/>
        <v>13.641750807053917</v>
      </c>
      <c r="Y238" s="314" t="str">
        <f t="shared" ca="1" si="109"/>
        <v/>
      </c>
      <c r="Z238" s="315" t="str">
        <f t="shared" ca="1" si="110"/>
        <v/>
      </c>
      <c r="AA238" s="316" t="str">
        <f t="shared" ca="1" si="111"/>
        <v/>
      </c>
      <c r="AC238" s="310">
        <f t="shared" ca="1" si="112"/>
        <v>9.9999999999999449</v>
      </c>
      <c r="AD238" s="323">
        <f t="shared" ca="1" si="113"/>
        <v>333.55582059287389</v>
      </c>
      <c r="AE238" s="324">
        <f t="shared" ca="1" si="92"/>
        <v>1218.4365465547407</v>
      </c>
      <c r="AG238" s="306">
        <f t="shared" ca="1" si="114"/>
        <v>-13.891335628106045</v>
      </c>
      <c r="AH238" s="304">
        <f t="shared" ca="1" si="115"/>
        <v>-4.8151665133485233</v>
      </c>
    </row>
    <row r="239" spans="1:34" x14ac:dyDescent="0.2">
      <c r="A239" s="347">
        <f t="shared" ca="1" si="93"/>
        <v>0.1</v>
      </c>
      <c r="B239" s="304">
        <f t="shared" ca="1" si="94"/>
        <v>10.099999999999945</v>
      </c>
      <c r="D239" s="306">
        <f t="shared" ca="1" si="95"/>
        <v>-1.7834336546413778</v>
      </c>
      <c r="E239" s="307">
        <f t="shared" ca="1" si="96"/>
        <v>-14.099957370263091</v>
      </c>
      <c r="F239" s="304">
        <f t="shared" ca="1" si="97"/>
        <v>14.212298668538597</v>
      </c>
      <c r="G239" s="306">
        <f t="shared" ca="1" si="98"/>
        <v>29.963757662012135</v>
      </c>
      <c r="H239" s="307">
        <f t="shared" ca="1" si="99"/>
        <v>71.095268544329031</v>
      </c>
      <c r="I239" s="304">
        <f t="shared" ca="1" si="100"/>
        <v>77.1515650043345</v>
      </c>
      <c r="J239" s="306">
        <f t="shared" ca="1" si="101"/>
        <v>336.56111352734831</v>
      </c>
      <c r="K239" s="307">
        <f t="shared" ca="1" si="102"/>
        <v>1225.616573196025</v>
      </c>
      <c r="L239" s="304">
        <f t="shared" ca="1" si="87"/>
        <v>1270.9875560490495</v>
      </c>
      <c r="M239" s="306">
        <f t="shared" ca="1" si="103"/>
        <v>1.1719285556089876</v>
      </c>
      <c r="N239" s="304">
        <f t="shared" ca="1" si="104"/>
        <v>67.146560127257587</v>
      </c>
      <c r="P239" s="310">
        <f t="shared" ca="1" si="105"/>
        <v>23</v>
      </c>
      <c r="Q239" s="304">
        <f t="shared" ca="1" si="106"/>
        <v>0</v>
      </c>
      <c r="R239" s="306">
        <f t="shared" ca="1" si="107"/>
        <v>0</v>
      </c>
      <c r="S239" s="307">
        <f t="shared" ca="1" si="108"/>
        <v>2.9362999999999984</v>
      </c>
      <c r="T239" s="304">
        <f t="shared" ca="1" si="88"/>
        <v>28.805102999999985</v>
      </c>
      <c r="U239" s="311">
        <f t="shared" ca="1" si="89"/>
        <v>0</v>
      </c>
      <c r="V239" s="306">
        <f t="shared" ca="1" si="90"/>
        <v>1.0835312895870275</v>
      </c>
      <c r="W239" s="304">
        <f t="shared" ca="1" si="91"/>
        <v>13.160551790580367</v>
      </c>
      <c r="Y239" s="314" t="str">
        <f t="shared" ca="1" si="109"/>
        <v/>
      </c>
      <c r="Z239" s="315" t="str">
        <f t="shared" ca="1" si="110"/>
        <v/>
      </c>
      <c r="AA239" s="316" t="str">
        <f t="shared" ca="1" si="111"/>
        <v/>
      </c>
      <c r="AC239" s="310" t="e">
        <f t="shared" ca="1" si="112"/>
        <v>#N/A</v>
      </c>
      <c r="AD239" s="323" t="e">
        <f t="shared" ca="1" si="113"/>
        <v>#N/A</v>
      </c>
      <c r="AE239" s="324">
        <f t="shared" ca="1" si="92"/>
        <v>1225.616573196025</v>
      </c>
      <c r="AG239" s="306">
        <f t="shared" ca="1" si="114"/>
        <v>-13.704314916686407</v>
      </c>
      <c r="AH239" s="304">
        <f t="shared" ca="1" si="115"/>
        <v>-4.6458981735701137</v>
      </c>
    </row>
    <row r="240" spans="1:34" x14ac:dyDescent="0.2">
      <c r="A240" s="347">
        <f t="shared" ca="1" si="93"/>
        <v>0.1</v>
      </c>
      <c r="B240" s="304">
        <f t="shared" ca="1" si="94"/>
        <v>10.199999999999944</v>
      </c>
      <c r="D240" s="306">
        <f t="shared" ca="1" si="95"/>
        <v>-1.7407051306245656</v>
      </c>
      <c r="E240" s="307">
        <f t="shared" ca="1" si="96"/>
        <v>-13.940186210761603</v>
      </c>
      <c r="F240" s="304">
        <f t="shared" ca="1" si="97"/>
        <v>14.04844638892467</v>
      </c>
      <c r="G240" s="306">
        <f t="shared" ca="1" si="98"/>
        <v>29.789687148949678</v>
      </c>
      <c r="H240" s="307">
        <f t="shared" ca="1" si="99"/>
        <v>69.701249923252874</v>
      </c>
      <c r="I240" s="304">
        <f t="shared" ca="1" si="100"/>
        <v>75.800327844251811</v>
      </c>
      <c r="J240" s="306">
        <f t="shared" ca="1" si="101"/>
        <v>339.54878576789639</v>
      </c>
      <c r="K240" s="307">
        <f t="shared" ca="1" si="102"/>
        <v>1232.6563991194041</v>
      </c>
      <c r="L240" s="304">
        <f t="shared" ca="1" si="87"/>
        <v>1278.5676267630383</v>
      </c>
      <c r="M240" s="306">
        <f t="shared" ca="1" si="103"/>
        <v>1.1669022222587662</v>
      </c>
      <c r="N240" s="304">
        <f t="shared" ca="1" si="104"/>
        <v>66.858572439864048</v>
      </c>
      <c r="P240" s="310">
        <f t="shared" ca="1" si="105"/>
        <v>23</v>
      </c>
      <c r="Q240" s="304">
        <f t="shared" ca="1" si="106"/>
        <v>0</v>
      </c>
      <c r="R240" s="306">
        <f t="shared" ca="1" si="107"/>
        <v>0</v>
      </c>
      <c r="S240" s="307">
        <f t="shared" ca="1" si="108"/>
        <v>2.9362999999999984</v>
      </c>
      <c r="T240" s="304">
        <f t="shared" ca="1" si="88"/>
        <v>28.805102999999985</v>
      </c>
      <c r="U240" s="311">
        <f t="shared" ca="1" si="89"/>
        <v>0</v>
      </c>
      <c r="V240" s="306">
        <f t="shared" ca="1" si="90"/>
        <v>1.0827658809583622</v>
      </c>
      <c r="W240" s="304">
        <f t="shared" ca="1" si="91"/>
        <v>12.694625446417806</v>
      </c>
      <c r="Y240" s="314" t="str">
        <f t="shared" ca="1" si="109"/>
        <v/>
      </c>
      <c r="Z240" s="315" t="str">
        <f t="shared" ca="1" si="110"/>
        <v/>
      </c>
      <c r="AA240" s="316" t="str">
        <f t="shared" ca="1" si="111"/>
        <v/>
      </c>
      <c r="AC240" s="310" t="e">
        <f t="shared" ca="1" si="112"/>
        <v>#N/A</v>
      </c>
      <c r="AD240" s="323" t="e">
        <f t="shared" ca="1" si="113"/>
        <v>#N/A</v>
      </c>
      <c r="AE240" s="324">
        <f t="shared" ca="1" si="92"/>
        <v>1232.6563991194041</v>
      </c>
      <c r="AG240" s="306">
        <f t="shared" ca="1" si="114"/>
        <v>-13.521946688294573</v>
      </c>
      <c r="AH240" s="304">
        <f t="shared" ca="1" si="115"/>
        <v>-4.4820187959610305</v>
      </c>
    </row>
    <row r="241" spans="1:34" x14ac:dyDescent="0.2">
      <c r="A241" s="347">
        <f t="shared" ca="1" si="93"/>
        <v>0.1</v>
      </c>
      <c r="B241" s="304">
        <f t="shared" ca="1" si="94"/>
        <v>10.299999999999944</v>
      </c>
      <c r="D241" s="306">
        <f t="shared" ca="1" si="95"/>
        <v>-1.6990819441794653</v>
      </c>
      <c r="E241" s="307">
        <f t="shared" ca="1" si="96"/>
        <v>-13.785474285419438</v>
      </c>
      <c r="F241" s="304">
        <f t="shared" ca="1" si="97"/>
        <v>13.889786921583687</v>
      </c>
      <c r="G241" s="306">
        <f t="shared" ca="1" si="98"/>
        <v>29.619778954531732</v>
      </c>
      <c r="H241" s="307">
        <f t="shared" ca="1" si="99"/>
        <v>68.322702494710924</v>
      </c>
      <c r="I241" s="304">
        <f t="shared" ca="1" si="100"/>
        <v>74.466925419921154</v>
      </c>
      <c r="J241" s="306">
        <f t="shared" ca="1" si="101"/>
        <v>342.51925907307049</v>
      </c>
      <c r="K241" s="307">
        <f t="shared" ca="1" si="102"/>
        <v>1239.5575967403024</v>
      </c>
      <c r="L241" s="304">
        <f t="shared" ca="1" si="87"/>
        <v>1286.0102948548115</v>
      </c>
      <c r="M241" s="306">
        <f t="shared" ca="1" si="103"/>
        <v>1.1617249335638551</v>
      </c>
      <c r="N241" s="304">
        <f t="shared" ca="1" si="104"/>
        <v>66.561935648324848</v>
      </c>
      <c r="P241" s="310">
        <f t="shared" ca="1" si="105"/>
        <v>23</v>
      </c>
      <c r="Q241" s="304">
        <f t="shared" ca="1" si="106"/>
        <v>0</v>
      </c>
      <c r="R241" s="306">
        <f t="shared" ca="1" si="107"/>
        <v>0</v>
      </c>
      <c r="S241" s="307">
        <f t="shared" ca="1" si="108"/>
        <v>2.9362999999999984</v>
      </c>
      <c r="T241" s="304">
        <f t="shared" ca="1" si="88"/>
        <v>28.805102999999985</v>
      </c>
      <c r="U241" s="311">
        <f t="shared" ca="1" si="89"/>
        <v>0</v>
      </c>
      <c r="V241" s="306">
        <f t="shared" ca="1" si="90"/>
        <v>1.082016037260596</v>
      </c>
      <c r="W241" s="304">
        <f t="shared" ca="1" si="91"/>
        <v>12.243446993283779</v>
      </c>
      <c r="Y241" s="314" t="str">
        <f t="shared" ca="1" si="109"/>
        <v/>
      </c>
      <c r="Z241" s="315" t="str">
        <f t="shared" ca="1" si="110"/>
        <v/>
      </c>
      <c r="AA241" s="316" t="str">
        <f t="shared" ca="1" si="111"/>
        <v/>
      </c>
      <c r="AC241" s="310" t="e">
        <f t="shared" ca="1" si="112"/>
        <v>#N/A</v>
      </c>
      <c r="AD241" s="323" t="e">
        <f t="shared" ca="1" si="113"/>
        <v>#N/A</v>
      </c>
      <c r="AE241" s="324">
        <f t="shared" ca="1" si="92"/>
        <v>1239.5575967403024</v>
      </c>
      <c r="AG241" s="306">
        <f t="shared" ca="1" si="114"/>
        <v>-13.344004396846884</v>
      </c>
      <c r="AH241" s="304">
        <f t="shared" ca="1" si="115"/>
        <v>-4.3233407507467945</v>
      </c>
    </row>
    <row r="242" spans="1:34" x14ac:dyDescent="0.2">
      <c r="A242" s="347">
        <f t="shared" ca="1" si="93"/>
        <v>0.1</v>
      </c>
      <c r="B242" s="304">
        <f t="shared" ca="1" si="94"/>
        <v>10.399999999999944</v>
      </c>
      <c r="D242" s="306">
        <f t="shared" ca="1" si="95"/>
        <v>-1.6585236556034759</v>
      </c>
      <c r="E242" s="307">
        <f t="shared" ca="1" si="96"/>
        <v>-13.635646993388514</v>
      </c>
      <c r="F242" s="304">
        <f t="shared" ca="1" si="97"/>
        <v>13.736141002643411</v>
      </c>
      <c r="G242" s="306">
        <f t="shared" ca="1" si="98"/>
        <v>29.453926588971385</v>
      </c>
      <c r="H242" s="307">
        <f t="shared" ca="1" si="99"/>
        <v>66.959137795372072</v>
      </c>
      <c r="I242" s="304">
        <f t="shared" ca="1" si="100"/>
        <v>73.150939336471552</v>
      </c>
      <c r="J242" s="306">
        <f t="shared" ca="1" si="101"/>
        <v>345.47294435024565</v>
      </c>
      <c r="K242" s="307">
        <f t="shared" ca="1" si="102"/>
        <v>1246.3216887548065</v>
      </c>
      <c r="L242" s="304">
        <f t="shared" ca="1" si="87"/>
        <v>1293.3171719028014</v>
      </c>
      <c r="M242" s="306">
        <f t="shared" ca="1" si="103"/>
        <v>1.1563907304366541</v>
      </c>
      <c r="N242" s="304">
        <f t="shared" ca="1" si="104"/>
        <v>66.256308322070751</v>
      </c>
      <c r="P242" s="310">
        <f t="shared" ca="1" si="105"/>
        <v>23</v>
      </c>
      <c r="Q242" s="304">
        <f t="shared" ca="1" si="106"/>
        <v>0</v>
      </c>
      <c r="R242" s="306">
        <f t="shared" ca="1" si="107"/>
        <v>0</v>
      </c>
      <c r="S242" s="307">
        <f t="shared" ca="1" si="108"/>
        <v>2.9362999999999984</v>
      </c>
      <c r="T242" s="304">
        <f t="shared" ca="1" si="88"/>
        <v>28.805102999999985</v>
      </c>
      <c r="U242" s="311">
        <f t="shared" ca="1" si="89"/>
        <v>0</v>
      </c>
      <c r="V242" s="306">
        <f t="shared" ca="1" si="90"/>
        <v>1.0812815633604278</v>
      </c>
      <c r="W242" s="304">
        <f t="shared" ca="1" si="91"/>
        <v>11.806516378981705</v>
      </c>
      <c r="Y242" s="314" t="str">
        <f t="shared" ca="1" si="109"/>
        <v/>
      </c>
      <c r="Z242" s="315" t="str">
        <f t="shared" ca="1" si="110"/>
        <v/>
      </c>
      <c r="AA242" s="316" t="str">
        <f t="shared" ca="1" si="111"/>
        <v/>
      </c>
      <c r="AC242" s="310" t="e">
        <f t="shared" ca="1" si="112"/>
        <v>#N/A</v>
      </c>
      <c r="AD242" s="323" t="e">
        <f t="shared" ca="1" si="113"/>
        <v>#N/A</v>
      </c>
      <c r="AE242" s="324">
        <f t="shared" ca="1" si="92"/>
        <v>1246.3216887548065</v>
      </c>
      <c r="AG242" s="306">
        <f t="shared" ca="1" si="114"/>
        <v>-13.170267892645571</v>
      </c>
      <c r="AH242" s="304">
        <f t="shared" ca="1" si="115"/>
        <v>-4.1696853159703657</v>
      </c>
    </row>
    <row r="243" spans="1:34" x14ac:dyDescent="0.2">
      <c r="A243" s="347">
        <f t="shared" ca="1" si="93"/>
        <v>0.1</v>
      </c>
      <c r="B243" s="304">
        <f t="shared" ca="1" si="94"/>
        <v>10.499999999999943</v>
      </c>
      <c r="D243" s="306">
        <f t="shared" ca="1" si="95"/>
        <v>-1.6189917718951472</v>
      </c>
      <c r="E243" s="307">
        <f t="shared" ca="1" si="96"/>
        <v>-13.490537900997282</v>
      </c>
      <c r="F243" s="304">
        <f t="shared" ca="1" si="97"/>
        <v>13.58733775305922</v>
      </c>
      <c r="G243" s="306">
        <f t="shared" ca="1" si="98"/>
        <v>29.29202741178187</v>
      </c>
      <c r="H243" s="307">
        <f t="shared" ca="1" si="99"/>
        <v>65.610084005272341</v>
      </c>
      <c r="I243" s="304">
        <f t="shared" ca="1" si="100"/>
        <v>71.851972784826685</v>
      </c>
      <c r="J243" s="306">
        <f t="shared" ca="1" si="101"/>
        <v>348.41024205028333</v>
      </c>
      <c r="K243" s="307">
        <f t="shared" ca="1" si="102"/>
        <v>1252.9501498448387</v>
      </c>
      <c r="L243" s="304">
        <f t="shared" ca="1" si="87"/>
        <v>1300.489821091169</v>
      </c>
      <c r="M243" s="306">
        <f t="shared" ca="1" si="103"/>
        <v>1.1508933500217347</v>
      </c>
      <c r="N243" s="304">
        <f t="shared" ca="1" si="104"/>
        <v>65.941331625917982</v>
      </c>
      <c r="P243" s="310">
        <f t="shared" ca="1" si="105"/>
        <v>23</v>
      </c>
      <c r="Q243" s="304">
        <f t="shared" ca="1" si="106"/>
        <v>0</v>
      </c>
      <c r="R243" s="306">
        <f t="shared" ca="1" si="107"/>
        <v>0</v>
      </c>
      <c r="S243" s="307">
        <f t="shared" ca="1" si="108"/>
        <v>2.9362999999999984</v>
      </c>
      <c r="T243" s="304">
        <f t="shared" ca="1" si="88"/>
        <v>28.805102999999985</v>
      </c>
      <c r="U243" s="311">
        <f t="shared" ca="1" si="89"/>
        <v>0</v>
      </c>
      <c r="V243" s="306">
        <f t="shared" ca="1" si="90"/>
        <v>1.0805622703917996</v>
      </c>
      <c r="W243" s="304">
        <f t="shared" ca="1" si="91"/>
        <v>11.38335694523747</v>
      </c>
      <c r="Y243" s="314" t="str">
        <f t="shared" ca="1" si="109"/>
        <v/>
      </c>
      <c r="Z243" s="315" t="str">
        <f t="shared" ca="1" si="110"/>
        <v/>
      </c>
      <c r="AA243" s="316" t="str">
        <f t="shared" ca="1" si="111"/>
        <v/>
      </c>
      <c r="AC243" s="310" t="e">
        <f t="shared" ca="1" si="112"/>
        <v>#N/A</v>
      </c>
      <c r="AD243" s="323" t="e">
        <f t="shared" ca="1" si="113"/>
        <v>#N/A</v>
      </c>
      <c r="AE243" s="324">
        <f t="shared" ca="1" si="92"/>
        <v>1252.9501498448387</v>
      </c>
      <c r="AG243" s="306">
        <f t="shared" ca="1" si="114"/>
        <v>-13.000522750224832</v>
      </c>
      <c r="AH243" s="304">
        <f t="shared" ca="1" si="115"/>
        <v>-4.0208821915273338</v>
      </c>
    </row>
    <row r="244" spans="1:34" x14ac:dyDescent="0.2">
      <c r="A244" s="347">
        <f t="shared" ca="1" si="93"/>
        <v>0.1</v>
      </c>
      <c r="B244" s="304">
        <f t="shared" ca="1" si="94"/>
        <v>10.599999999999943</v>
      </c>
      <c r="D244" s="306">
        <f t="shared" ca="1" si="95"/>
        <v>-1.5804496483267942</v>
      </c>
      <c r="E244" s="307">
        <f t="shared" ca="1" si="96"/>
        <v>-13.349988295624648</v>
      </c>
      <c r="F244" s="304">
        <f t="shared" ca="1" si="97"/>
        <v>13.443214220721597</v>
      </c>
      <c r="G244" s="306">
        <f t="shared" ca="1" si="98"/>
        <v>29.13398244694919</v>
      </c>
      <c r="H244" s="307">
        <f t="shared" ca="1" si="99"/>
        <v>64.275085175709876</v>
      </c>
      <c r="I244" s="304">
        <f t="shared" ca="1" si="100"/>
        <v>70.569650045638625</v>
      </c>
      <c r="J244" s="306">
        <f t="shared" ca="1" si="101"/>
        <v>351.33154254321988</v>
      </c>
      <c r="K244" s="307">
        <f t="shared" ca="1" si="102"/>
        <v>1259.4444083038879</v>
      </c>
      <c r="L244" s="304">
        <f t="shared" ca="1" si="87"/>
        <v>1307.5297588941251</v>
      </c>
      <c r="M244" s="306">
        <f t="shared" ca="1" si="103"/>
        <v>1.1452262079087572</v>
      </c>
      <c r="N244" s="304">
        <f t="shared" ca="1" si="104"/>
        <v>65.616628300943532</v>
      </c>
      <c r="P244" s="310">
        <f t="shared" ca="1" si="105"/>
        <v>23</v>
      </c>
      <c r="Q244" s="304">
        <f t="shared" ca="1" si="106"/>
        <v>0</v>
      </c>
      <c r="R244" s="306">
        <f t="shared" ca="1" si="107"/>
        <v>0</v>
      </c>
      <c r="S244" s="307">
        <f t="shared" ca="1" si="108"/>
        <v>2.9362999999999984</v>
      </c>
      <c r="T244" s="304">
        <f t="shared" ca="1" si="88"/>
        <v>28.805102999999985</v>
      </c>
      <c r="U244" s="311">
        <f t="shared" ca="1" si="89"/>
        <v>0</v>
      </c>
      <c r="V244" s="306">
        <f t="shared" ca="1" si="90"/>
        <v>1.079857975538661</v>
      </c>
      <c r="W244" s="304">
        <f t="shared" ca="1" si="91"/>
        <v>10.973514177648283</v>
      </c>
      <c r="Y244" s="314" t="str">
        <f t="shared" ca="1" si="109"/>
        <v/>
      </c>
      <c r="Z244" s="315" t="str">
        <f t="shared" ca="1" si="110"/>
        <v/>
      </c>
      <c r="AA244" s="316" t="str">
        <f t="shared" ca="1" si="111"/>
        <v/>
      </c>
      <c r="AC244" s="310" t="e">
        <f t="shared" ca="1" si="112"/>
        <v>#N/A</v>
      </c>
      <c r="AD244" s="323" t="e">
        <f t="shared" ca="1" si="113"/>
        <v>#N/A</v>
      </c>
      <c r="AE244" s="324">
        <f t="shared" ca="1" si="92"/>
        <v>1259.4444083038879</v>
      </c>
      <c r="AG244" s="306">
        <f t="shared" ca="1" si="114"/>
        <v>-12.834559612283993</v>
      </c>
      <c r="AH244" s="304">
        <f t="shared" ca="1" si="115"/>
        <v>-3.8767690444564504</v>
      </c>
    </row>
    <row r="245" spans="1:34" x14ac:dyDescent="0.2">
      <c r="A245" s="347">
        <f t="shared" ca="1" si="93"/>
        <v>0.1</v>
      </c>
      <c r="B245" s="304">
        <f t="shared" ca="1" si="94"/>
        <v>10.699999999999942</v>
      </c>
      <c r="D245" s="306">
        <f t="shared" ca="1" si="95"/>
        <v>-1.5428623969214423</v>
      </c>
      <c r="E245" s="307">
        <f t="shared" ca="1" si="96"/>
        <v>-13.213846767502604</v>
      </c>
      <c r="F245" s="304">
        <f t="shared" ca="1" si="97"/>
        <v>13.303614951240627</v>
      </c>
      <c r="G245" s="306">
        <f t="shared" ca="1" si="98"/>
        <v>28.979696207257046</v>
      </c>
      <c r="H245" s="307">
        <f t="shared" ca="1" si="99"/>
        <v>62.953700498959613</v>
      </c>
      <c r="I245" s="304">
        <f t="shared" ca="1" si="100"/>
        <v>69.303616058454097</v>
      </c>
      <c r="J245" s="306">
        <f t="shared" ca="1" si="101"/>
        <v>354.23722647593019</v>
      </c>
      <c r="K245" s="307">
        <f t="shared" ca="1" si="102"/>
        <v>1265.8058475876214</v>
      </c>
      <c r="L245" s="304">
        <f t="shared" ca="1" si="87"/>
        <v>1314.4384566834524</v>
      </c>
      <c r="M245" s="306">
        <f t="shared" ca="1" si="103"/>
        <v>1.1393823792447533</v>
      </c>
      <c r="N245" s="304">
        <f t="shared" ca="1" si="104"/>
        <v>65.281801582298527</v>
      </c>
      <c r="P245" s="310">
        <f t="shared" ca="1" si="105"/>
        <v>23</v>
      </c>
      <c r="Q245" s="304">
        <f t="shared" ca="1" si="106"/>
        <v>0</v>
      </c>
      <c r="R245" s="306">
        <f t="shared" ca="1" si="107"/>
        <v>0</v>
      </c>
      <c r="S245" s="307">
        <f t="shared" ca="1" si="108"/>
        <v>2.9362999999999984</v>
      </c>
      <c r="T245" s="304">
        <f t="shared" ca="1" si="88"/>
        <v>28.805102999999985</v>
      </c>
      <c r="U245" s="311">
        <f t="shared" ca="1" si="89"/>
        <v>0</v>
      </c>
      <c r="V245" s="306">
        <f t="shared" ca="1" si="90"/>
        <v>1.0791685018279489</v>
      </c>
      <c r="W245" s="304">
        <f t="shared" ca="1" si="91"/>
        <v>10.576554534621941</v>
      </c>
      <c r="Y245" s="314" t="str">
        <f t="shared" ca="1" si="109"/>
        <v/>
      </c>
      <c r="Z245" s="315" t="str">
        <f t="shared" ca="1" si="110"/>
        <v/>
      </c>
      <c r="AA245" s="316" t="str">
        <f t="shared" ca="1" si="111"/>
        <v/>
      </c>
      <c r="AC245" s="310" t="e">
        <f t="shared" ca="1" si="112"/>
        <v>#N/A</v>
      </c>
      <c r="AD245" s="323" t="e">
        <f t="shared" ca="1" si="113"/>
        <v>#N/A</v>
      </c>
      <c r="AE245" s="324">
        <f t="shared" ca="1" si="92"/>
        <v>1265.8058475876214</v>
      </c>
      <c r="AG245" s="306">
        <f t="shared" ca="1" si="114"/>
        <v>-12.672173546158088</v>
      </c>
      <c r="AH245" s="304">
        <f t="shared" ca="1" si="115"/>
        <v>-3.7371910832163913</v>
      </c>
    </row>
    <row r="246" spans="1:34" x14ac:dyDescent="0.2">
      <c r="A246" s="347">
        <f t="shared" ca="1" si="93"/>
        <v>0.1</v>
      </c>
      <c r="B246" s="304">
        <f t="shared" ca="1" si="94"/>
        <v>10.799999999999942</v>
      </c>
      <c r="D246" s="306">
        <f t="shared" ca="1" si="95"/>
        <v>-1.506196801393032</v>
      </c>
      <c r="E246" s="307">
        <f t="shared" ca="1" si="96"/>
        <v>-13.081968817383361</v>
      </c>
      <c r="F246" s="304">
        <f t="shared" ca="1" si="97"/>
        <v>13.168391585289269</v>
      </c>
      <c r="G246" s="306">
        <f t="shared" ca="1" si="98"/>
        <v>28.829076527117742</v>
      </c>
      <c r="H246" s="307">
        <f t="shared" ca="1" si="99"/>
        <v>61.64550361722128</v>
      </c>
      <c r="I246" s="304">
        <f t="shared" ca="1" si="100"/>
        <v>68.053536055279693</v>
      </c>
      <c r="J246" s="306">
        <f t="shared" ca="1" si="101"/>
        <v>357.12766511264891</v>
      </c>
      <c r="K246" s="307">
        <f t="shared" ca="1" si="102"/>
        <v>1272.0358077934304</v>
      </c>
      <c r="L246" s="304">
        <f t="shared" ca="1" si="87"/>
        <v>1321.2173422633755</v>
      </c>
      <c r="M246" s="306">
        <f t="shared" ca="1" si="103"/>
        <v>1.1333545786864432</v>
      </c>
      <c r="N246" s="304">
        <f t="shared" ca="1" si="104"/>
        <v>64.936434050560763</v>
      </c>
      <c r="P246" s="310">
        <f t="shared" ca="1" si="105"/>
        <v>23</v>
      </c>
      <c r="Q246" s="304">
        <f t="shared" ca="1" si="106"/>
        <v>0</v>
      </c>
      <c r="R246" s="306">
        <f t="shared" ca="1" si="107"/>
        <v>0</v>
      </c>
      <c r="S246" s="307">
        <f t="shared" ca="1" si="108"/>
        <v>2.9362999999999984</v>
      </c>
      <c r="T246" s="304">
        <f t="shared" ca="1" si="88"/>
        <v>28.805102999999985</v>
      </c>
      <c r="U246" s="311">
        <f t="shared" ca="1" si="89"/>
        <v>0</v>
      </c>
      <c r="V246" s="306">
        <f t="shared" ca="1" si="90"/>
        <v>1.0784936779322216</v>
      </c>
      <c r="W246" s="304">
        <f t="shared" ca="1" si="91"/>
        <v>10.19206434967672</v>
      </c>
      <c r="Y246" s="314" t="str">
        <f t="shared" ca="1" si="109"/>
        <v/>
      </c>
      <c r="Z246" s="315" t="str">
        <f t="shared" ca="1" si="110"/>
        <v/>
      </c>
      <c r="AA246" s="316" t="str">
        <f t="shared" ca="1" si="111"/>
        <v/>
      </c>
      <c r="AC246" s="310" t="e">
        <f t="shared" ca="1" si="112"/>
        <v>#N/A</v>
      </c>
      <c r="AD246" s="323" t="e">
        <f t="shared" ca="1" si="113"/>
        <v>#N/A</v>
      </c>
      <c r="AE246" s="324">
        <f t="shared" ca="1" si="92"/>
        <v>1272.0358077934304</v>
      </c>
      <c r="AG246" s="306">
        <f t="shared" ca="1" si="114"/>
        <v>-12.513163409360166</v>
      </c>
      <c r="AH246" s="304">
        <f t="shared" ca="1" si="115"/>
        <v>-3.6020006588638585</v>
      </c>
    </row>
    <row r="247" spans="1:34" x14ac:dyDescent="0.2">
      <c r="A247" s="347">
        <f t="shared" ca="1" si="93"/>
        <v>0.1</v>
      </c>
      <c r="B247" s="304">
        <f t="shared" ca="1" si="94"/>
        <v>10.899999999999942</v>
      </c>
      <c r="D247" s="306">
        <f t="shared" ca="1" si="95"/>
        <v>-1.4704212381492274</v>
      </c>
      <c r="E247" s="307">
        <f t="shared" ca="1" si="96"/>
        <v>-12.954216488166146</v>
      </c>
      <c r="F247" s="304">
        <f t="shared" ca="1" si="97"/>
        <v>13.037402480550945</v>
      </c>
      <c r="G247" s="306">
        <f t="shared" ca="1" si="98"/>
        <v>28.682034403302819</v>
      </c>
      <c r="H247" s="307">
        <f t="shared" ca="1" si="99"/>
        <v>60.350081968404666</v>
      </c>
      <c r="I247" s="304">
        <f t="shared" ca="1" si="100"/>
        <v>66.819095258057843</v>
      </c>
      <c r="J247" s="306">
        <f t="shared" ca="1" si="101"/>
        <v>360.00322065916993</v>
      </c>
      <c r="K247" s="307">
        <f t="shared" ca="1" si="102"/>
        <v>1278.1355870727118</v>
      </c>
      <c r="L247" s="304">
        <f t="shared" ca="1" si="87"/>
        <v>1327.8678013366696</v>
      </c>
      <c r="M247" s="306">
        <f t="shared" ca="1" si="103"/>
        <v>1.1271351391329656</v>
      </c>
      <c r="N247" s="304">
        <f t="shared" ca="1" si="104"/>
        <v>64.58008641320977</v>
      </c>
      <c r="P247" s="310">
        <f t="shared" ca="1" si="105"/>
        <v>23</v>
      </c>
      <c r="Q247" s="304">
        <f t="shared" ca="1" si="106"/>
        <v>0</v>
      </c>
      <c r="R247" s="306">
        <f t="shared" ca="1" si="107"/>
        <v>0</v>
      </c>
      <c r="S247" s="307">
        <f t="shared" ca="1" si="108"/>
        <v>2.9362999999999984</v>
      </c>
      <c r="T247" s="304">
        <f t="shared" ca="1" si="88"/>
        <v>28.805102999999985</v>
      </c>
      <c r="U247" s="311">
        <f t="shared" ca="1" si="89"/>
        <v>0</v>
      </c>
      <c r="V247" s="306">
        <f t="shared" ca="1" si="90"/>
        <v>1.0778333379814249</v>
      </c>
      <c r="W247" s="304">
        <f t="shared" ca="1" si="91"/>
        <v>9.8196488019206072</v>
      </c>
      <c r="Y247" s="314" t="str">
        <f t="shared" ca="1" si="109"/>
        <v/>
      </c>
      <c r="Z247" s="315" t="str">
        <f t="shared" ca="1" si="110"/>
        <v/>
      </c>
      <c r="AA247" s="316" t="str">
        <f t="shared" ca="1" si="111"/>
        <v/>
      </c>
      <c r="AC247" s="310" t="e">
        <f t="shared" ca="1" si="112"/>
        <v>#N/A</v>
      </c>
      <c r="AD247" s="323" t="e">
        <f t="shared" ca="1" si="113"/>
        <v>#N/A</v>
      </c>
      <c r="AE247" s="324">
        <f t="shared" ca="1" si="92"/>
        <v>1278.1355870727118</v>
      </c>
      <c r="AG247" s="306">
        <f t="shared" ca="1" si="114"/>
        <v>-12.357331220792224</v>
      </c>
      <c r="AH247" s="304">
        <f t="shared" ca="1" si="115"/>
        <v>-3.4710568912157225</v>
      </c>
    </row>
    <row r="248" spans="1:34" x14ac:dyDescent="0.2">
      <c r="A248" s="347">
        <f t="shared" ca="1" si="93"/>
        <v>0.1</v>
      </c>
      <c r="B248" s="304">
        <f t="shared" ca="1" si="94"/>
        <v>10.999999999999941</v>
      </c>
      <c r="D248" s="306">
        <f t="shared" ca="1" si="95"/>
        <v>-1.4355056029933342</v>
      </c>
      <c r="E248" s="307">
        <f t="shared" ca="1" si="96"/>
        <v>-12.830458018723242</v>
      </c>
      <c r="F248" s="304">
        <f t="shared" ca="1" si="97"/>
        <v>12.910512356465361</v>
      </c>
      <c r="G248" s="306">
        <f t="shared" ca="1" si="98"/>
        <v>28.538483843003487</v>
      </c>
      <c r="H248" s="307">
        <f t="shared" ca="1" si="99"/>
        <v>59.06703616653234</v>
      </c>
      <c r="I248" s="304">
        <f t="shared" ca="1" si="100"/>
        <v>65.599998639907071</v>
      </c>
      <c r="J248" s="306">
        <f t="shared" ca="1" si="101"/>
        <v>362.86424657148524</v>
      </c>
      <c r="K248" s="307">
        <f t="shared" ca="1" si="102"/>
        <v>1284.1064429794587</v>
      </c>
      <c r="L248" s="304">
        <f t="shared" ca="1" si="87"/>
        <v>1334.3911789056647</v>
      </c>
      <c r="M248" s="306">
        <f t="shared" ca="1" si="103"/>
        <v>1.1207159891799114</v>
      </c>
      <c r="N248" s="304">
        <f t="shared" ca="1" si="104"/>
        <v>64.212296212838154</v>
      </c>
      <c r="P248" s="310">
        <f t="shared" ca="1" si="105"/>
        <v>23</v>
      </c>
      <c r="Q248" s="304">
        <f t="shared" ca="1" si="106"/>
        <v>0</v>
      </c>
      <c r="R248" s="306">
        <f t="shared" ca="1" si="107"/>
        <v>0</v>
      </c>
      <c r="S248" s="307">
        <f t="shared" ca="1" si="108"/>
        <v>2.9362999999999984</v>
      </c>
      <c r="T248" s="304">
        <f t="shared" ca="1" si="88"/>
        <v>28.805102999999985</v>
      </c>
      <c r="U248" s="311">
        <f t="shared" ca="1" si="89"/>
        <v>0</v>
      </c>
      <c r="V248" s="306">
        <f t="shared" ca="1" si="90"/>
        <v>1.0771873213833041</v>
      </c>
      <c r="W248" s="304">
        <f t="shared" ca="1" si="91"/>
        <v>9.4589309499375602</v>
      </c>
      <c r="Y248" s="314" t="str">
        <f t="shared" ca="1" si="109"/>
        <v/>
      </c>
      <c r="Z248" s="315" t="str">
        <f t="shared" ca="1" si="110"/>
        <v/>
      </c>
      <c r="AA248" s="316" t="str">
        <f t="shared" ca="1" si="111"/>
        <v/>
      </c>
      <c r="AC248" s="310">
        <f t="shared" ca="1" si="112"/>
        <v>10.999999999999941</v>
      </c>
      <c r="AD248" s="323">
        <f t="shared" ca="1" si="113"/>
        <v>362.86424657148524</v>
      </c>
      <c r="AE248" s="324">
        <f t="shared" ca="1" si="92"/>
        <v>1284.1064429794587</v>
      </c>
      <c r="AG248" s="306">
        <f t="shared" ca="1" si="114"/>
        <v>-12.204481534265755</v>
      </c>
      <c r="AH248" s="304">
        <f t="shared" ca="1" si="115"/>
        <v>-3.3442253182306345</v>
      </c>
    </row>
    <row r="249" spans="1:34" x14ac:dyDescent="0.2">
      <c r="A249" s="347">
        <f t="shared" ca="1" si="93"/>
        <v>0.1</v>
      </c>
      <c r="B249" s="304">
        <f t="shared" ca="1" si="94"/>
        <v>11.099999999999941</v>
      </c>
      <c r="D249" s="306">
        <f t="shared" ca="1" si="95"/>
        <v>-1.4014212431962452</v>
      </c>
      <c r="E249" s="307">
        <f t="shared" ca="1" si="96"/>
        <v>-12.710567518295587</v>
      </c>
      <c r="F249" s="304">
        <f t="shared" ca="1" si="97"/>
        <v>12.78759196010072</v>
      </c>
      <c r="G249" s="306">
        <f t="shared" ca="1" si="98"/>
        <v>28.398341718683863</v>
      </c>
      <c r="H249" s="307">
        <f t="shared" ca="1" si="99"/>
        <v>57.795979414702778</v>
      </c>
      <c r="I249" s="304">
        <f t="shared" ca="1" si="100"/>
        <v>64.395970750318583</v>
      </c>
      <c r="J249" s="306">
        <f t="shared" ca="1" si="101"/>
        <v>365.71108784956959</v>
      </c>
      <c r="K249" s="307">
        <f t="shared" ca="1" si="102"/>
        <v>1289.9495937585205</v>
      </c>
      <c r="L249" s="304">
        <f t="shared" ca="1" si="87"/>
        <v>1340.78878061158</v>
      </c>
      <c r="M249" s="306">
        <f t="shared" ca="1" si="103"/>
        <v>1.1140886292371439</v>
      </c>
      <c r="N249" s="304">
        <f t="shared" ca="1" si="104"/>
        <v>63.832576458803516</v>
      </c>
      <c r="P249" s="310">
        <f t="shared" ca="1" si="105"/>
        <v>23</v>
      </c>
      <c r="Q249" s="304">
        <f t="shared" ca="1" si="106"/>
        <v>0</v>
      </c>
      <c r="R249" s="306">
        <f t="shared" ca="1" si="107"/>
        <v>0</v>
      </c>
      <c r="S249" s="307">
        <f t="shared" ca="1" si="108"/>
        <v>2.9362999999999984</v>
      </c>
      <c r="T249" s="304">
        <f t="shared" ca="1" si="88"/>
        <v>28.805102999999985</v>
      </c>
      <c r="U249" s="311">
        <f t="shared" ca="1" si="89"/>
        <v>0</v>
      </c>
      <c r="V249" s="306">
        <f t="shared" ca="1" si="90"/>
        <v>1.0765554726519933</v>
      </c>
      <c r="W249" s="304">
        <f t="shared" ca="1" si="91"/>
        <v>9.1095508246814294</v>
      </c>
      <c r="Y249" s="314" t="str">
        <f t="shared" ca="1" si="109"/>
        <v/>
      </c>
      <c r="Z249" s="315" t="str">
        <f t="shared" ca="1" si="110"/>
        <v/>
      </c>
      <c r="AA249" s="316" t="str">
        <f t="shared" ca="1" si="111"/>
        <v/>
      </c>
      <c r="AC249" s="310" t="e">
        <f t="shared" ca="1" si="112"/>
        <v>#N/A</v>
      </c>
      <c r="AD249" s="323" t="e">
        <f t="shared" ca="1" si="113"/>
        <v>#N/A</v>
      </c>
      <c r="AE249" s="324">
        <f t="shared" ca="1" si="92"/>
        <v>1289.9495937585205</v>
      </c>
      <c r="AG249" s="306">
        <f t="shared" ca="1" si="114"/>
        <v>-12.054420811000714</v>
      </c>
      <c r="AH249" s="304">
        <f t="shared" ca="1" si="115"/>
        <v>-3.2213775669848332</v>
      </c>
    </row>
    <row r="250" spans="1:34" x14ac:dyDescent="0.2">
      <c r="A250" s="347">
        <f t="shared" ca="1" si="93"/>
        <v>0.1</v>
      </c>
      <c r="B250" s="304">
        <f t="shared" ca="1" si="94"/>
        <v>11.199999999999941</v>
      </c>
      <c r="D250" s="306">
        <f t="shared" ca="1" si="95"/>
        <v>-1.3681408946410716</v>
      </c>
      <c r="E250" s="307">
        <f t="shared" ca="1" si="96"/>
        <v>-12.594424659946416</v>
      </c>
      <c r="F250" s="304">
        <f t="shared" ca="1" si="97"/>
        <v>12.668517751602026</v>
      </c>
      <c r="G250" s="306">
        <f t="shared" ca="1" si="98"/>
        <v>28.261527629219756</v>
      </c>
      <c r="H250" s="307">
        <f t="shared" ca="1" si="99"/>
        <v>56.53653694870814</v>
      </c>
      <c r="I250" s="304">
        <f t="shared" ca="1" si="100"/>
        <v>63.206755604838577</v>
      </c>
      <c r="J250" s="306">
        <f t="shared" ca="1" si="101"/>
        <v>368.54408131696476</v>
      </c>
      <c r="K250" s="307">
        <f t="shared" ca="1" si="102"/>
        <v>1295.666219576691</v>
      </c>
      <c r="L250" s="304">
        <f t="shared" ca="1" si="87"/>
        <v>1347.0618740154141</v>
      </c>
      <c r="M250" s="306">
        <f t="shared" ca="1" si="103"/>
        <v>1.1072441062558127</v>
      </c>
      <c r="N250" s="304">
        <f t="shared" ca="1" si="104"/>
        <v>63.440414179192942</v>
      </c>
      <c r="P250" s="310">
        <f t="shared" ca="1" si="105"/>
        <v>23</v>
      </c>
      <c r="Q250" s="304">
        <f t="shared" ca="1" si="106"/>
        <v>0</v>
      </c>
      <c r="R250" s="306">
        <f t="shared" ca="1" si="107"/>
        <v>0</v>
      </c>
      <c r="S250" s="307">
        <f t="shared" ca="1" si="108"/>
        <v>2.9362999999999984</v>
      </c>
      <c r="T250" s="304">
        <f t="shared" ca="1" si="88"/>
        <v>28.805102999999985</v>
      </c>
      <c r="U250" s="311">
        <f t="shared" ca="1" si="89"/>
        <v>0</v>
      </c>
      <c r="V250" s="306">
        <f t="shared" ca="1" si="90"/>
        <v>1.0759376412443606</v>
      </c>
      <c r="W250" s="304">
        <f t="shared" ca="1" si="91"/>
        <v>8.7711645773192348</v>
      </c>
      <c r="Y250" s="314" t="str">
        <f t="shared" ca="1" si="109"/>
        <v/>
      </c>
      <c r="Z250" s="315" t="str">
        <f t="shared" ca="1" si="110"/>
        <v/>
      </c>
      <c r="AA250" s="316" t="str">
        <f t="shared" ca="1" si="111"/>
        <v/>
      </c>
      <c r="AC250" s="310" t="e">
        <f t="shared" ca="1" si="112"/>
        <v>#N/A</v>
      </c>
      <c r="AD250" s="323" t="e">
        <f t="shared" ca="1" si="113"/>
        <v>#N/A</v>
      </c>
      <c r="AE250" s="324">
        <f t="shared" ca="1" si="92"/>
        <v>1295.666219576691</v>
      </c>
      <c r="AG250" s="306">
        <f t="shared" ca="1" si="114"/>
        <v>-11.906956787786566</v>
      </c>
      <c r="AH250" s="304">
        <f t="shared" ca="1" si="115"/>
        <v>-3.1023910447438729</v>
      </c>
    </row>
    <row r="251" spans="1:34" x14ac:dyDescent="0.2">
      <c r="A251" s="347">
        <f t="shared" ca="1" si="93"/>
        <v>0.1</v>
      </c>
      <c r="B251" s="304">
        <f t="shared" ca="1" si="94"/>
        <v>11.29999999999994</v>
      </c>
      <c r="D251" s="306">
        <f t="shared" ca="1" si="95"/>
        <v>-1.3356386237726803</v>
      </c>
      <c r="E251" s="307">
        <f t="shared" ca="1" si="96"/>
        <v>-12.481914391668381</v>
      </c>
      <c r="F251" s="304">
        <f t="shared" ca="1" si="97"/>
        <v>12.553171607775129</v>
      </c>
      <c r="G251" s="306">
        <f t="shared" ca="1" si="98"/>
        <v>28.127963766842488</v>
      </c>
      <c r="H251" s="307">
        <f t="shared" ca="1" si="99"/>
        <v>55.288345509541301</v>
      </c>
      <c r="I251" s="304">
        <f t="shared" ca="1" si="100"/>
        <v>62.032116640102004</v>
      </c>
      <c r="J251" s="306">
        <f t="shared" ca="1" si="101"/>
        <v>371.36355588676787</v>
      </c>
      <c r="K251" s="307">
        <f t="shared" ca="1" si="102"/>
        <v>1301.2574636996035</v>
      </c>
      <c r="L251" s="304">
        <f t="shared" ca="1" si="87"/>
        <v>1353.2116898234324</v>
      </c>
      <c r="M251" s="306">
        <f t="shared" ca="1" si="103"/>
        <v>1.1001729870146064</v>
      </c>
      <c r="N251" s="304">
        <f t="shared" ca="1" si="104"/>
        <v>63.035268890238072</v>
      </c>
      <c r="P251" s="310">
        <f t="shared" ca="1" si="105"/>
        <v>23</v>
      </c>
      <c r="Q251" s="304">
        <f t="shared" ca="1" si="106"/>
        <v>0</v>
      </c>
      <c r="R251" s="306">
        <f t="shared" ca="1" si="107"/>
        <v>0</v>
      </c>
      <c r="S251" s="307">
        <f t="shared" ca="1" si="108"/>
        <v>2.9362999999999984</v>
      </c>
      <c r="T251" s="304">
        <f t="shared" ca="1" si="88"/>
        <v>28.805102999999985</v>
      </c>
      <c r="U251" s="311">
        <f t="shared" ca="1" si="89"/>
        <v>0</v>
      </c>
      <c r="V251" s="306">
        <f t="shared" ca="1" si="90"/>
        <v>1.0753336814036929</v>
      </c>
      <c r="W251" s="304">
        <f t="shared" ca="1" si="91"/>
        <v>8.4434436782766191</v>
      </c>
      <c r="Y251" s="314" t="str">
        <f t="shared" ca="1" si="109"/>
        <v/>
      </c>
      <c r="Z251" s="315" t="str">
        <f t="shared" ca="1" si="110"/>
        <v/>
      </c>
      <c r="AA251" s="316" t="str">
        <f t="shared" ca="1" si="111"/>
        <v/>
      </c>
      <c r="AC251" s="310" t="e">
        <f t="shared" ca="1" si="112"/>
        <v>#N/A</v>
      </c>
      <c r="AD251" s="323" t="e">
        <f t="shared" ca="1" si="113"/>
        <v>#N/A</v>
      </c>
      <c r="AE251" s="324">
        <f t="shared" ca="1" si="92"/>
        <v>1301.2574636996035</v>
      </c>
      <c r="AG251" s="306">
        <f t="shared" ca="1" si="114"/>
        <v>-11.761897837494212</v>
      </c>
      <c r="AH251" s="304">
        <f t="shared" ca="1" si="115"/>
        <v>-2.9871486487481658</v>
      </c>
    </row>
    <row r="252" spans="1:34" x14ac:dyDescent="0.2">
      <c r="A252" s="347">
        <f t="shared" ca="1" si="93"/>
        <v>0.1</v>
      </c>
      <c r="B252" s="304">
        <f t="shared" ca="1" si="94"/>
        <v>11.39999999999994</v>
      </c>
      <c r="D252" s="306">
        <f t="shared" ca="1" si="95"/>
        <v>-1.303889774111703</v>
      </c>
      <c r="E252" s="307">
        <f t="shared" ca="1" si="96"/>
        <v>-12.37292666383572</v>
      </c>
      <c r="F252" s="304">
        <f t="shared" ca="1" si="97"/>
        <v>12.441440542464926</v>
      </c>
      <c r="G252" s="306">
        <f t="shared" ca="1" si="98"/>
        <v>27.997574789431319</v>
      </c>
      <c r="H252" s="307">
        <f t="shared" ca="1" si="99"/>
        <v>54.051052843157727</v>
      </c>
      <c r="I252" s="304">
        <f t="shared" ca="1" si="100"/>
        <v>60.871836735420011</v>
      </c>
      <c r="J252" s="306">
        <f t="shared" ca="1" si="101"/>
        <v>374.16983281458158</v>
      </c>
      <c r="K252" s="307">
        <f t="shared" ca="1" si="102"/>
        <v>1306.7244336172384</v>
      </c>
      <c r="L252" s="304">
        <f t="shared" ca="1" si="87"/>
        <v>1359.2394230601114</v>
      </c>
      <c r="M252" s="306">
        <f t="shared" ca="1" si="103"/>
        <v>1.0928653299220299</v>
      </c>
      <c r="N252" s="304">
        <f t="shared" ca="1" si="104"/>
        <v>62.616570980704594</v>
      </c>
      <c r="P252" s="310">
        <f t="shared" ca="1" si="105"/>
        <v>23</v>
      </c>
      <c r="Q252" s="304">
        <f t="shared" ca="1" si="106"/>
        <v>0</v>
      </c>
      <c r="R252" s="306">
        <f t="shared" ca="1" si="107"/>
        <v>0</v>
      </c>
      <c r="S252" s="307">
        <f t="shared" ca="1" si="108"/>
        <v>2.9362999999999984</v>
      </c>
      <c r="T252" s="304">
        <f t="shared" ca="1" si="88"/>
        <v>28.805102999999985</v>
      </c>
      <c r="U252" s="311">
        <f t="shared" ca="1" si="89"/>
        <v>0</v>
      </c>
      <c r="V252" s="306">
        <f t="shared" ca="1" si="90"/>
        <v>1.0747434520103418</v>
      </c>
      <c r="W252" s="304">
        <f t="shared" ca="1" si="91"/>
        <v>8.1260741640234428</v>
      </c>
      <c r="Y252" s="314" t="str">
        <f t="shared" ca="1" si="109"/>
        <v/>
      </c>
      <c r="Z252" s="315" t="str">
        <f t="shared" ca="1" si="110"/>
        <v/>
      </c>
      <c r="AA252" s="316" t="str">
        <f t="shared" ca="1" si="111"/>
        <v/>
      </c>
      <c r="AC252" s="310" t="e">
        <f t="shared" ca="1" si="112"/>
        <v>#N/A</v>
      </c>
      <c r="AD252" s="323" t="e">
        <f t="shared" ca="1" si="113"/>
        <v>#N/A</v>
      </c>
      <c r="AE252" s="324">
        <f t="shared" ca="1" si="92"/>
        <v>1306.7244336172384</v>
      </c>
      <c r="AG252" s="306">
        <f t="shared" ca="1" si="114"/>
        <v>-11.619052318627292</v>
      </c>
      <c r="AH252" s="304">
        <f t="shared" ca="1" si="115"/>
        <v>-2.8755384934361694</v>
      </c>
    </row>
    <row r="253" spans="1:34" x14ac:dyDescent="0.2">
      <c r="A253" s="347">
        <f t="shared" ca="1" si="93"/>
        <v>0.1</v>
      </c>
      <c r="B253" s="304">
        <f t="shared" ca="1" si="94"/>
        <v>11.49999999999994</v>
      </c>
      <c r="D253" s="306">
        <f t="shared" ca="1" si="95"/>
        <v>-1.2728709171181973</v>
      </c>
      <c r="E253" s="307">
        <f t="shared" ca="1" si="96"/>
        <v>-12.267356171779756</v>
      </c>
      <c r="F253" s="304">
        <f t="shared" ca="1" si="97"/>
        <v>12.333216442475507</v>
      </c>
      <c r="G253" s="306">
        <f t="shared" ca="1" si="98"/>
        <v>27.870287697719498</v>
      </c>
      <c r="H253" s="307">
        <f t="shared" ca="1" si="99"/>
        <v>52.824317225979755</v>
      </c>
      <c r="I253" s="304">
        <f t="shared" ca="1" si="100"/>
        <v>59.725718302458247</v>
      </c>
      <c r="J253" s="306">
        <f t="shared" ca="1" si="101"/>
        <v>376.9632259389391</v>
      </c>
      <c r="K253" s="307">
        <f t="shared" ca="1" si="102"/>
        <v>1312.0682021206953</v>
      </c>
      <c r="L253" s="304">
        <f t="shared" ca="1" si="87"/>
        <v>1365.1462341912406</v>
      </c>
      <c r="M253" s="306">
        <f t="shared" ca="1" si="103"/>
        <v>1.0853106553008645</v>
      </c>
      <c r="N253" s="304">
        <f t="shared" ca="1" si="104"/>
        <v>62.18372000931722</v>
      </c>
      <c r="P253" s="310">
        <f t="shared" ca="1" si="105"/>
        <v>23</v>
      </c>
      <c r="Q253" s="304">
        <f t="shared" ca="1" si="106"/>
        <v>0</v>
      </c>
      <c r="R253" s="306">
        <f t="shared" ca="1" si="107"/>
        <v>0</v>
      </c>
      <c r="S253" s="307">
        <f t="shared" ca="1" si="108"/>
        <v>2.9362999999999984</v>
      </c>
      <c r="T253" s="304">
        <f t="shared" ca="1" si="88"/>
        <v>28.805102999999985</v>
      </c>
      <c r="U253" s="311">
        <f t="shared" ca="1" si="89"/>
        <v>0</v>
      </c>
      <c r="V253" s="306">
        <f t="shared" ca="1" si="90"/>
        <v>1.0741668164389682</v>
      </c>
      <c r="W253" s="304">
        <f t="shared" ca="1" si="91"/>
        <v>7.8187559283978123</v>
      </c>
      <c r="Y253" s="314" t="str">
        <f t="shared" ca="1" si="109"/>
        <v/>
      </c>
      <c r="Z253" s="315" t="str">
        <f t="shared" ca="1" si="110"/>
        <v/>
      </c>
      <c r="AA253" s="316" t="str">
        <f t="shared" ca="1" si="111"/>
        <v/>
      </c>
      <c r="AC253" s="310" t="e">
        <f t="shared" ca="1" si="112"/>
        <v>#N/A</v>
      </c>
      <c r="AD253" s="323" t="e">
        <f t="shared" ca="1" si="113"/>
        <v>#N/A</v>
      </c>
      <c r="AE253" s="324">
        <f t="shared" ca="1" si="92"/>
        <v>1312.0682021206953</v>
      </c>
      <c r="AG253" s="306">
        <f t="shared" ca="1" si="114"/>
        <v>-11.478227910600477</v>
      </c>
      <c r="AH253" s="304">
        <f t="shared" ca="1" si="115"/>
        <v>-2.7674536539261818</v>
      </c>
    </row>
    <row r="254" spans="1:34" x14ac:dyDescent="0.2">
      <c r="A254" s="347">
        <f t="shared" ca="1" si="93"/>
        <v>0.1</v>
      </c>
      <c r="B254" s="304">
        <f t="shared" ca="1" si="94"/>
        <v>11.599999999999939</v>
      </c>
      <c r="D254" s="306">
        <f t="shared" ca="1" si="95"/>
        <v>-1.2425598072139217</v>
      </c>
      <c r="E254" s="307">
        <f t="shared" ca="1" si="96"/>
        <v>-12.165102112343508</v>
      </c>
      <c r="F254" s="304">
        <f t="shared" ca="1" si="97"/>
        <v>12.228395817859674</v>
      </c>
      <c r="G254" s="306">
        <f t="shared" ca="1" si="98"/>
        <v>27.746031716998104</v>
      </c>
      <c r="H254" s="307">
        <f t="shared" ca="1" si="99"/>
        <v>51.607807014745404</v>
      </c>
      <c r="I254" s="304">
        <f t="shared" ca="1" si="100"/>
        <v>58.5935834448779</v>
      </c>
      <c r="J254" s="306">
        <f t="shared" ca="1" si="101"/>
        <v>379.74404190967499</v>
      </c>
      <c r="K254" s="307">
        <f t="shared" ca="1" si="102"/>
        <v>1317.2898083327316</v>
      </c>
      <c r="L254" s="304">
        <f t="shared" ca="1" si="87"/>
        <v>1370.9332501997251</v>
      </c>
      <c r="M254" s="306">
        <f t="shared" ca="1" si="103"/>
        <v>1.0774979141335943</v>
      </c>
      <c r="N254" s="304">
        <f t="shared" ca="1" si="104"/>
        <v>61.736082914004527</v>
      </c>
      <c r="P254" s="310">
        <f t="shared" ca="1" si="105"/>
        <v>23</v>
      </c>
      <c r="Q254" s="304">
        <f t="shared" ca="1" si="106"/>
        <v>0</v>
      </c>
      <c r="R254" s="306">
        <f t="shared" ca="1" si="107"/>
        <v>0</v>
      </c>
      <c r="S254" s="307">
        <f t="shared" ca="1" si="108"/>
        <v>2.9362999999999984</v>
      </c>
      <c r="T254" s="304">
        <f t="shared" ca="1" si="88"/>
        <v>28.805102999999985</v>
      </c>
      <c r="U254" s="311">
        <f t="shared" ca="1" si="89"/>
        <v>0</v>
      </c>
      <c r="V254" s="306">
        <f t="shared" ca="1" si="90"/>
        <v>1.0736036424220474</v>
      </c>
      <c r="W254" s="304">
        <f t="shared" ca="1" si="91"/>
        <v>7.5212020555058743</v>
      </c>
      <c r="Y254" s="314" t="str">
        <f t="shared" ca="1" si="109"/>
        <v/>
      </c>
      <c r="Z254" s="315" t="str">
        <f t="shared" ca="1" si="110"/>
        <v/>
      </c>
      <c r="AA254" s="316" t="str">
        <f t="shared" ca="1" si="111"/>
        <v/>
      </c>
      <c r="AC254" s="310" t="e">
        <f t="shared" ca="1" si="112"/>
        <v>#N/A</v>
      </c>
      <c r="AD254" s="323" t="e">
        <f t="shared" ca="1" si="113"/>
        <v>#N/A</v>
      </c>
      <c r="AE254" s="324">
        <f t="shared" ca="1" si="92"/>
        <v>1317.2898083327316</v>
      </c>
      <c r="AG254" s="306">
        <f t="shared" ca="1" si="114"/>
        <v>-11.339230931437289</v>
      </c>
      <c r="AH254" s="304">
        <f t="shared" ca="1" si="115"/>
        <v>-2.6627919246663545</v>
      </c>
    </row>
    <row r="255" spans="1:34" x14ac:dyDescent="0.2">
      <c r="A255" s="347">
        <f t="shared" ca="1" si="93"/>
        <v>0.1</v>
      </c>
      <c r="B255" s="304">
        <f t="shared" ca="1" si="94"/>
        <v>11.699999999999939</v>
      </c>
      <c r="D255" s="306">
        <f t="shared" ca="1" si="95"/>
        <v>-1.2129353407944756</v>
      </c>
      <c r="E255" s="307">
        <f t="shared" ca="1" si="96"/>
        <v>-12.066067953340401</v>
      </c>
      <c r="F255" s="304">
        <f t="shared" ca="1" si="97"/>
        <v>12.126879565476703</v>
      </c>
      <c r="G255" s="306">
        <f t="shared" ca="1" si="98"/>
        <v>27.624738182918655</v>
      </c>
      <c r="H255" s="307">
        <f t="shared" ca="1" si="99"/>
        <v>50.401200219411365</v>
      </c>
      <c r="I255" s="304">
        <f t="shared" ca="1" si="100"/>
        <v>57.475274190141938</v>
      </c>
      <c r="J255" s="306">
        <f t="shared" ca="1" si="101"/>
        <v>382.51258040467081</v>
      </c>
      <c r="K255" s="307">
        <f t="shared" ca="1" si="102"/>
        <v>1322.3902586944394</v>
      </c>
      <c r="L255" s="304">
        <f t="shared" ca="1" si="87"/>
        <v>1376.6015656164952</v>
      </c>
      <c r="M255" s="306">
        <f t="shared" ca="1" si="103"/>
        <v>1.0694154552641753</v>
      </c>
      <c r="N255" s="304">
        <f t="shared" ca="1" si="104"/>
        <v>61.272992132698739</v>
      </c>
      <c r="P255" s="310">
        <f t="shared" ca="1" si="105"/>
        <v>23</v>
      </c>
      <c r="Q255" s="304">
        <f t="shared" ca="1" si="106"/>
        <v>0</v>
      </c>
      <c r="R255" s="306">
        <f t="shared" ca="1" si="107"/>
        <v>0</v>
      </c>
      <c r="S255" s="307">
        <f t="shared" ca="1" si="108"/>
        <v>2.9362999999999984</v>
      </c>
      <c r="T255" s="304">
        <f t="shared" ca="1" si="88"/>
        <v>28.805102999999985</v>
      </c>
      <c r="U255" s="311">
        <f t="shared" ca="1" si="89"/>
        <v>0</v>
      </c>
      <c r="V255" s="306">
        <f t="shared" ca="1" si="90"/>
        <v>1.0730538019193094</v>
      </c>
      <c r="W255" s="304">
        <f t="shared" ca="1" si="91"/>
        <v>7.2331381914531692</v>
      </c>
      <c r="Y255" s="314" t="str">
        <f t="shared" ca="1" si="109"/>
        <v/>
      </c>
      <c r="Z255" s="315" t="str">
        <f t="shared" ca="1" si="110"/>
        <v/>
      </c>
      <c r="AA255" s="316" t="str">
        <f t="shared" ca="1" si="111"/>
        <v/>
      </c>
      <c r="AC255" s="310" t="e">
        <f t="shared" ca="1" si="112"/>
        <v>#N/A</v>
      </c>
      <c r="AD255" s="323" t="e">
        <f t="shared" ca="1" si="113"/>
        <v>#N/A</v>
      </c>
      <c r="AE255" s="324">
        <f t="shared" ca="1" si="92"/>
        <v>1322.3902586944394</v>
      </c>
      <c r="AG255" s="306">
        <f t="shared" ca="1" si="114"/>
        <v>-11.20186563459832</v>
      </c>
      <c r="AH255" s="304">
        <f t="shared" ca="1" si="115"/>
        <v>-2.5614555922439393</v>
      </c>
    </row>
    <row r="256" spans="1:34" x14ac:dyDescent="0.2">
      <c r="A256" s="347">
        <f t="shared" ca="1" si="93"/>
        <v>0.1</v>
      </c>
      <c r="B256" s="304">
        <f t="shared" ca="1" si="94"/>
        <v>11.799999999999939</v>
      </c>
      <c r="D256" s="306">
        <f t="shared" ca="1" si="95"/>
        <v>-1.1839775190833239</v>
      </c>
      <c r="E256" s="307">
        <f t="shared" ca="1" si="96"/>
        <v>-11.970161214903351</v>
      </c>
      <c r="F256" s="304">
        <f t="shared" ca="1" si="97"/>
        <v>12.028572744780288</v>
      </c>
      <c r="G256" s="306">
        <f t="shared" ca="1" si="98"/>
        <v>27.506340431010322</v>
      </c>
      <c r="H256" s="307">
        <f t="shared" ca="1" si="99"/>
        <v>49.204184097921029</v>
      </c>
      <c r="I256" s="304">
        <f t="shared" ca="1" si="100"/>
        <v>56.3706527960138</v>
      </c>
      <c r="J256" s="306">
        <f t="shared" ca="1" si="101"/>
        <v>385.26913433536726</v>
      </c>
      <c r="K256" s="307">
        <f t="shared" ca="1" si="102"/>
        <v>1327.370527910306</v>
      </c>
      <c r="L256" s="304">
        <f t="shared" ca="1" si="87"/>
        <v>1382.1522435087995</v>
      </c>
      <c r="M256" s="306">
        <f t="shared" ca="1" si="103"/>
        <v>1.0610509910729815</v>
      </c>
      <c r="N256" s="304">
        <f t="shared" ca="1" si="104"/>
        <v>60.79374363665503</v>
      </c>
      <c r="P256" s="310">
        <f t="shared" ca="1" si="105"/>
        <v>23</v>
      </c>
      <c r="Q256" s="304">
        <f t="shared" ca="1" si="106"/>
        <v>0</v>
      </c>
      <c r="R256" s="306">
        <f t="shared" ca="1" si="107"/>
        <v>0</v>
      </c>
      <c r="S256" s="307">
        <f t="shared" ca="1" si="108"/>
        <v>2.9362999999999984</v>
      </c>
      <c r="T256" s="304">
        <f t="shared" ca="1" si="88"/>
        <v>28.805102999999985</v>
      </c>
      <c r="U256" s="311">
        <f t="shared" ca="1" si="89"/>
        <v>0</v>
      </c>
      <c r="V256" s="306">
        <f t="shared" ca="1" si="90"/>
        <v>1.0725171709928141</v>
      </c>
      <c r="W256" s="304">
        <f t="shared" ca="1" si="91"/>
        <v>6.9543019523639753</v>
      </c>
      <c r="Y256" s="314" t="str">
        <f t="shared" ca="1" si="109"/>
        <v/>
      </c>
      <c r="Z256" s="315" t="str">
        <f t="shared" ca="1" si="110"/>
        <v/>
      </c>
      <c r="AA256" s="316" t="str">
        <f t="shared" ca="1" si="111"/>
        <v/>
      </c>
      <c r="AC256" s="310" t="e">
        <f t="shared" ca="1" si="112"/>
        <v>#N/A</v>
      </c>
      <c r="AD256" s="323" t="e">
        <f t="shared" ca="1" si="113"/>
        <v>#N/A</v>
      </c>
      <c r="AE256" s="324">
        <f t="shared" ca="1" si="92"/>
        <v>1327.370527910306</v>
      </c>
      <c r="AG256" s="306">
        <f t="shared" ca="1" si="114"/>
        <v>-11.065933481691911</v>
      </c>
      <c r="AH256" s="304">
        <f t="shared" ca="1" si="115"/>
        <v>-2.4633512214191917</v>
      </c>
    </row>
    <row r="257" spans="1:34" x14ac:dyDescent="0.2">
      <c r="A257" s="347">
        <f t="shared" ca="1" si="93"/>
        <v>0.1</v>
      </c>
      <c r="B257" s="304">
        <f t="shared" ca="1" si="94"/>
        <v>11.899999999999938</v>
      </c>
      <c r="D257" s="306">
        <f t="shared" ca="1" si="95"/>
        <v>-1.155667414699137</v>
      </c>
      <c r="E257" s="307">
        <f t="shared" ca="1" si="96"/>
        <v>-11.877293261764381</v>
      </c>
      <c r="F257" s="304">
        <f t="shared" ca="1" si="97"/>
        <v>11.933384364854378</v>
      </c>
      <c r="G257" s="306">
        <f t="shared" ca="1" si="98"/>
        <v>27.39077368954041</v>
      </c>
      <c r="H257" s="307">
        <f t="shared" ca="1" si="99"/>
        <v>48.016454771744591</v>
      </c>
      <c r="I257" s="304">
        <f t="shared" ca="1" si="100"/>
        <v>55.279602134590419</v>
      </c>
      <c r="J257" s="306">
        <f t="shared" ca="1" si="101"/>
        <v>388.01399004139478</v>
      </c>
      <c r="K257" s="307">
        <f t="shared" ca="1" si="102"/>
        <v>1332.2315598537893</v>
      </c>
      <c r="L257" s="304">
        <f t="shared" ca="1" si="87"/>
        <v>1387.5863164280283</v>
      </c>
      <c r="M257" s="306">
        <f t="shared" ca="1" si="103"/>
        <v>1.0523915616691555</v>
      </c>
      <c r="N257" s="304">
        <f t="shared" ca="1" si="104"/>
        <v>60.297594878824313</v>
      </c>
      <c r="P257" s="310">
        <f t="shared" ca="1" si="105"/>
        <v>23</v>
      </c>
      <c r="Q257" s="304">
        <f t="shared" ca="1" si="106"/>
        <v>0</v>
      </c>
      <c r="R257" s="306">
        <f t="shared" ca="1" si="107"/>
        <v>0</v>
      </c>
      <c r="S257" s="307">
        <f t="shared" ca="1" si="108"/>
        <v>2.9362999999999984</v>
      </c>
      <c r="T257" s="304">
        <f t="shared" ca="1" si="88"/>
        <v>28.805102999999985</v>
      </c>
      <c r="U257" s="311">
        <f t="shared" ca="1" si="89"/>
        <v>0</v>
      </c>
      <c r="V257" s="306">
        <f t="shared" ca="1" si="90"/>
        <v>1.0719936296873691</v>
      </c>
      <c r="W257" s="304">
        <f t="shared" ca="1" si="91"/>
        <v>6.6844423663288532</v>
      </c>
      <c r="Y257" s="314" t="str">
        <f t="shared" ca="1" si="109"/>
        <v/>
      </c>
      <c r="Z257" s="315" t="str">
        <f t="shared" ca="1" si="110"/>
        <v/>
      </c>
      <c r="AA257" s="316" t="str">
        <f t="shared" ca="1" si="111"/>
        <v/>
      </c>
      <c r="AC257" s="310" t="e">
        <f t="shared" ca="1" si="112"/>
        <v>#N/A</v>
      </c>
      <c r="AD257" s="323" t="e">
        <f t="shared" ca="1" si="113"/>
        <v>#N/A</v>
      </c>
      <c r="AE257" s="324">
        <f t="shared" ca="1" si="92"/>
        <v>1332.2315598537893</v>
      </c>
      <c r="AG257" s="306">
        <f t="shared" ca="1" si="114"/>
        <v>-10.931232387895385</v>
      </c>
      <c r="AH257" s="304">
        <f t="shared" ca="1" si="115"/>
        <v>-2.3683894535176853</v>
      </c>
    </row>
    <row r="258" spans="1:34" x14ac:dyDescent="0.2">
      <c r="A258" s="347">
        <f t="shared" ca="1" si="93"/>
        <v>0.1</v>
      </c>
      <c r="B258" s="304">
        <f t="shared" ca="1" si="94"/>
        <v>11.999999999999938</v>
      </c>
      <c r="D258" s="306">
        <f t="shared" ca="1" si="95"/>
        <v>-1.1279871418258605</v>
      </c>
      <c r="E258" s="307">
        <f t="shared" ca="1" si="96"/>
        <v>-11.787379105551643</v>
      </c>
      <c r="F258" s="304">
        <f t="shared" ca="1" si="97"/>
        <v>11.841227181762875</v>
      </c>
      <c r="G258" s="306">
        <f t="shared" ca="1" si="98"/>
        <v>27.277974975357825</v>
      </c>
      <c r="H258" s="307">
        <f t="shared" ca="1" si="99"/>
        <v>46.837716861189428</v>
      </c>
      <c r="I258" s="304">
        <f t="shared" ca="1" si="100"/>
        <v>54.202026157009996</v>
      </c>
      <c r="J258" s="306">
        <f t="shared" ca="1" si="101"/>
        <v>390.74742747463966</v>
      </c>
      <c r="K258" s="307">
        <f t="shared" ca="1" si="102"/>
        <v>1336.974268435436</v>
      </c>
      <c r="L258" s="304">
        <f t="shared" ca="1" si="87"/>
        <v>1392.9047873191182</v>
      </c>
      <c r="M258" s="306">
        <f t="shared" ca="1" si="103"/>
        <v>1.0434234976791268</v>
      </c>
      <c r="N258" s="304">
        <f t="shared" ca="1" si="104"/>
        <v>59.783762661792416</v>
      </c>
      <c r="P258" s="310">
        <f t="shared" ca="1" si="105"/>
        <v>23</v>
      </c>
      <c r="Q258" s="304">
        <f t="shared" ca="1" si="106"/>
        <v>0</v>
      </c>
      <c r="R258" s="306">
        <f t="shared" ca="1" si="107"/>
        <v>0</v>
      </c>
      <c r="S258" s="307">
        <f t="shared" ca="1" si="108"/>
        <v>2.9362999999999984</v>
      </c>
      <c r="T258" s="304">
        <f t="shared" ca="1" si="88"/>
        <v>28.805102999999985</v>
      </c>
      <c r="U258" s="311">
        <f t="shared" ca="1" si="89"/>
        <v>0</v>
      </c>
      <c r="V258" s="306">
        <f t="shared" ca="1" si="90"/>
        <v>1.0714830619160229</v>
      </c>
      <c r="W258" s="304">
        <f t="shared" ca="1" si="91"/>
        <v>6.4233193470894472</v>
      </c>
      <c r="Y258" s="314" t="str">
        <f t="shared" ca="1" si="109"/>
        <v/>
      </c>
      <c r="Z258" s="315" t="str">
        <f t="shared" ca="1" si="110"/>
        <v/>
      </c>
      <c r="AA258" s="316" t="str">
        <f t="shared" ca="1" si="111"/>
        <v/>
      </c>
      <c r="AC258" s="310">
        <f t="shared" ca="1" si="112"/>
        <v>11.999999999999938</v>
      </c>
      <c r="AD258" s="323">
        <f t="shared" ca="1" si="113"/>
        <v>390.74742747463966</v>
      </c>
      <c r="AE258" s="324">
        <f t="shared" ca="1" si="92"/>
        <v>1336.974268435436</v>
      </c>
      <c r="AG258" s="306">
        <f t="shared" ca="1" si="114"/>
        <v>-10.797555937040643</v>
      </c>
      <c r="AH258" s="304">
        <f t="shared" ca="1" si="115"/>
        <v>-2.2764848163773652</v>
      </c>
    </row>
    <row r="259" spans="1:34" x14ac:dyDescent="0.2">
      <c r="A259" s="347">
        <f t="shared" ca="1" si="93"/>
        <v>0.1</v>
      </c>
      <c r="B259" s="304">
        <f t="shared" ca="1" si="94"/>
        <v>12.099999999999937</v>
      </c>
      <c r="D259" s="306">
        <f t="shared" ca="1" si="95"/>
        <v>-1.1009198298916369</v>
      </c>
      <c r="E259" s="307">
        <f t="shared" ca="1" si="96"/>
        <v>-11.700337216230874</v>
      </c>
      <c r="F259" s="304">
        <f t="shared" ca="1" si="97"/>
        <v>11.752017505320772</v>
      </c>
      <c r="G259" s="306">
        <f t="shared" ca="1" si="98"/>
        <v>27.167882992368661</v>
      </c>
      <c r="H259" s="307">
        <f t="shared" ca="1" si="99"/>
        <v>45.667683139566343</v>
      </c>
      <c r="I259" s="304">
        <f t="shared" ca="1" si="100"/>
        <v>53.137850442249416</v>
      </c>
      <c r="J259" s="306">
        <f t="shared" ca="1" si="101"/>
        <v>393.46972037302601</v>
      </c>
      <c r="K259" s="307">
        <f t="shared" ca="1" si="102"/>
        <v>1341.5995384354737</v>
      </c>
      <c r="L259" s="304">
        <f t="shared" ca="1" si="87"/>
        <v>1398.1086303934696</v>
      </c>
      <c r="M259" s="306">
        <f t="shared" ca="1" si="103"/>
        <v>1.0341323817532715</v>
      </c>
      <c r="N259" s="304">
        <f t="shared" ca="1" si="104"/>
        <v>59.251420932274122</v>
      </c>
      <c r="P259" s="310">
        <f t="shared" ca="1" si="105"/>
        <v>23</v>
      </c>
      <c r="Q259" s="304">
        <f t="shared" ca="1" si="106"/>
        <v>0</v>
      </c>
      <c r="R259" s="306">
        <f t="shared" ca="1" si="107"/>
        <v>0</v>
      </c>
      <c r="S259" s="307">
        <f t="shared" ca="1" si="108"/>
        <v>2.9362999999999984</v>
      </c>
      <c r="T259" s="304">
        <f t="shared" ca="1" si="88"/>
        <v>28.805102999999985</v>
      </c>
      <c r="U259" s="311">
        <f t="shared" ca="1" si="89"/>
        <v>0</v>
      </c>
      <c r="V259" s="306">
        <f t="shared" ca="1" si="90"/>
        <v>1.070985355350367</v>
      </c>
      <c r="W259" s="304">
        <f t="shared" ca="1" si="91"/>
        <v>6.1707031974242321</v>
      </c>
      <c r="Y259" s="314" t="str">
        <f t="shared" ca="1" si="109"/>
        <v/>
      </c>
      <c r="Z259" s="315" t="str">
        <f t="shared" ca="1" si="110"/>
        <v/>
      </c>
      <c r="AA259" s="316" t="str">
        <f t="shared" ca="1" si="111"/>
        <v/>
      </c>
      <c r="AC259" s="310" t="e">
        <f t="shared" ca="1" si="112"/>
        <v>#N/A</v>
      </c>
      <c r="AD259" s="323" t="e">
        <f t="shared" ca="1" si="113"/>
        <v>#N/A</v>
      </c>
      <c r="AE259" s="324">
        <f t="shared" ca="1" si="92"/>
        <v>1341.5995384354737</v>
      </c>
      <c r="AG259" s="306">
        <f t="shared" ca="1" si="114"/>
        <v>-10.66469256351146</v>
      </c>
      <c r="AH259" s="304">
        <f t="shared" ca="1" si="115"/>
        <v>-2.1875555451041961</v>
      </c>
    </row>
    <row r="260" spans="1:34" x14ac:dyDescent="0.2">
      <c r="A260" s="347">
        <f t="shared" ca="1" si="93"/>
        <v>0.1</v>
      </c>
      <c r="B260" s="304">
        <f t="shared" ca="1" si="94"/>
        <v>12.199999999999937</v>
      </c>
      <c r="D260" s="306">
        <f t="shared" ca="1" si="95"/>
        <v>-1.0744496006778828</v>
      </c>
      <c r="E260" s="307">
        <f t="shared" ca="1" si="96"/>
        <v>-11.616089341851701</v>
      </c>
      <c r="F260" s="304">
        <f t="shared" ca="1" si="97"/>
        <v>11.665675014429192</v>
      </c>
      <c r="G260" s="306">
        <f t="shared" ca="1" si="98"/>
        <v>27.060438032300873</v>
      </c>
      <c r="H260" s="307">
        <f t="shared" ca="1" si="99"/>
        <v>44.506074205381175</v>
      </c>
      <c r="I260" s="304">
        <f t="shared" ca="1" si="100"/>
        <v>52.08702283366646</v>
      </c>
      <c r="J260" s="306">
        <f t="shared" ca="1" si="101"/>
        <v>396.18113642425948</v>
      </c>
      <c r="K260" s="307">
        <f t="shared" ca="1" si="102"/>
        <v>1346.1082263027211</v>
      </c>
      <c r="L260" s="304">
        <f t="shared" ref="L260:L323" ca="1" si="116">SQRT(pos_x^2+pos_z^2)</f>
        <v>1403.1987919672235</v>
      </c>
      <c r="M260" s="306">
        <f t="shared" ca="1" si="103"/>
        <v>1.024503008966291</v>
      </c>
      <c r="N260" s="304">
        <f t="shared" ca="1" si="104"/>
        <v>58.699698512222014</v>
      </c>
      <c r="P260" s="310">
        <f t="shared" ca="1" si="105"/>
        <v>23</v>
      </c>
      <c r="Q260" s="304">
        <f t="shared" ca="1" si="106"/>
        <v>0</v>
      </c>
      <c r="R260" s="306">
        <f t="shared" ca="1" si="107"/>
        <v>0</v>
      </c>
      <c r="S260" s="307">
        <f t="shared" ca="1" si="108"/>
        <v>2.9362999999999984</v>
      </c>
      <c r="T260" s="304">
        <f t="shared" ref="T260:T323" ca="1" si="117">m*g</f>
        <v>28.805102999999985</v>
      </c>
      <c r="U260" s="311">
        <f t="shared" ref="U260:U323" ca="1" si="118">IF(pos_xz&lt;L_rampe,Poids*COS(Beta),0)</f>
        <v>0</v>
      </c>
      <c r="V260" s="306">
        <f t="shared" ref="V260:V323" ca="1" si="119">Rho_moyen*(20000-Alt_rampe-pos_z)/(20000+Alt_rampe+pos_z)</f>
        <v>1.0705004013154069</v>
      </c>
      <c r="W260" s="304">
        <f t="shared" ref="W260:W323" ca="1" si="120">1/2*Rho*Sref*Cx*vit_xz^2</f>
        <v>5.9263741403411503</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1346.1082263027211</v>
      </c>
      <c r="AG260" s="306">
        <f t="shared" ca="1" si="114"/>
        <v>-10.532424698384157</v>
      </c>
      <c r="AH260" s="304">
        <f t="shared" ca="1" si="115"/>
        <v>-2.1015234129428992</v>
      </c>
    </row>
    <row r="261" spans="1:34" x14ac:dyDescent="0.2">
      <c r="A261" s="347">
        <f t="shared" ref="A261:A324" ca="1" si="122">IF(B260+0.01&lt;=T_ini+ROUNDUP(Temps_fin_propu,0), 0.01, IF(K260&gt;0, 0.1, 0.0001))</f>
        <v>0.1</v>
      </c>
      <c r="B261" s="304">
        <f t="shared" ref="B261:B324" ca="1" si="123">B260+pas</f>
        <v>12.299999999999937</v>
      </c>
      <c r="D261" s="306">
        <f t="shared" ref="D261:D324" ca="1" si="124">IF(AND(L260&lt;L_rampe,Poussee&lt;Poids*SIN(M260)),0,(-W260+Poussee)/m*COS(M260)-U260/m*SIN(M260))</f>
        <v>-1.0485615487935358</v>
      </c>
      <c r="E261" s="307">
        <f t="shared" ref="E261:E324" ca="1" si="125">IF(AND(L260&lt;L_rampe,Poussee&lt;Poids*SIN(M260)),0,(-W260+Poussee)/m*SIN(M260)+U260/m*COS(M260)-Poids/m)</f>
        <v>-11.534560335786498</v>
      </c>
      <c r="F261" s="304">
        <f t="shared" ref="F261:F324" ca="1" si="126">SQRT(acc_x^2+acc_z^2)</f>
        <v>11.58212258014512</v>
      </c>
      <c r="G261" s="306">
        <f t="shared" ref="G261:G324" ca="1" si="127">G260+acc_x*pas</f>
        <v>26.955581877421519</v>
      </c>
      <c r="H261" s="307">
        <f t="shared" ref="H261:H324" ca="1" si="128">H260+acc_z*pas</f>
        <v>43.352618171802526</v>
      </c>
      <c r="I261" s="304">
        <f t="shared" ref="I261:I324" ca="1" si="129">SQRT(vit_x^2+vit_z^2)</f>
        <v>51.049514167134618</v>
      </c>
      <c r="J261" s="306">
        <f t="shared" ref="J261:J324" ca="1" si="130">J260+0.5*(vit_x+G260)*pas*(K260&gt;=0)</f>
        <v>398.88193741974561</v>
      </c>
      <c r="K261" s="307">
        <f t="shared" ref="K261:K324" ca="1" si="131">K260+0.5*(vit_z+H260)*pas</f>
        <v>1350.5011609215803</v>
      </c>
      <c r="L261" s="304">
        <f t="shared" ca="1" si="116"/>
        <v>1408.1761912666561</v>
      </c>
      <c r="M261" s="306">
        <f t="shared" ref="M261:M324" ca="1" si="132">IF(AND(L260&gt;L_rampe,G261&gt;0),ATAN2(G261,H261),$M$4)</f>
        <v>1.0145193463529183</v>
      </c>
      <c r="N261" s="304">
        <f t="shared" ref="N261:N324" ca="1" si="133">DEGREES(Beta)</f>
        <v>58.127676780393209</v>
      </c>
      <c r="P261" s="310">
        <f t="shared" ref="P261:P324" ca="1" si="134">MATCH(t-pas/2-T_ini,CdP_t)</f>
        <v>23</v>
      </c>
      <c r="Q261" s="304">
        <f t="shared" ref="Q261:Q324" ca="1" si="135">(INDEX(CdP,2,i_P+1)-INDEX(CdP,2,i_P+0))/(INDEX(CdP,1,i_P+1)-INDEX(CdP,1,i_P+0))*(t-pas/2-T_ini-INDEX(CdP,1,i_P+0))+INDEX(CdP,2,i_P+0)</f>
        <v>0</v>
      </c>
      <c r="R261" s="306">
        <f t="shared" ref="R261:R324" ca="1" si="136">Poussee/(g*ISP)</f>
        <v>0</v>
      </c>
      <c r="S261" s="307">
        <f t="shared" ref="S261:S324" ca="1" si="137">S260-Débit*pas</f>
        <v>2.9362999999999984</v>
      </c>
      <c r="T261" s="304">
        <f t="shared" ca="1" si="117"/>
        <v>28.805102999999985</v>
      </c>
      <c r="U261" s="311">
        <f t="shared" ca="1" si="118"/>
        <v>0</v>
      </c>
      <c r="V261" s="306">
        <f t="shared" ca="1" si="119"/>
        <v>1.0700280946887595</v>
      </c>
      <c r="W261" s="304">
        <f t="shared" ca="1" si="120"/>
        <v>5.6901218763134347</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1350.5011609215803</v>
      </c>
      <c r="AG261" s="306">
        <f t="shared" ref="AG261:AG324" ca="1" si="143">IF(AND(L260&lt;L_rampe,Poussee&lt;Poids*SIN(M260)),0,(-W260+Poussee)/m-Poids*SIN(M260)/m)</f>
        <v>-10.40052787764618</v>
      </c>
      <c r="AH261" s="304">
        <f t="shared" ref="AH261:AH324" ca="1" si="144">IF(AND(L260&lt;L_rampe,Poussee&lt;Poids*SIN(M260)), g*SIN(M260), (-W260+Poussee)/m)</f>
        <v>-2.0183135716177345</v>
      </c>
    </row>
    <row r="262" spans="1:34" x14ac:dyDescent="0.2">
      <c r="A262" s="347">
        <f t="shared" ca="1" si="122"/>
        <v>0.1</v>
      </c>
      <c r="B262" s="304">
        <f t="shared" ca="1" si="123"/>
        <v>12.399999999999936</v>
      </c>
      <c r="D262" s="306">
        <f t="shared" ca="1" si="124"/>
        <v>-1.0232417254614881</v>
      </c>
      <c r="E262" s="307">
        <f t="shared" ca="1" si="125"/>
        <v>-11.455677990670466</v>
      </c>
      <c r="F262" s="304">
        <f t="shared" ca="1" si="126"/>
        <v>11.501286095678916</v>
      </c>
      <c r="G262" s="306">
        <f t="shared" ca="1" si="127"/>
        <v>26.853257704875372</v>
      </c>
      <c r="H262" s="307">
        <f t="shared" ca="1" si="128"/>
        <v>42.20705037273548</v>
      </c>
      <c r="I262" s="304">
        <f t="shared" ca="1" si="129"/>
        <v>50.0253190947452</v>
      </c>
      <c r="J262" s="306">
        <f t="shared" ca="1" si="130"/>
        <v>401.57237939886045</v>
      </c>
      <c r="K262" s="307">
        <f t="shared" ca="1" si="131"/>
        <v>1354.7791443488072</v>
      </c>
      <c r="L262" s="304">
        <f t="shared" ca="1" si="116"/>
        <v>1413.0417212023672</v>
      </c>
      <c r="M262" s="306">
        <f t="shared" ca="1" si="132"/>
        <v>1.0041644919014434</v>
      </c>
      <c r="N262" s="304">
        <f t="shared" ca="1" si="133"/>
        <v>57.534387322851444</v>
      </c>
      <c r="P262" s="310">
        <f t="shared" ca="1" si="134"/>
        <v>23</v>
      </c>
      <c r="Q262" s="304">
        <f t="shared" ca="1" si="135"/>
        <v>0</v>
      </c>
      <c r="R262" s="306">
        <f t="shared" ca="1" si="136"/>
        <v>0</v>
      </c>
      <c r="S262" s="307">
        <f t="shared" ca="1" si="137"/>
        <v>2.9362999999999984</v>
      </c>
      <c r="T262" s="304">
        <f t="shared" ca="1" si="117"/>
        <v>28.805102999999985</v>
      </c>
      <c r="U262" s="311">
        <f t="shared" ca="1" si="118"/>
        <v>0</v>
      </c>
      <c r="V262" s="306">
        <f t="shared" ca="1" si="119"/>
        <v>1.0695683338039603</v>
      </c>
      <c r="W262" s="304">
        <f t="shared" ca="1" si="120"/>
        <v>5.4617451649146673</v>
      </c>
      <c r="Y262" s="314" t="str">
        <f t="shared" ca="1" si="138"/>
        <v/>
      </c>
      <c r="Z262" s="315" t="str">
        <f t="shared" ca="1" si="139"/>
        <v/>
      </c>
      <c r="AA262" s="316" t="str">
        <f t="shared" ca="1" si="140"/>
        <v/>
      </c>
      <c r="AC262" s="310" t="e">
        <f t="shared" ca="1" si="141"/>
        <v>#N/A</v>
      </c>
      <c r="AD262" s="323" t="e">
        <f t="shared" ca="1" si="142"/>
        <v>#N/A</v>
      </c>
      <c r="AE262" s="324">
        <f t="shared" ca="1" si="121"/>
        <v>1354.7791443488072</v>
      </c>
      <c r="AG262" s="306">
        <f t="shared" ca="1" si="143"/>
        <v>-10.268769810883272</v>
      </c>
      <c r="AH262" s="304">
        <f t="shared" ca="1" si="144"/>
        <v>-1.9378544005426686</v>
      </c>
    </row>
    <row r="263" spans="1:34" x14ac:dyDescent="0.2">
      <c r="A263" s="347">
        <f t="shared" ca="1" si="122"/>
        <v>0.1</v>
      </c>
      <c r="B263" s="304">
        <f t="shared" ca="1" si="123"/>
        <v>12.499999999999936</v>
      </c>
      <c r="D263" s="306">
        <f t="shared" ca="1" si="124"/>
        <v>-0.99847712557425317</v>
      </c>
      <c r="E263" s="307">
        <f t="shared" ca="1" si="125"/>
        <v>-11.379372878266661</v>
      </c>
      <c r="F263" s="304">
        <f t="shared" ca="1" si="126"/>
        <v>11.423094312528717</v>
      </c>
      <c r="G263" s="306">
        <f t="shared" ca="1" si="127"/>
        <v>26.753409992317945</v>
      </c>
      <c r="H263" s="307">
        <f t="shared" ca="1" si="128"/>
        <v>41.069113084908814</v>
      </c>
      <c r="I263" s="304">
        <f t="shared" ca="1" si="129"/>
        <v>49.014457008091867</v>
      </c>
      <c r="J263" s="306">
        <f t="shared" ca="1" si="130"/>
        <v>404.25271278372014</v>
      </c>
      <c r="K263" s="307">
        <f t="shared" ca="1" si="131"/>
        <v>1358.9429525216894</v>
      </c>
      <c r="L263" s="304">
        <f t="shared" ca="1" si="116"/>
        <v>1417.7962491138717</v>
      </c>
      <c r="M263" s="306">
        <f t="shared" ca="1" si="132"/>
        <v>0.99342063342597231</v>
      </c>
      <c r="N263" s="304">
        <f t="shared" ca="1" si="133"/>
        <v>56.918809576521092</v>
      </c>
      <c r="P263" s="310">
        <f t="shared" ca="1" si="134"/>
        <v>23</v>
      </c>
      <c r="Q263" s="304">
        <f t="shared" ca="1" si="135"/>
        <v>0</v>
      </c>
      <c r="R263" s="306">
        <f t="shared" ca="1" si="136"/>
        <v>0</v>
      </c>
      <c r="S263" s="307">
        <f t="shared" ca="1" si="137"/>
        <v>2.9362999999999984</v>
      </c>
      <c r="T263" s="304">
        <f t="shared" ca="1" si="117"/>
        <v>28.805102999999985</v>
      </c>
      <c r="U263" s="311">
        <f t="shared" ca="1" si="118"/>
        <v>0</v>
      </c>
      <c r="V263" s="306">
        <f t="shared" ca="1" si="119"/>
        <v>1.0691210203576549</v>
      </c>
      <c r="W263" s="304">
        <f t="shared" ca="1" si="120"/>
        <v>5.2410514293188051</v>
      </c>
      <c r="Y263" s="314" t="str">
        <f t="shared" ca="1" si="138"/>
        <v/>
      </c>
      <c r="Z263" s="315" t="str">
        <f t="shared" ca="1" si="139"/>
        <v/>
      </c>
      <c r="AA263" s="316" t="str">
        <f t="shared" ca="1" si="140"/>
        <v/>
      </c>
      <c r="AC263" s="310" t="e">
        <f t="shared" ca="1" si="141"/>
        <v>#N/A</v>
      </c>
      <c r="AD263" s="323" t="e">
        <f t="shared" ca="1" si="142"/>
        <v>#N/A</v>
      </c>
      <c r="AE263" s="324">
        <f t="shared" ca="1" si="121"/>
        <v>1358.9429525216894</v>
      </c>
      <c r="AG263" s="306">
        <f t="shared" ca="1" si="143"/>
        <v>-10.136909409576898</v>
      </c>
      <c r="AH263" s="304">
        <f t="shared" ca="1" si="144"/>
        <v>-1.8600773643410655</v>
      </c>
    </row>
    <row r="264" spans="1:34" x14ac:dyDescent="0.2">
      <c r="A264" s="347">
        <f t="shared" ca="1" si="122"/>
        <v>0.1</v>
      </c>
      <c r="B264" s="304">
        <f t="shared" ca="1" si="123"/>
        <v>12.599999999999936</v>
      </c>
      <c r="D264" s="306">
        <f t="shared" ca="1" si="124"/>
        <v>-0.97425567798364177</v>
      </c>
      <c r="E264" s="307">
        <f t="shared" ca="1" si="125"/>
        <v>-11.305578194488621</v>
      </c>
      <c r="F264" s="304">
        <f t="shared" ca="1" si="126"/>
        <v>11.347478681970721</v>
      </c>
      <c r="G264" s="306">
        <f t="shared" ca="1" si="127"/>
        <v>26.655984424519581</v>
      </c>
      <c r="H264" s="307">
        <f t="shared" ca="1" si="128"/>
        <v>39.938555265459954</v>
      </c>
      <c r="I264" s="304">
        <f t="shared" ca="1" si="129"/>
        <v>48.016973065078034</v>
      </c>
      <c r="J264" s="306">
        <f t="shared" ca="1" si="130"/>
        <v>406.92318250456202</v>
      </c>
      <c r="K264" s="307">
        <f t="shared" ca="1" si="131"/>
        <v>1362.9933359392078</v>
      </c>
      <c r="L264" s="304">
        <f t="shared" ca="1" si="116"/>
        <v>1422.4406174861329</v>
      </c>
      <c r="M264" s="306">
        <f t="shared" ca="1" si="132"/>
        <v>0.98226900785750837</v>
      </c>
      <c r="N264" s="304">
        <f t="shared" ca="1" si="133"/>
        <v>56.279868496737926</v>
      </c>
      <c r="P264" s="310">
        <f t="shared" ca="1" si="134"/>
        <v>23</v>
      </c>
      <c r="Q264" s="304">
        <f t="shared" ca="1" si="135"/>
        <v>0</v>
      </c>
      <c r="R264" s="306">
        <f t="shared" ca="1" si="136"/>
        <v>0</v>
      </c>
      <c r="S264" s="307">
        <f t="shared" ca="1" si="137"/>
        <v>2.9362999999999984</v>
      </c>
      <c r="T264" s="304">
        <f t="shared" ca="1" si="117"/>
        <v>28.805102999999985</v>
      </c>
      <c r="U264" s="311">
        <f t="shared" ca="1" si="118"/>
        <v>0</v>
      </c>
      <c r="V264" s="306">
        <f t="shared" ca="1" si="119"/>
        <v>1.0686860593204763</v>
      </c>
      <c r="W264" s="304">
        <f t="shared" ca="1" si="120"/>
        <v>5.0278563822318327</v>
      </c>
      <c r="Y264" s="314" t="str">
        <f t="shared" ca="1" si="138"/>
        <v/>
      </c>
      <c r="Z264" s="315" t="str">
        <f t="shared" ca="1" si="139"/>
        <v/>
      </c>
      <c r="AA264" s="316" t="str">
        <f t="shared" ca="1" si="140"/>
        <v/>
      </c>
      <c r="AC264" s="310" t="e">
        <f t="shared" ca="1" si="141"/>
        <v>#N/A</v>
      </c>
      <c r="AD264" s="323" t="e">
        <f t="shared" ca="1" si="142"/>
        <v>#N/A</v>
      </c>
      <c r="AE264" s="324">
        <f t="shared" ca="1" si="121"/>
        <v>1362.9933359392078</v>
      </c>
      <c r="AG264" s="306">
        <f t="shared" ca="1" si="143"/>
        <v>-10.004695775150907</v>
      </c>
      <c r="AH264" s="304">
        <f t="shared" ca="1" si="144"/>
        <v>-1.7849168781523714</v>
      </c>
    </row>
    <row r="265" spans="1:34" x14ac:dyDescent="0.2">
      <c r="A265" s="347">
        <f t="shared" ca="1" si="122"/>
        <v>0.1</v>
      </c>
      <c r="B265" s="304">
        <f t="shared" ca="1" si="123"/>
        <v>12.699999999999935</v>
      </c>
      <c r="D265" s="306">
        <f t="shared" ca="1" si="124"/>
        <v>-0.95056623899428949</v>
      </c>
      <c r="E265" s="307">
        <f t="shared" ca="1" si="125"/>
        <v>-11.234229608816561</v>
      </c>
      <c r="F265" s="304">
        <f t="shared" ca="1" si="126"/>
        <v>11.274373201128586</v>
      </c>
      <c r="G265" s="306">
        <f t="shared" ca="1" si="127"/>
        <v>26.560927800620153</v>
      </c>
      <c r="H265" s="307">
        <f t="shared" ca="1" si="128"/>
        <v>38.815132304578299</v>
      </c>
      <c r="I265" s="304">
        <f t="shared" ca="1" si="129"/>
        <v>47.032939323963951</v>
      </c>
      <c r="J265" s="306">
        <f t="shared" ca="1" si="130"/>
        <v>409.58402811581902</v>
      </c>
      <c r="K265" s="307">
        <f t="shared" ca="1" si="131"/>
        <v>1366.9310203177097</v>
      </c>
      <c r="L265" s="304">
        <f t="shared" ca="1" si="116"/>
        <v>1426.9756446395274</v>
      </c>
      <c r="M265" s="306">
        <f t="shared" ca="1" si="132"/>
        <v>0.97068986163738769</v>
      </c>
      <c r="N265" s="304">
        <f t="shared" ca="1" si="133"/>
        <v>55.616432287960151</v>
      </c>
      <c r="P265" s="310">
        <f t="shared" ca="1" si="134"/>
        <v>23</v>
      </c>
      <c r="Q265" s="304">
        <f t="shared" ca="1" si="135"/>
        <v>0</v>
      </c>
      <c r="R265" s="306">
        <f t="shared" ca="1" si="136"/>
        <v>0</v>
      </c>
      <c r="S265" s="307">
        <f t="shared" ca="1" si="137"/>
        <v>2.9362999999999984</v>
      </c>
      <c r="T265" s="304">
        <f t="shared" ca="1" si="117"/>
        <v>28.805102999999985</v>
      </c>
      <c r="U265" s="311">
        <f t="shared" ca="1" si="118"/>
        <v>0</v>
      </c>
      <c r="V265" s="306">
        <f t="shared" ca="1" si="119"/>
        <v>1.0682633588514021</v>
      </c>
      <c r="W265" s="304">
        <f t="shared" ca="1" si="120"/>
        <v>4.8219836719136744</v>
      </c>
      <c r="Y265" s="314" t="str">
        <f t="shared" ca="1" si="138"/>
        <v/>
      </c>
      <c r="Z265" s="315" t="str">
        <f t="shared" ca="1" si="139"/>
        <v/>
      </c>
      <c r="AA265" s="316" t="str">
        <f t="shared" ca="1" si="140"/>
        <v/>
      </c>
      <c r="AC265" s="310" t="e">
        <f t="shared" ca="1" si="141"/>
        <v>#N/A</v>
      </c>
      <c r="AD265" s="323" t="e">
        <f t="shared" ca="1" si="142"/>
        <v>#N/A</v>
      </c>
      <c r="AE265" s="324">
        <f t="shared" ca="1" si="121"/>
        <v>1366.9310203177097</v>
      </c>
      <c r="AG265" s="306">
        <f t="shared" ca="1" si="143"/>
        <v>-9.8718671482113418</v>
      </c>
      <c r="AH265" s="304">
        <f t="shared" ca="1" si="144"/>
        <v>-1.7123101802376581</v>
      </c>
    </row>
    <row r="266" spans="1:34" x14ac:dyDescent="0.2">
      <c r="A266" s="347">
        <f t="shared" ca="1" si="122"/>
        <v>0.1</v>
      </c>
      <c r="B266" s="304">
        <f t="shared" ca="1" si="123"/>
        <v>12.799999999999935</v>
      </c>
      <c r="D266" s="306">
        <f t="shared" ca="1" si="124"/>
        <v>-0.92739858903254602</v>
      </c>
      <c r="E266" s="307">
        <f t="shared" ca="1" si="125"/>
        <v>-11.165265117340406</v>
      </c>
      <c r="F266" s="304">
        <f t="shared" ca="1" si="126"/>
        <v>11.203714262843283</v>
      </c>
      <c r="G266" s="306">
        <f t="shared" ca="1" si="127"/>
        <v>26.468187941716899</v>
      </c>
      <c r="H266" s="307">
        <f t="shared" ca="1" si="128"/>
        <v>37.698605792844255</v>
      </c>
      <c r="I266" s="304">
        <f t="shared" ca="1" si="129"/>
        <v>46.062455987955289</v>
      </c>
      <c r="J266" s="306">
        <f t="shared" ca="1" si="130"/>
        <v>412.23548390293587</v>
      </c>
      <c r="K266" s="307">
        <f t="shared" ca="1" si="131"/>
        <v>1370.7567072225809</v>
      </c>
      <c r="L266" s="304">
        <f t="shared" ca="1" si="116"/>
        <v>1431.4021253946705</v>
      </c>
      <c r="M266" s="306">
        <f t="shared" ca="1" si="132"/>
        <v>0.95866241306833688</v>
      </c>
      <c r="N266" s="304">
        <f t="shared" ca="1" si="133"/>
        <v>54.927310246642882</v>
      </c>
      <c r="P266" s="310">
        <f t="shared" ca="1" si="134"/>
        <v>23</v>
      </c>
      <c r="Q266" s="304">
        <f t="shared" ca="1" si="135"/>
        <v>0</v>
      </c>
      <c r="R266" s="306">
        <f t="shared" ca="1" si="136"/>
        <v>0</v>
      </c>
      <c r="S266" s="307">
        <f t="shared" ca="1" si="137"/>
        <v>2.9362999999999984</v>
      </c>
      <c r="T266" s="304">
        <f t="shared" ca="1" si="117"/>
        <v>28.805102999999985</v>
      </c>
      <c r="U266" s="311">
        <f t="shared" ca="1" si="118"/>
        <v>0</v>
      </c>
      <c r="V266" s="306">
        <f t="shared" ca="1" si="119"/>
        <v>1.0678528302153985</v>
      </c>
      <c r="W266" s="304">
        <f t="shared" ca="1" si="120"/>
        <v>4.6232645470336422</v>
      </c>
      <c r="Y266" s="314" t="str">
        <f t="shared" ca="1" si="138"/>
        <v/>
      </c>
      <c r="Z266" s="315" t="str">
        <f t="shared" ca="1" si="139"/>
        <v/>
      </c>
      <c r="AA266" s="316" t="str">
        <f t="shared" ca="1" si="140"/>
        <v/>
      </c>
      <c r="AC266" s="310" t="e">
        <f t="shared" ca="1" si="141"/>
        <v>#N/A</v>
      </c>
      <c r="AD266" s="323" t="e">
        <f t="shared" ca="1" si="142"/>
        <v>#N/A</v>
      </c>
      <c r="AE266" s="324">
        <f t="shared" ca="1" si="121"/>
        <v>1370.7567072225809</v>
      </c>
      <c r="AG266" s="306">
        <f t="shared" ca="1" si="143"/>
        <v>-9.7381498221096034</v>
      </c>
      <c r="AH266" s="304">
        <f t="shared" ca="1" si="144"/>
        <v>-1.6421972114271965</v>
      </c>
    </row>
    <row r="267" spans="1:34" x14ac:dyDescent="0.2">
      <c r="A267" s="347">
        <f t="shared" ca="1" si="122"/>
        <v>0.1</v>
      </c>
      <c r="B267" s="304">
        <f t="shared" ca="1" si="123"/>
        <v>12.899999999999935</v>
      </c>
      <c r="D267" s="306">
        <f t="shared" ca="1" si="124"/>
        <v>-0.90474343245998401</v>
      </c>
      <c r="E267" s="307">
        <f t="shared" ca="1" si="125"/>
        <v>-11.098624898654899</v>
      </c>
      <c r="F267" s="304">
        <f t="shared" ca="1" si="126"/>
        <v>11.135440508557439</v>
      </c>
      <c r="G267" s="306">
        <f t="shared" ca="1" si="127"/>
        <v>26.377713598470901</v>
      </c>
      <c r="H267" s="307">
        <f t="shared" ca="1" si="128"/>
        <v>36.588743302978763</v>
      </c>
      <c r="I267" s="304">
        <f t="shared" ca="1" si="129"/>
        <v>45.105652762976725</v>
      </c>
      <c r="J267" s="306">
        <f t="shared" ca="1" si="130"/>
        <v>414.87777897994528</v>
      </c>
      <c r="K267" s="307">
        <f t="shared" ca="1" si="131"/>
        <v>1374.4710746773719</v>
      </c>
      <c r="L267" s="304">
        <f t="shared" ca="1" si="116"/>
        <v>1435.7208317134991</v>
      </c>
      <c r="M267" s="306">
        <f t="shared" ca="1" si="132"/>
        <v>0.94616481768280802</v>
      </c>
      <c r="N267" s="304">
        <f t="shared" ca="1" si="133"/>
        <v>54.2112507769899</v>
      </c>
      <c r="P267" s="310">
        <f t="shared" ca="1" si="134"/>
        <v>23</v>
      </c>
      <c r="Q267" s="304">
        <f t="shared" ca="1" si="135"/>
        <v>0</v>
      </c>
      <c r="R267" s="306">
        <f t="shared" ca="1" si="136"/>
        <v>0</v>
      </c>
      <c r="S267" s="307">
        <f t="shared" ca="1" si="137"/>
        <v>2.9362999999999984</v>
      </c>
      <c r="T267" s="304">
        <f t="shared" ca="1" si="117"/>
        <v>28.805102999999985</v>
      </c>
      <c r="U267" s="311">
        <f t="shared" ca="1" si="118"/>
        <v>0</v>
      </c>
      <c r="V267" s="306">
        <f t="shared" ca="1" si="119"/>
        <v>1.06745438770417</v>
      </c>
      <c r="W267" s="304">
        <f t="shared" ca="1" si="120"/>
        <v>4.4315375391797218</v>
      </c>
      <c r="Y267" s="314" t="str">
        <f t="shared" ca="1" si="138"/>
        <v/>
      </c>
      <c r="Z267" s="315" t="str">
        <f t="shared" ca="1" si="139"/>
        <v/>
      </c>
      <c r="AA267" s="316" t="str">
        <f t="shared" ca="1" si="140"/>
        <v/>
      </c>
      <c r="AC267" s="310" t="e">
        <f t="shared" ca="1" si="141"/>
        <v>#N/A</v>
      </c>
      <c r="AD267" s="323" t="e">
        <f t="shared" ca="1" si="142"/>
        <v>#N/A</v>
      </c>
      <c r="AE267" s="324">
        <f t="shared" ca="1" si="121"/>
        <v>1374.4710746773719</v>
      </c>
      <c r="AG267" s="306">
        <f t="shared" ca="1" si="143"/>
        <v>-9.6032570261145089</v>
      </c>
      <c r="AH267" s="304">
        <f t="shared" ca="1" si="144"/>
        <v>-1.5745205009820675</v>
      </c>
    </row>
    <row r="268" spans="1:34" x14ac:dyDescent="0.2">
      <c r="A268" s="347">
        <f t="shared" ca="1" si="122"/>
        <v>0.1</v>
      </c>
      <c r="B268" s="304">
        <f t="shared" ca="1" si="123"/>
        <v>12.999999999999934</v>
      </c>
      <c r="D268" s="306">
        <f t="shared" ca="1" si="124"/>
        <v>-0.88259240049358256</v>
      </c>
      <c r="E268" s="307">
        <f t="shared" ca="1" si="125"/>
        <v>-11.034251171818452</v>
      </c>
      <c r="F268" s="304">
        <f t="shared" ca="1" si="126"/>
        <v>11.069492683415348</v>
      </c>
      <c r="G268" s="306">
        <f t="shared" ca="1" si="127"/>
        <v>26.289454358421544</v>
      </c>
      <c r="H268" s="307">
        <f t="shared" ca="1" si="128"/>
        <v>35.48531818579692</v>
      </c>
      <c r="I268" s="304">
        <f t="shared" ca="1" si="129"/>
        <v>44.162690330309125</v>
      </c>
      <c r="J268" s="306">
        <f t="shared" ca="1" si="130"/>
        <v>417.51113737778991</v>
      </c>
      <c r="K268" s="307">
        <f t="shared" ca="1" si="131"/>
        <v>1378.0747777518106</v>
      </c>
      <c r="L268" s="304">
        <f t="shared" ca="1" si="116"/>
        <v>1439.9325133179673</v>
      </c>
      <c r="M268" s="306">
        <f t="shared" ca="1" si="132"/>
        <v>0.93317413793000858</v>
      </c>
      <c r="N268" s="304">
        <f t="shared" ca="1" si="133"/>
        <v>53.46693965414844</v>
      </c>
      <c r="P268" s="310">
        <f t="shared" ca="1" si="134"/>
        <v>23</v>
      </c>
      <c r="Q268" s="304">
        <f t="shared" ca="1" si="135"/>
        <v>0</v>
      </c>
      <c r="R268" s="306">
        <f t="shared" ca="1" si="136"/>
        <v>0</v>
      </c>
      <c r="S268" s="307">
        <f t="shared" ca="1" si="137"/>
        <v>2.9362999999999984</v>
      </c>
      <c r="T268" s="304">
        <f t="shared" ca="1" si="117"/>
        <v>28.805102999999985</v>
      </c>
      <c r="U268" s="311">
        <f t="shared" ca="1" si="118"/>
        <v>0</v>
      </c>
      <c r="V268" s="306">
        <f t="shared" ca="1" si="119"/>
        <v>1.0670679485598189</v>
      </c>
      <c r="W268" s="304">
        <f t="shared" ca="1" si="120"/>
        <v>4.2466481619122387</v>
      </c>
      <c r="Y268" s="314" t="str">
        <f t="shared" ca="1" si="138"/>
        <v/>
      </c>
      <c r="Z268" s="315" t="str">
        <f t="shared" ca="1" si="139"/>
        <v/>
      </c>
      <c r="AA268" s="316" t="str">
        <f t="shared" ca="1" si="140"/>
        <v/>
      </c>
      <c r="AC268" s="310">
        <f t="shared" ca="1" si="141"/>
        <v>12.999999999999934</v>
      </c>
      <c r="AD268" s="323">
        <f t="shared" ca="1" si="142"/>
        <v>417.51113737778991</v>
      </c>
      <c r="AE268" s="324">
        <f t="shared" ca="1" si="121"/>
        <v>1378.0747777518106</v>
      </c>
      <c r="AG268" s="306">
        <f t="shared" ca="1" si="143"/>
        <v>-9.4668877862058096</v>
      </c>
      <c r="AH268" s="304">
        <f t="shared" ca="1" si="144"/>
        <v>-1.5092250584680462</v>
      </c>
    </row>
    <row r="269" spans="1:34" x14ac:dyDescent="0.2">
      <c r="A269" s="347">
        <f t="shared" ca="1" si="122"/>
        <v>0.1</v>
      </c>
      <c r="B269" s="304">
        <f t="shared" ca="1" si="123"/>
        <v>13.099999999999934</v>
      </c>
      <c r="D269" s="306">
        <f t="shared" ca="1" si="124"/>
        <v>-0.86093805718145133</v>
      </c>
      <c r="E269" s="307">
        <f t="shared" ca="1" si="125"/>
        <v>-10.972088055568907</v>
      </c>
      <c r="F269" s="304">
        <f t="shared" ca="1" si="126"/>
        <v>11.005813492761961</v>
      </c>
      <c r="G269" s="306">
        <f t="shared" ca="1" si="127"/>
        <v>26.203360552703398</v>
      </c>
      <c r="H269" s="307">
        <f t="shared" ca="1" si="128"/>
        <v>34.388109380240031</v>
      </c>
      <c r="I269" s="304">
        <f t="shared" ca="1" si="129"/>
        <v>43.23376193442256</v>
      </c>
      <c r="J269" s="306">
        <f t="shared" ca="1" si="130"/>
        <v>420.13577812334614</v>
      </c>
      <c r="K269" s="307">
        <f t="shared" ca="1" si="131"/>
        <v>1381.5684491301124</v>
      </c>
      <c r="L269" s="304">
        <f t="shared" ca="1" si="116"/>
        <v>1444.0378982876778</v>
      </c>
      <c r="M269" s="306">
        <f t="shared" ca="1" si="132"/>
        <v>0.91966631876708127</v>
      </c>
      <c r="N269" s="304">
        <f t="shared" ca="1" si="133"/>
        <v>52.692998625686769</v>
      </c>
      <c r="P269" s="310">
        <f t="shared" ca="1" si="134"/>
        <v>23</v>
      </c>
      <c r="Q269" s="304">
        <f t="shared" ca="1" si="135"/>
        <v>0</v>
      </c>
      <c r="R269" s="306">
        <f t="shared" ca="1" si="136"/>
        <v>0</v>
      </c>
      <c r="S269" s="307">
        <f t="shared" ca="1" si="137"/>
        <v>2.9362999999999984</v>
      </c>
      <c r="T269" s="304">
        <f t="shared" ca="1" si="117"/>
        <v>28.805102999999985</v>
      </c>
      <c r="U269" s="311">
        <f t="shared" ca="1" si="118"/>
        <v>0</v>
      </c>
      <c r="V269" s="306">
        <f t="shared" ca="1" si="119"/>
        <v>1.0666934329012483</v>
      </c>
      <c r="W269" s="304">
        <f t="shared" ca="1" si="120"/>
        <v>4.0684486253165701</v>
      </c>
      <c r="Y269" s="314" t="str">
        <f t="shared" ca="1" si="138"/>
        <v/>
      </c>
      <c r="Z269" s="315" t="str">
        <f t="shared" ca="1" si="139"/>
        <v/>
      </c>
      <c r="AA269" s="316" t="str">
        <f t="shared" ca="1" si="140"/>
        <v/>
      </c>
      <c r="AC269" s="310" t="e">
        <f t="shared" ca="1" si="141"/>
        <v>#N/A</v>
      </c>
      <c r="AD269" s="323" t="e">
        <f t="shared" ca="1" si="142"/>
        <v>#N/A</v>
      </c>
      <c r="AE269" s="324">
        <f t="shared" ca="1" si="121"/>
        <v>1381.5684491301124</v>
      </c>
      <c r="AG269" s="306">
        <f t="shared" ca="1" si="143"/>
        <v>-9.3287257749195351</v>
      </c>
      <c r="AH269" s="304">
        <f t="shared" ca="1" si="144"/>
        <v>-1.4462582712639176</v>
      </c>
    </row>
    <row r="270" spans="1:34" x14ac:dyDescent="0.2">
      <c r="A270" s="347">
        <f t="shared" ca="1" si="122"/>
        <v>0.1</v>
      </c>
      <c r="B270" s="304">
        <f t="shared" ca="1" si="123"/>
        <v>13.199999999999934</v>
      </c>
      <c r="D270" s="306">
        <f t="shared" ca="1" si="124"/>
        <v>-0.83977390836252841</v>
      </c>
      <c r="E270" s="307">
        <f t="shared" ca="1" si="125"/>
        <v>-10.91208142796642</v>
      </c>
      <c r="F270" s="304">
        <f t="shared" ca="1" si="126"/>
        <v>10.944347459201765</v>
      </c>
      <c r="G270" s="306">
        <f t="shared" ca="1" si="127"/>
        <v>26.119383161867145</v>
      </c>
      <c r="H270" s="307">
        <f t="shared" ca="1" si="128"/>
        <v>33.296901237443393</v>
      </c>
      <c r="I270" s="304">
        <f t="shared" ca="1" si="129"/>
        <v>42.319095084518153</v>
      </c>
      <c r="J270" s="306">
        <f t="shared" ca="1" si="130"/>
        <v>422.75191530907466</v>
      </c>
      <c r="K270" s="307">
        <f t="shared" ca="1" si="131"/>
        <v>1384.9526996609966</v>
      </c>
      <c r="L270" s="304">
        <f t="shared" ca="1" si="116"/>
        <v>1448.0376936377636</v>
      </c>
      <c r="M270" s="306">
        <f t="shared" ca="1" si="132"/>
        <v>0.90561617107109038</v>
      </c>
      <c r="N270" s="304">
        <f t="shared" ca="1" si="133"/>
        <v>51.887984461171037</v>
      </c>
      <c r="P270" s="310">
        <f t="shared" ca="1" si="134"/>
        <v>23</v>
      </c>
      <c r="Q270" s="304">
        <f t="shared" ca="1" si="135"/>
        <v>0</v>
      </c>
      <c r="R270" s="306">
        <f t="shared" ca="1" si="136"/>
        <v>0</v>
      </c>
      <c r="S270" s="307">
        <f t="shared" ca="1" si="137"/>
        <v>2.9362999999999984</v>
      </c>
      <c r="T270" s="304">
        <f t="shared" ca="1" si="117"/>
        <v>28.805102999999985</v>
      </c>
      <c r="U270" s="311">
        <f t="shared" ca="1" si="118"/>
        <v>0</v>
      </c>
      <c r="V270" s="306">
        <f t="shared" ca="1" si="119"/>
        <v>1.0663307636531163</v>
      </c>
      <c r="W270" s="304">
        <f t="shared" ca="1" si="120"/>
        <v>3.8967975650672964</v>
      </c>
      <c r="Y270" s="314" t="str">
        <f t="shared" ca="1" si="138"/>
        <v/>
      </c>
      <c r="Z270" s="315" t="str">
        <f t="shared" ca="1" si="139"/>
        <v/>
      </c>
      <c r="AA270" s="316" t="str">
        <f t="shared" ca="1" si="140"/>
        <v/>
      </c>
      <c r="AC270" s="310" t="e">
        <f t="shared" ca="1" si="141"/>
        <v>#N/A</v>
      </c>
      <c r="AD270" s="323" t="e">
        <f t="shared" ca="1" si="142"/>
        <v>#N/A</v>
      </c>
      <c r="AE270" s="324">
        <f t="shared" ca="1" si="121"/>
        <v>1384.9526996609966</v>
      </c>
      <c r="AG270" s="306">
        <f t="shared" ca="1" si="143"/>
        <v>-9.1884381659205498</v>
      </c>
      <c r="AH270" s="304">
        <f t="shared" ca="1" si="144"/>
        <v>-1.3855698073482179</v>
      </c>
    </row>
    <row r="271" spans="1:34" x14ac:dyDescent="0.2">
      <c r="A271" s="347">
        <f t="shared" ca="1" si="122"/>
        <v>0.1</v>
      </c>
      <c r="B271" s="304">
        <f t="shared" ca="1" si="123"/>
        <v>13.299999999999933</v>
      </c>
      <c r="D271" s="306">
        <f t="shared" ca="1" si="124"/>
        <v>-0.81909441350933154</v>
      </c>
      <c r="E271" s="307">
        <f t="shared" ca="1" si="125"/>
        <v>-10.85417878560698</v>
      </c>
      <c r="F271" s="304">
        <f t="shared" ca="1" si="126"/>
        <v>10.885040779352313</v>
      </c>
      <c r="G271" s="306">
        <f t="shared" ca="1" si="127"/>
        <v>26.037473720516211</v>
      </c>
      <c r="H271" s="307">
        <f t="shared" ca="1" si="128"/>
        <v>32.211483358882695</v>
      </c>
      <c r="I271" s="304">
        <f t="shared" ca="1" si="129"/>
        <v>41.418953365894573</v>
      </c>
      <c r="J271" s="306">
        <f t="shared" ca="1" si="130"/>
        <v>425.35975815319381</v>
      </c>
      <c r="K271" s="307">
        <f t="shared" ca="1" si="131"/>
        <v>1388.228118890813</v>
      </c>
      <c r="L271" s="304">
        <f t="shared" ca="1" si="116"/>
        <v>1451.9325858783075</v>
      </c>
      <c r="M271" s="306">
        <f t="shared" ca="1" si="132"/>
        <v>0.89099736517139372</v>
      </c>
      <c r="N271" s="304">
        <f t="shared" ca="1" si="133"/>
        <v>51.050388581597467</v>
      </c>
      <c r="P271" s="310">
        <f t="shared" ca="1" si="134"/>
        <v>23</v>
      </c>
      <c r="Q271" s="304">
        <f t="shared" ca="1" si="135"/>
        <v>0</v>
      </c>
      <c r="R271" s="306">
        <f t="shared" ca="1" si="136"/>
        <v>0</v>
      </c>
      <c r="S271" s="307">
        <f t="shared" ca="1" si="137"/>
        <v>2.9362999999999984</v>
      </c>
      <c r="T271" s="304">
        <f t="shared" ca="1" si="117"/>
        <v>28.805102999999985</v>
      </c>
      <c r="U271" s="311">
        <f t="shared" ca="1" si="118"/>
        <v>0</v>
      </c>
      <c r="V271" s="306">
        <f t="shared" ca="1" si="119"/>
        <v>1.0659798664771829</v>
      </c>
      <c r="W271" s="304">
        <f t="shared" ca="1" si="120"/>
        <v>3.7315597850686171</v>
      </c>
      <c r="Y271" s="314" t="str">
        <f t="shared" ca="1" si="138"/>
        <v/>
      </c>
      <c r="Z271" s="315" t="str">
        <f t="shared" ca="1" si="139"/>
        <v/>
      </c>
      <c r="AA271" s="316" t="str">
        <f t="shared" ca="1" si="140"/>
        <v/>
      </c>
      <c r="AC271" s="310" t="e">
        <f t="shared" ca="1" si="141"/>
        <v>#N/A</v>
      </c>
      <c r="AD271" s="323" t="e">
        <f t="shared" ca="1" si="142"/>
        <v>#N/A</v>
      </c>
      <c r="AE271" s="324">
        <f t="shared" ca="1" si="121"/>
        <v>1388.228118890813</v>
      </c>
      <c r="AG271" s="306">
        <f t="shared" ca="1" si="143"/>
        <v>-9.0456745142016928</v>
      </c>
      <c r="AH271" s="304">
        <f t="shared" ca="1" si="144"/>
        <v>-1.3271115230280621</v>
      </c>
    </row>
    <row r="272" spans="1:34" x14ac:dyDescent="0.2">
      <c r="A272" s="347">
        <f t="shared" ca="1" si="122"/>
        <v>0.1</v>
      </c>
      <c r="B272" s="304">
        <f t="shared" ca="1" si="123"/>
        <v>13.399999999999933</v>
      </c>
      <c r="D272" s="306">
        <f t="shared" ca="1" si="124"/>
        <v>-0.798895000312841</v>
      </c>
      <c r="E272" s="307">
        <f t="shared" ca="1" si="125"/>
        <v>-10.798329101520894</v>
      </c>
      <c r="F272" s="304">
        <f t="shared" ca="1" si="126"/>
        <v>10.827841179398499</v>
      </c>
      <c r="G272" s="306">
        <f t="shared" ca="1" si="127"/>
        <v>25.957584220484925</v>
      </c>
      <c r="H272" s="307">
        <f t="shared" ca="1" si="128"/>
        <v>31.131650448730607</v>
      </c>
      <c r="I272" s="304">
        <f t="shared" ca="1" si="129"/>
        <v>40.533638354156125</v>
      </c>
      <c r="J272" s="306">
        <f t="shared" ca="1" si="130"/>
        <v>427.95951105024386</v>
      </c>
      <c r="K272" s="307">
        <f t="shared" ca="1" si="131"/>
        <v>1391.3952755811936</v>
      </c>
      <c r="L272" s="304">
        <f t="shared" ca="1" si="116"/>
        <v>1455.7232415565911</v>
      </c>
      <c r="M272" s="306">
        <f t="shared" ca="1" si="132"/>
        <v>0.87578243724031102</v>
      </c>
      <c r="N272" s="304">
        <f t="shared" ca="1" si="133"/>
        <v>50.178637425550718</v>
      </c>
      <c r="P272" s="310">
        <f t="shared" ca="1" si="134"/>
        <v>23</v>
      </c>
      <c r="Q272" s="304">
        <f t="shared" ca="1" si="135"/>
        <v>0</v>
      </c>
      <c r="R272" s="306">
        <f t="shared" ca="1" si="136"/>
        <v>0</v>
      </c>
      <c r="S272" s="307">
        <f t="shared" ca="1" si="137"/>
        <v>2.9362999999999984</v>
      </c>
      <c r="T272" s="304">
        <f t="shared" ca="1" si="117"/>
        <v>28.805102999999985</v>
      </c>
      <c r="U272" s="311">
        <f t="shared" ca="1" si="118"/>
        <v>0</v>
      </c>
      <c r="V272" s="306">
        <f t="shared" ca="1" si="119"/>
        <v>1.0656406697058562</v>
      </c>
      <c r="W272" s="304">
        <f t="shared" ca="1" si="120"/>
        <v>3.5726060127826371</v>
      </c>
      <c r="Y272" s="314" t="str">
        <f t="shared" ca="1" si="138"/>
        <v/>
      </c>
      <c r="Z272" s="315" t="str">
        <f t="shared" ca="1" si="139"/>
        <v/>
      </c>
      <c r="AA272" s="316" t="str">
        <f t="shared" ca="1" si="140"/>
        <v/>
      </c>
      <c r="AC272" s="310" t="e">
        <f t="shared" ca="1" si="141"/>
        <v>#N/A</v>
      </c>
      <c r="AD272" s="323" t="e">
        <f t="shared" ca="1" si="142"/>
        <v>#N/A</v>
      </c>
      <c r="AE272" s="324">
        <f t="shared" ca="1" si="121"/>
        <v>1391.3952755811936</v>
      </c>
      <c r="AG272" s="306">
        <f t="shared" ca="1" si="143"/>
        <v>-8.9000656891783514</v>
      </c>
      <c r="AH272" s="304">
        <f t="shared" ca="1" si="144"/>
        <v>-1.2708373752915638</v>
      </c>
    </row>
    <row r="273" spans="1:34" x14ac:dyDescent="0.2">
      <c r="A273" s="347">
        <f t="shared" ca="1" si="122"/>
        <v>0.1</v>
      </c>
      <c r="B273" s="304">
        <f t="shared" ca="1" si="123"/>
        <v>13.499999999999932</v>
      </c>
      <c r="D273" s="306">
        <f t="shared" ca="1" si="124"/>
        <v>-0.77917208181572395</v>
      </c>
      <c r="E273" s="307">
        <f t="shared" ca="1" si="125"/>
        <v>-10.74448268084031</v>
      </c>
      <c r="F273" s="304">
        <f t="shared" ca="1" si="126"/>
        <v>10.772697768523836</v>
      </c>
      <c r="G273" s="306">
        <f t="shared" ca="1" si="127"/>
        <v>25.879667012303354</v>
      </c>
      <c r="H273" s="307">
        <f t="shared" ca="1" si="128"/>
        <v>30.057202180646577</v>
      </c>
      <c r="I273" s="304">
        <f t="shared" ca="1" si="129"/>
        <v>39.663491621338231</v>
      </c>
      <c r="J273" s="306">
        <f t="shared" ca="1" si="130"/>
        <v>430.55137361188326</v>
      </c>
      <c r="K273" s="307">
        <f t="shared" ca="1" si="131"/>
        <v>1394.4547182126623</v>
      </c>
      <c r="L273" s="304">
        <f t="shared" ca="1" si="116"/>
        <v>1459.4103077834673</v>
      </c>
      <c r="M273" s="306">
        <f t="shared" ca="1" si="132"/>
        <v>0.85994281177594878</v>
      </c>
      <c r="N273" s="304">
        <f t="shared" ca="1" si="133"/>
        <v>49.271093737374812</v>
      </c>
      <c r="P273" s="310">
        <f t="shared" ca="1" si="134"/>
        <v>23</v>
      </c>
      <c r="Q273" s="304">
        <f t="shared" ca="1" si="135"/>
        <v>0</v>
      </c>
      <c r="R273" s="306">
        <f t="shared" ca="1" si="136"/>
        <v>0</v>
      </c>
      <c r="S273" s="307">
        <f t="shared" ca="1" si="137"/>
        <v>2.9362999999999984</v>
      </c>
      <c r="T273" s="304">
        <f t="shared" ca="1" si="117"/>
        <v>28.805102999999985</v>
      </c>
      <c r="U273" s="311">
        <f t="shared" ca="1" si="118"/>
        <v>0</v>
      </c>
      <c r="V273" s="306">
        <f t="shared" ca="1" si="119"/>
        <v>1.0653131042777781</v>
      </c>
      <c r="W273" s="304">
        <f t="shared" ca="1" si="120"/>
        <v>3.4198126663989981</v>
      </c>
      <c r="Y273" s="314" t="str">
        <f t="shared" ca="1" si="138"/>
        <v/>
      </c>
      <c r="Z273" s="315" t="str">
        <f t="shared" ca="1" si="139"/>
        <v/>
      </c>
      <c r="AA273" s="316" t="str">
        <f t="shared" ca="1" si="140"/>
        <v/>
      </c>
      <c r="AC273" s="310" t="e">
        <f t="shared" ca="1" si="141"/>
        <v>#N/A</v>
      </c>
      <c r="AD273" s="323" t="e">
        <f t="shared" ca="1" si="142"/>
        <v>#N/A</v>
      </c>
      <c r="AE273" s="324">
        <f t="shared" ca="1" si="121"/>
        <v>1394.4547182126623</v>
      </c>
      <c r="AG273" s="306">
        <f t="shared" ca="1" si="143"/>
        <v>-8.7512228956365448</v>
      </c>
      <c r="AH273" s="304">
        <f t="shared" ca="1" si="144"/>
        <v>-1.2167033384812993</v>
      </c>
    </row>
    <row r="274" spans="1:34" x14ac:dyDescent="0.2">
      <c r="A274" s="347">
        <f t="shared" ca="1" si="122"/>
        <v>0.1</v>
      </c>
      <c r="B274" s="304">
        <f t="shared" ca="1" si="123"/>
        <v>13.599999999999932</v>
      </c>
      <c r="D274" s="306">
        <f t="shared" ca="1" si="124"/>
        <v>-0.75992307583197993</v>
      </c>
      <c r="E274" s="307">
        <f t="shared" ca="1" si="125"/>
        <v>-10.692591013290929</v>
      </c>
      <c r="F274" s="304">
        <f t="shared" ca="1" si="126"/>
        <v>10.719560889266495</v>
      </c>
      <c r="G274" s="306">
        <f t="shared" ca="1" si="127"/>
        <v>25.803674704720155</v>
      </c>
      <c r="H274" s="307">
        <f t="shared" ca="1" si="128"/>
        <v>28.987943079317485</v>
      </c>
      <c r="I274" s="304">
        <f t="shared" ca="1" si="129"/>
        <v>38.808896818084968</v>
      </c>
      <c r="J274" s="306">
        <f t="shared" ca="1" si="130"/>
        <v>433.13554069773443</v>
      </c>
      <c r="K274" s="307">
        <f t="shared" ca="1" si="131"/>
        <v>1397.4069754756606</v>
      </c>
      <c r="L274" s="304">
        <f t="shared" ca="1" si="116"/>
        <v>1462.994412745159</v>
      </c>
      <c r="M274" s="306">
        <f t="shared" ca="1" si="132"/>
        <v>0.84344884396426612</v>
      </c>
      <c r="N274" s="304">
        <f t="shared" ca="1" si="133"/>
        <v>48.326058994340769</v>
      </c>
      <c r="P274" s="310">
        <f t="shared" ca="1" si="134"/>
        <v>23</v>
      </c>
      <c r="Q274" s="304">
        <f t="shared" ca="1" si="135"/>
        <v>0</v>
      </c>
      <c r="R274" s="306">
        <f t="shared" ca="1" si="136"/>
        <v>0</v>
      </c>
      <c r="S274" s="307">
        <f t="shared" ca="1" si="137"/>
        <v>2.9362999999999984</v>
      </c>
      <c r="T274" s="304">
        <f t="shared" ca="1" si="117"/>
        <v>28.805102999999985</v>
      </c>
      <c r="U274" s="311">
        <f t="shared" ca="1" si="118"/>
        <v>0</v>
      </c>
      <c r="V274" s="306">
        <f t="shared" ca="1" si="119"/>
        <v>1.064997103675257</v>
      </c>
      <c r="W274" s="304">
        <f t="shared" ca="1" si="120"/>
        <v>3.2730616330361726</v>
      </c>
      <c r="Y274" s="314" t="str">
        <f t="shared" ca="1" si="138"/>
        <v/>
      </c>
      <c r="Z274" s="315" t="str">
        <f t="shared" ca="1" si="139"/>
        <v/>
      </c>
      <c r="AA274" s="316" t="str">
        <f t="shared" ca="1" si="140"/>
        <v/>
      </c>
      <c r="AC274" s="310" t="e">
        <f t="shared" ca="1" si="141"/>
        <v>#N/A</v>
      </c>
      <c r="AD274" s="323" t="e">
        <f t="shared" ca="1" si="142"/>
        <v>#N/A</v>
      </c>
      <c r="AE274" s="324">
        <f t="shared" ca="1" si="121"/>
        <v>1397.4069754756606</v>
      </c>
      <c r="AG274" s="306">
        <f t="shared" ca="1" si="143"/>
        <v>-8.5987368266757755</v>
      </c>
      <c r="AH274" s="304">
        <f t="shared" ca="1" si="144"/>
        <v>-1.1646673250005108</v>
      </c>
    </row>
    <row r="275" spans="1:34" x14ac:dyDescent="0.2">
      <c r="A275" s="347">
        <f t="shared" ca="1" si="122"/>
        <v>0.1</v>
      </c>
      <c r="B275" s="304">
        <f t="shared" ca="1" si="123"/>
        <v>13.699999999999932</v>
      </c>
      <c r="D275" s="306">
        <f t="shared" ca="1" si="124"/>
        <v>-0.74114642630496919</v>
      </c>
      <c r="E275" s="307">
        <f t="shared" ca="1" si="125"/>
        <v>-10.64260662153821</v>
      </c>
      <c r="F275" s="304">
        <f t="shared" ca="1" si="126"/>
        <v>10.668381963823455</v>
      </c>
      <c r="G275" s="306">
        <f t="shared" ca="1" si="127"/>
        <v>25.729560062089657</v>
      </c>
      <c r="H275" s="307">
        <f t="shared" ca="1" si="128"/>
        <v>27.923682417163665</v>
      </c>
      <c r="I275" s="304">
        <f t="shared" ca="1" si="129"/>
        <v>37.970281809900939</v>
      </c>
      <c r="J275" s="306">
        <f t="shared" ca="1" si="130"/>
        <v>435.7122024360749</v>
      </c>
      <c r="K275" s="307">
        <f t="shared" ca="1" si="131"/>
        <v>1400.2525567504847</v>
      </c>
      <c r="L275" s="304">
        <f t="shared" ca="1" si="116"/>
        <v>1466.476166201812</v>
      </c>
      <c r="M275" s="306">
        <f t="shared" ca="1" si="132"/>
        <v>0.82626988631391041</v>
      </c>
      <c r="N275" s="304">
        <f t="shared" ca="1" si="133"/>
        <v>47.34177722454141</v>
      </c>
      <c r="P275" s="310">
        <f t="shared" ca="1" si="134"/>
        <v>23</v>
      </c>
      <c r="Q275" s="304">
        <f t="shared" ca="1" si="135"/>
        <v>0</v>
      </c>
      <c r="R275" s="306">
        <f t="shared" ca="1" si="136"/>
        <v>0</v>
      </c>
      <c r="S275" s="307">
        <f t="shared" ca="1" si="137"/>
        <v>2.9362999999999984</v>
      </c>
      <c r="T275" s="304">
        <f t="shared" ca="1" si="117"/>
        <v>28.805102999999985</v>
      </c>
      <c r="U275" s="311">
        <f t="shared" ca="1" si="118"/>
        <v>0</v>
      </c>
      <c r="V275" s="306">
        <f t="shared" ca="1" si="119"/>
        <v>1.0646926038633813</v>
      </c>
      <c r="W275" s="304">
        <f t="shared" ca="1" si="120"/>
        <v>3.1322400571971296</v>
      </c>
      <c r="Y275" s="314" t="str">
        <f t="shared" ca="1" si="138"/>
        <v/>
      </c>
      <c r="Z275" s="315" t="str">
        <f t="shared" ca="1" si="139"/>
        <v/>
      </c>
      <c r="AA275" s="316" t="str">
        <f t="shared" ca="1" si="140"/>
        <v/>
      </c>
      <c r="AC275" s="310" t="e">
        <f t="shared" ca="1" si="141"/>
        <v>#N/A</v>
      </c>
      <c r="AD275" s="323" t="e">
        <f t="shared" ca="1" si="142"/>
        <v>#N/A</v>
      </c>
      <c r="AE275" s="324">
        <f t="shared" ca="1" si="121"/>
        <v>1400.2525567504847</v>
      </c>
      <c r="AG275" s="306">
        <f t="shared" ca="1" si="143"/>
        <v>-8.4421770036240709</v>
      </c>
      <c r="AH275" s="304">
        <f t="shared" ca="1" si="144"/>
        <v>-1.1146891097763085</v>
      </c>
    </row>
    <row r="276" spans="1:34" x14ac:dyDescent="0.2">
      <c r="A276" s="347">
        <f t="shared" ca="1" si="122"/>
        <v>0.1</v>
      </c>
      <c r="B276" s="304">
        <f t="shared" ca="1" si="123"/>
        <v>13.799999999999931</v>
      </c>
      <c r="D276" s="306">
        <f t="shared" ca="1" si="124"/>
        <v>-0.72284162614874725</v>
      </c>
      <c r="E276" s="307">
        <f t="shared" ca="1" si="125"/>
        <v>-10.594482904401611</v>
      </c>
      <c r="F276" s="304">
        <f t="shared" ca="1" si="126"/>
        <v>10.619113335309656</v>
      </c>
      <c r="G276" s="306">
        <f t="shared" ca="1" si="127"/>
        <v>25.657275899474783</v>
      </c>
      <c r="H276" s="307">
        <f t="shared" ca="1" si="128"/>
        <v>26.864234126723503</v>
      </c>
      <c r="I276" s="304">
        <f t="shared" ca="1" si="129"/>
        <v>37.148120838034124</v>
      </c>
      <c r="J276" s="306">
        <f t="shared" ca="1" si="130"/>
        <v>438.2815442341531</v>
      </c>
      <c r="K276" s="307">
        <f t="shared" ca="1" si="131"/>
        <v>1402.9919525776791</v>
      </c>
      <c r="L276" s="304">
        <f t="shared" ca="1" si="116"/>
        <v>1469.8561599741665</v>
      </c>
      <c r="M276" s="306">
        <f t="shared" ca="1" si="132"/>
        <v>0.80837438460745481</v>
      </c>
      <c r="N276" s="304">
        <f t="shared" ca="1" si="133"/>
        <v>46.316440504492341</v>
      </c>
      <c r="P276" s="310">
        <f t="shared" ca="1" si="134"/>
        <v>23</v>
      </c>
      <c r="Q276" s="304">
        <f t="shared" ca="1" si="135"/>
        <v>0</v>
      </c>
      <c r="R276" s="306">
        <f t="shared" ca="1" si="136"/>
        <v>0</v>
      </c>
      <c r="S276" s="307">
        <f t="shared" ca="1" si="137"/>
        <v>2.9362999999999984</v>
      </c>
      <c r="T276" s="304">
        <f t="shared" ca="1" si="117"/>
        <v>28.805102999999985</v>
      </c>
      <c r="U276" s="311">
        <f t="shared" ca="1" si="118"/>
        <v>0</v>
      </c>
      <c r="V276" s="306">
        <f t="shared" ca="1" si="119"/>
        <v>1.0643995432306212</v>
      </c>
      <c r="W276" s="304">
        <f t="shared" ca="1" si="120"/>
        <v>2.9972401387297225</v>
      </c>
      <c r="Y276" s="314" t="str">
        <f t="shared" ca="1" si="138"/>
        <v/>
      </c>
      <c r="Z276" s="315" t="str">
        <f t="shared" ca="1" si="139"/>
        <v/>
      </c>
      <c r="AA276" s="316" t="str">
        <f t="shared" ca="1" si="140"/>
        <v/>
      </c>
      <c r="AC276" s="310" t="e">
        <f t="shared" ca="1" si="141"/>
        <v>#N/A</v>
      </c>
      <c r="AD276" s="323" t="e">
        <f t="shared" ca="1" si="142"/>
        <v>#N/A</v>
      </c>
      <c r="AE276" s="324">
        <f t="shared" ca="1" si="121"/>
        <v>1402.9919525776791</v>
      </c>
      <c r="AG276" s="306">
        <f t="shared" ca="1" si="143"/>
        <v>-8.2810913705139377</v>
      </c>
      <c r="AH276" s="304">
        <f t="shared" ca="1" si="144"/>
        <v>-1.0667302582151454</v>
      </c>
    </row>
    <row r="277" spans="1:34" x14ac:dyDescent="0.2">
      <c r="A277" s="347">
        <f t="shared" ca="1" si="122"/>
        <v>0.1</v>
      </c>
      <c r="B277" s="304">
        <f t="shared" ca="1" si="123"/>
        <v>13.899999999999931</v>
      </c>
      <c r="D277" s="306">
        <f t="shared" ca="1" si="124"/>
        <v>-0.70500924098653983</v>
      </c>
      <c r="E277" s="307">
        <f t="shared" ca="1" si="125"/>
        <v>-10.548173973946851</v>
      </c>
      <c r="F277" s="304">
        <f t="shared" ca="1" si="126"/>
        <v>10.571708102975892</v>
      </c>
      <c r="G277" s="306">
        <f t="shared" ca="1" si="127"/>
        <v>25.58677497537613</v>
      </c>
      <c r="H277" s="307">
        <f t="shared" ca="1" si="128"/>
        <v>25.809416729328817</v>
      </c>
      <c r="I277" s="304">
        <f t="shared" ca="1" si="129"/>
        <v>36.342936666547629</v>
      </c>
      <c r="J277" s="306">
        <f t="shared" ca="1" si="130"/>
        <v>440.84374677789566</v>
      </c>
      <c r="K277" s="307">
        <f t="shared" ca="1" si="131"/>
        <v>1405.6256351204818</v>
      </c>
      <c r="L277" s="304">
        <f t="shared" ca="1" si="116"/>
        <v>1473.134968419741</v>
      </c>
      <c r="M277" s="306">
        <f t="shared" ca="1" si="132"/>
        <v>0.78973000888931766</v>
      </c>
      <c r="N277" s="304">
        <f t="shared" ca="1" si="133"/>
        <v>45.24819646418689</v>
      </c>
      <c r="P277" s="310">
        <f t="shared" ca="1" si="134"/>
        <v>23</v>
      </c>
      <c r="Q277" s="304">
        <f t="shared" ca="1" si="135"/>
        <v>0</v>
      </c>
      <c r="R277" s="306">
        <f t="shared" ca="1" si="136"/>
        <v>0</v>
      </c>
      <c r="S277" s="307">
        <f t="shared" ca="1" si="137"/>
        <v>2.9362999999999984</v>
      </c>
      <c r="T277" s="304">
        <f t="shared" ca="1" si="117"/>
        <v>28.805102999999985</v>
      </c>
      <c r="U277" s="311">
        <f t="shared" ca="1" si="118"/>
        <v>0</v>
      </c>
      <c r="V277" s="306">
        <f t="shared" ca="1" si="119"/>
        <v>1.0641178625307302</v>
      </c>
      <c r="W277" s="304">
        <f t="shared" ca="1" si="120"/>
        <v>2.8679589395658383</v>
      </c>
      <c r="Y277" s="314" t="str">
        <f t="shared" ca="1" si="138"/>
        <v/>
      </c>
      <c r="Z277" s="315" t="str">
        <f t="shared" ca="1" si="139"/>
        <v/>
      </c>
      <c r="AA277" s="316" t="str">
        <f t="shared" ca="1" si="140"/>
        <v/>
      </c>
      <c r="AC277" s="310" t="e">
        <f t="shared" ca="1" si="141"/>
        <v>#N/A</v>
      </c>
      <c r="AD277" s="323" t="e">
        <f t="shared" ca="1" si="142"/>
        <v>#N/A</v>
      </c>
      <c r="AE277" s="324">
        <f t="shared" ca="1" si="121"/>
        <v>1405.6256351204818</v>
      </c>
      <c r="AG277" s="306">
        <f t="shared" ca="1" si="143"/>
        <v>-8.115006225147825</v>
      </c>
      <c r="AH277" s="304">
        <f t="shared" ca="1" si="144"/>
        <v>-1.0207540573952676</v>
      </c>
    </row>
    <row r="278" spans="1:34" x14ac:dyDescent="0.2">
      <c r="A278" s="347">
        <f t="shared" ca="1" si="122"/>
        <v>0.1</v>
      </c>
      <c r="B278" s="304">
        <f t="shared" ca="1" si="123"/>
        <v>13.999999999999931</v>
      </c>
      <c r="D278" s="306">
        <f t="shared" ca="1" si="124"/>
        <v>-0.68765093304210179</v>
      </c>
      <c r="E278" s="307">
        <f t="shared" ca="1" si="125"/>
        <v>-10.503634485482261</v>
      </c>
      <c r="F278" s="304">
        <f t="shared" ca="1" si="126"/>
        <v>10.526119950405556</v>
      </c>
      <c r="G278" s="306">
        <f t="shared" ca="1" si="127"/>
        <v>25.518009882071919</v>
      </c>
      <c r="H278" s="307">
        <f t="shared" ca="1" si="128"/>
        <v>24.759053280780591</v>
      </c>
      <c r="I278" s="304">
        <f t="shared" ca="1" si="129"/>
        <v>35.55530266643855</v>
      </c>
      <c r="J278" s="306">
        <f t="shared" ca="1" si="130"/>
        <v>443.39898602076806</v>
      </c>
      <c r="K278" s="307">
        <f t="shared" ca="1" si="131"/>
        <v>1408.1540586209871</v>
      </c>
      <c r="L278" s="304">
        <f t="shared" ca="1" si="116"/>
        <v>1476.31314889999</v>
      </c>
      <c r="M278" s="306">
        <f t="shared" ca="1" si="132"/>
        <v>0.77030382588651758</v>
      </c>
      <c r="N278" s="304">
        <f t="shared" ca="1" si="133"/>
        <v>44.135158166077666</v>
      </c>
      <c r="P278" s="310">
        <f t="shared" ca="1" si="134"/>
        <v>23</v>
      </c>
      <c r="Q278" s="304">
        <f t="shared" ca="1" si="135"/>
        <v>0</v>
      </c>
      <c r="R278" s="306">
        <f t="shared" ca="1" si="136"/>
        <v>0</v>
      </c>
      <c r="S278" s="307">
        <f t="shared" ca="1" si="137"/>
        <v>2.9362999999999984</v>
      </c>
      <c r="T278" s="304">
        <f t="shared" ca="1" si="117"/>
        <v>28.805102999999985</v>
      </c>
      <c r="U278" s="311">
        <f t="shared" ca="1" si="118"/>
        <v>0</v>
      </c>
      <c r="V278" s="306">
        <f t="shared" ca="1" si="119"/>
        <v>1.0638475048257545</v>
      </c>
      <c r="W278" s="304">
        <f t="shared" ca="1" si="120"/>
        <v>2.7442981985328174</v>
      </c>
      <c r="Y278" s="314" t="str">
        <f t="shared" ca="1" si="138"/>
        <v/>
      </c>
      <c r="Z278" s="315" t="str">
        <f t="shared" ca="1" si="139"/>
        <v/>
      </c>
      <c r="AA278" s="316" t="str">
        <f t="shared" ca="1" si="140"/>
        <v/>
      </c>
      <c r="AC278" s="310">
        <f t="shared" ca="1" si="141"/>
        <v>13.999999999999931</v>
      </c>
      <c r="AD278" s="323">
        <f t="shared" ca="1" si="142"/>
        <v>443.39898602076806</v>
      </c>
      <c r="AE278" s="324">
        <f t="shared" ca="1" si="121"/>
        <v>1408.1540586209871</v>
      </c>
      <c r="AG278" s="306">
        <f t="shared" ca="1" si="143"/>
        <v>-7.943426584991494</v>
      </c>
      <c r="AH278" s="304">
        <f t="shared" ca="1" si="144"/>
        <v>-0.97672545024889823</v>
      </c>
    </row>
    <row r="279" spans="1:34" x14ac:dyDescent="0.2">
      <c r="A279" s="347">
        <f t="shared" ca="1" si="122"/>
        <v>0.1</v>
      </c>
      <c r="B279" s="304">
        <f t="shared" ca="1" si="123"/>
        <v>14.09999999999993</v>
      </c>
      <c r="D279" s="306">
        <f t="shared" ca="1" si="124"/>
        <v>-0.67076948425179128</v>
      </c>
      <c r="E279" s="307">
        <f t="shared" ca="1" si="125"/>
        <v>-10.460819459529239</v>
      </c>
      <c r="F279" s="304">
        <f t="shared" ca="1" si="126"/>
        <v>10.482302965754663</v>
      </c>
      <c r="G279" s="306">
        <f t="shared" ca="1" si="127"/>
        <v>25.45093293364674</v>
      </c>
      <c r="H279" s="307">
        <f t="shared" ca="1" si="128"/>
        <v>23.712971334827667</v>
      </c>
      <c r="I279" s="304">
        <f t="shared" ca="1" si="129"/>
        <v>34.785844775128616</v>
      </c>
      <c r="J279" s="306">
        <f t="shared" ca="1" si="130"/>
        <v>445.94743316155399</v>
      </c>
      <c r="K279" s="307">
        <f t="shared" ca="1" si="131"/>
        <v>1410.5776598517675</v>
      </c>
      <c r="L279" s="304">
        <f t="shared" ca="1" si="116"/>
        <v>1479.3912422399517</v>
      </c>
      <c r="M279" s="306">
        <f t="shared" ca="1" si="132"/>
        <v>0.75006251989292971</v>
      </c>
      <c r="N279" s="304">
        <f t="shared" ca="1" si="133"/>
        <v>42.975416760812223</v>
      </c>
      <c r="P279" s="310">
        <f t="shared" ca="1" si="134"/>
        <v>23</v>
      </c>
      <c r="Q279" s="304">
        <f t="shared" ca="1" si="135"/>
        <v>0</v>
      </c>
      <c r="R279" s="306">
        <f t="shared" ca="1" si="136"/>
        <v>0</v>
      </c>
      <c r="S279" s="307">
        <f t="shared" ca="1" si="137"/>
        <v>2.9362999999999984</v>
      </c>
      <c r="T279" s="304">
        <f t="shared" ca="1" si="117"/>
        <v>28.805102999999985</v>
      </c>
      <c r="U279" s="311">
        <f t="shared" ca="1" si="118"/>
        <v>0</v>
      </c>
      <c r="V279" s="306">
        <f t="shared" ca="1" si="119"/>
        <v>1.0635884154299482</v>
      </c>
      <c r="W279" s="304">
        <f t="shared" ca="1" si="120"/>
        <v>2.6261641535463496</v>
      </c>
      <c r="Y279" s="314" t="str">
        <f t="shared" ca="1" si="138"/>
        <v/>
      </c>
      <c r="Z279" s="315" t="str">
        <f t="shared" ca="1" si="139"/>
        <v/>
      </c>
      <c r="AA279" s="316" t="str">
        <f t="shared" ca="1" si="140"/>
        <v/>
      </c>
      <c r="AC279" s="310" t="e">
        <f t="shared" ca="1" si="141"/>
        <v>#N/A</v>
      </c>
      <c r="AD279" s="323" t="e">
        <f t="shared" ca="1" si="142"/>
        <v>#N/A</v>
      </c>
      <c r="AE279" s="324">
        <f t="shared" ca="1" si="121"/>
        <v>1410.5776598517675</v>
      </c>
      <c r="AG279" s="306">
        <f t="shared" ca="1" si="143"/>
        <v>-7.7658371038836096</v>
      </c>
      <c r="AH279" s="304">
        <f t="shared" ca="1" si="144"/>
        <v>-0.93461097249355274</v>
      </c>
    </row>
    <row r="280" spans="1:34" x14ac:dyDescent="0.2">
      <c r="A280" s="347">
        <f t="shared" ca="1" si="122"/>
        <v>0.1</v>
      </c>
      <c r="B280" s="304">
        <f t="shared" ca="1" si="123"/>
        <v>14.19999999999993</v>
      </c>
      <c r="D280" s="306">
        <f t="shared" ca="1" si="124"/>
        <v>-0.65436881744539832</v>
      </c>
      <c r="E280" s="307">
        <f t="shared" ca="1" si="125"/>
        <v>-10.419684094918734</v>
      </c>
      <c r="F280" s="304">
        <f t="shared" ca="1" si="126"/>
        <v>10.440211453181748</v>
      </c>
      <c r="G280" s="306">
        <f t="shared" ca="1" si="127"/>
        <v>25.385496051902201</v>
      </c>
      <c r="H280" s="307">
        <f t="shared" ca="1" si="128"/>
        <v>22.671002925335795</v>
      </c>
      <c r="I280" s="304">
        <f t="shared" ca="1" si="129"/>
        <v>34.035243255216002</v>
      </c>
      <c r="J280" s="306">
        <f t="shared" ca="1" si="130"/>
        <v>448.48925461083144</v>
      </c>
      <c r="K280" s="307">
        <f t="shared" ca="1" si="131"/>
        <v>1412.8968585647756</v>
      </c>
      <c r="L280" s="304">
        <f t="shared" ca="1" si="116"/>
        <v>1482.3697731819786</v>
      </c>
      <c r="M280" s="306">
        <f t="shared" ca="1" si="132"/>
        <v>0.72897266968353369</v>
      </c>
      <c r="N280" s="304">
        <f t="shared" ca="1" si="133"/>
        <v>41.767057353250735</v>
      </c>
      <c r="P280" s="310">
        <f t="shared" ca="1" si="134"/>
        <v>23</v>
      </c>
      <c r="Q280" s="304">
        <f t="shared" ca="1" si="135"/>
        <v>0</v>
      </c>
      <c r="R280" s="306">
        <f t="shared" ca="1" si="136"/>
        <v>0</v>
      </c>
      <c r="S280" s="307">
        <f t="shared" ca="1" si="137"/>
        <v>2.9362999999999984</v>
      </c>
      <c r="T280" s="304">
        <f t="shared" ca="1" si="117"/>
        <v>28.805102999999985</v>
      </c>
      <c r="U280" s="311">
        <f t="shared" ca="1" si="118"/>
        <v>0</v>
      </c>
      <c r="V280" s="306">
        <f t="shared" ca="1" si="119"/>
        <v>1.0633405418543769</v>
      </c>
      <c r="W280" s="304">
        <f t="shared" ca="1" si="120"/>
        <v>2.5134673705062407</v>
      </c>
      <c r="Y280" s="314" t="str">
        <f t="shared" ca="1" si="138"/>
        <v/>
      </c>
      <c r="Z280" s="315" t="str">
        <f t="shared" ca="1" si="139"/>
        <v/>
      </c>
      <c r="AA280" s="316" t="str">
        <f t="shared" ca="1" si="140"/>
        <v/>
      </c>
      <c r="AC280" s="310" t="e">
        <f t="shared" ca="1" si="141"/>
        <v>#N/A</v>
      </c>
      <c r="AD280" s="323" t="e">
        <f t="shared" ca="1" si="142"/>
        <v>#N/A</v>
      </c>
      <c r="AE280" s="324">
        <f t="shared" ca="1" si="121"/>
        <v>1412.8968585647756</v>
      </c>
      <c r="AG280" s="306">
        <f t="shared" ca="1" si="143"/>
        <v>-7.5817036743637676</v>
      </c>
      <c r="AH280" s="304">
        <f t="shared" ca="1" si="144"/>
        <v>-0.89437869207722343</v>
      </c>
    </row>
    <row r="281" spans="1:34" x14ac:dyDescent="0.2">
      <c r="A281" s="347">
        <f t="shared" ca="1" si="122"/>
        <v>0.1</v>
      </c>
      <c r="B281" s="304">
        <f t="shared" ca="1" si="123"/>
        <v>14.29999999999993</v>
      </c>
      <c r="D281" s="306">
        <f t="shared" ca="1" si="124"/>
        <v>-0.63845401419124337</v>
      </c>
      <c r="E281" s="307">
        <f t="shared" ca="1" si="125"/>
        <v>-10.380183572297673</v>
      </c>
      <c r="F281" s="304">
        <f t="shared" ca="1" si="126"/>
        <v>10.399799734746598</v>
      </c>
      <c r="G281" s="306">
        <f t="shared" ca="1" si="127"/>
        <v>25.321650650483075</v>
      </c>
      <c r="H281" s="307">
        <f t="shared" ca="1" si="128"/>
        <v>21.632984568106028</v>
      </c>
      <c r="I281" s="304">
        <f t="shared" ca="1" si="129"/>
        <v>33.304234160073754</v>
      </c>
      <c r="J281" s="306">
        <f t="shared" ca="1" si="130"/>
        <v>451.02461194595071</v>
      </c>
      <c r="K281" s="307">
        <f t="shared" ca="1" si="131"/>
        <v>1415.1120579394476</v>
      </c>
      <c r="L281" s="304">
        <f t="shared" ca="1" si="116"/>
        <v>1485.2492508352307</v>
      </c>
      <c r="M281" s="306">
        <f t="shared" ca="1" si="132"/>
        <v>0.7070010893846872</v>
      </c>
      <c r="N281" s="304">
        <f t="shared" ca="1" si="133"/>
        <v>40.508178532894043</v>
      </c>
      <c r="P281" s="310">
        <f t="shared" ca="1" si="134"/>
        <v>23</v>
      </c>
      <c r="Q281" s="304">
        <f t="shared" ca="1" si="135"/>
        <v>0</v>
      </c>
      <c r="R281" s="306">
        <f t="shared" ca="1" si="136"/>
        <v>0</v>
      </c>
      <c r="S281" s="307">
        <f t="shared" ca="1" si="137"/>
        <v>2.9362999999999984</v>
      </c>
      <c r="T281" s="304">
        <f t="shared" ca="1" si="117"/>
        <v>28.805102999999985</v>
      </c>
      <c r="U281" s="311">
        <f t="shared" ca="1" si="118"/>
        <v>0</v>
      </c>
      <c r="V281" s="306">
        <f t="shared" ca="1" si="119"/>
        <v>1.0631038337520031</v>
      </c>
      <c r="W281" s="304">
        <f t="shared" ca="1" si="120"/>
        <v>2.4061225782254358</v>
      </c>
      <c r="Y281" s="314" t="str">
        <f t="shared" ca="1" si="138"/>
        <v/>
      </c>
      <c r="Z281" s="315" t="str">
        <f t="shared" ca="1" si="139"/>
        <v/>
      </c>
      <c r="AA281" s="316" t="str">
        <f t="shared" ca="1" si="140"/>
        <v/>
      </c>
      <c r="AC281" s="310" t="e">
        <f t="shared" ca="1" si="141"/>
        <v>#N/A</v>
      </c>
      <c r="AD281" s="323" t="e">
        <f t="shared" ca="1" si="142"/>
        <v>#N/A</v>
      </c>
      <c r="AE281" s="324">
        <f t="shared" ca="1" si="121"/>
        <v>1415.1120579394476</v>
      </c>
      <c r="AG281" s="306">
        <f t="shared" ca="1" si="143"/>
        <v>-7.3904758694829455</v>
      </c>
      <c r="AH281" s="304">
        <f t="shared" ca="1" si="144"/>
        <v>-0.85599815090632503</v>
      </c>
    </row>
    <row r="282" spans="1:34" x14ac:dyDescent="0.2">
      <c r="A282" s="347">
        <f t="shared" ca="1" si="122"/>
        <v>0.1</v>
      </c>
      <c r="B282" s="304">
        <f t="shared" ca="1" si="123"/>
        <v>14.399999999999929</v>
      </c>
      <c r="D282" s="306">
        <f t="shared" ca="1" si="124"/>
        <v>-0.6230313276167907</v>
      </c>
      <c r="E282" s="307">
        <f t="shared" ca="1" si="125"/>
        <v>-10.342272847525583</v>
      </c>
      <c r="F282" s="304">
        <f t="shared" ca="1" si="126"/>
        <v>10.361021942253423</v>
      </c>
      <c r="G282" s="306">
        <f t="shared" ca="1" si="127"/>
        <v>25.259347517721395</v>
      </c>
      <c r="H282" s="307">
        <f t="shared" ca="1" si="128"/>
        <v>20.598757283353471</v>
      </c>
      <c r="I282" s="304">
        <f t="shared" ca="1" si="129"/>
        <v>32.593610395897009</v>
      </c>
      <c r="J282" s="306">
        <f t="shared" ca="1" si="130"/>
        <v>453.55366185436094</v>
      </c>
      <c r="K282" s="307">
        <f t="shared" ca="1" si="131"/>
        <v>1417.2236450320206</v>
      </c>
      <c r="L282" s="304">
        <f t="shared" ca="1" si="116"/>
        <v>1488.0301691227053</v>
      </c>
      <c r="M282" s="306">
        <f t="shared" ca="1" si="132"/>
        <v>0.68411524130849366</v>
      </c>
      <c r="N282" s="304">
        <f t="shared" ca="1" si="133"/>
        <v>39.196916027550557</v>
      </c>
      <c r="P282" s="310">
        <f t="shared" ca="1" si="134"/>
        <v>23</v>
      </c>
      <c r="Q282" s="304">
        <f t="shared" ca="1" si="135"/>
        <v>0</v>
      </c>
      <c r="R282" s="306">
        <f t="shared" ca="1" si="136"/>
        <v>0</v>
      </c>
      <c r="S282" s="307">
        <f t="shared" ca="1" si="137"/>
        <v>2.9362999999999984</v>
      </c>
      <c r="T282" s="304">
        <f t="shared" ca="1" si="117"/>
        <v>28.805102999999985</v>
      </c>
      <c r="U282" s="311">
        <f t="shared" ca="1" si="118"/>
        <v>0</v>
      </c>
      <c r="V282" s="306">
        <f t="shared" ca="1" si="119"/>
        <v>1.0628782428630115</v>
      </c>
      <c r="W282" s="304">
        <f t="shared" ca="1" si="120"/>
        <v>2.3040485087288554</v>
      </c>
      <c r="Y282" s="314" t="str">
        <f t="shared" ca="1" si="138"/>
        <v/>
      </c>
      <c r="Z282" s="315" t="str">
        <f t="shared" ca="1" si="139"/>
        <v/>
      </c>
      <c r="AA282" s="316" t="str">
        <f t="shared" ca="1" si="140"/>
        <v/>
      </c>
      <c r="AC282" s="310" t="e">
        <f t="shared" ca="1" si="141"/>
        <v>#N/A</v>
      </c>
      <c r="AD282" s="323" t="e">
        <f t="shared" ca="1" si="142"/>
        <v>#N/A</v>
      </c>
      <c r="AE282" s="324">
        <f t="shared" ca="1" si="121"/>
        <v>1417.2236450320206</v>
      </c>
      <c r="AG282" s="306">
        <f t="shared" ca="1" si="143"/>
        <v>-7.1915903960048171</v>
      </c>
      <c r="AH282" s="304">
        <f t="shared" ca="1" si="144"/>
        <v>-0.81944030862835449</v>
      </c>
    </row>
    <row r="283" spans="1:34" x14ac:dyDescent="0.2">
      <c r="A283" s="347">
        <f t="shared" ca="1" si="122"/>
        <v>0.1</v>
      </c>
      <c r="B283" s="304">
        <f t="shared" ca="1" si="123"/>
        <v>14.499999999999929</v>
      </c>
      <c r="D283" s="306">
        <f t="shared" ca="1" si="124"/>
        <v>-0.60810818820383861</v>
      </c>
      <c r="E283" s="307">
        <f t="shared" ca="1" si="125"/>
        <v>-10.305906434718576</v>
      </c>
      <c r="F283" s="304">
        <f t="shared" ca="1" si="126"/>
        <v>10.323831798791296</v>
      </c>
      <c r="G283" s="306">
        <f t="shared" ca="1" si="127"/>
        <v>25.198536698901012</v>
      </c>
      <c r="H283" s="307">
        <f t="shared" ca="1" si="128"/>
        <v>19.568166639881614</v>
      </c>
      <c r="I283" s="304">
        <f t="shared" ca="1" si="129"/>
        <v>31.904222250542901</v>
      </c>
      <c r="J283" s="306">
        <f t="shared" ca="1" si="130"/>
        <v>456.07655606519205</v>
      </c>
      <c r="K283" s="307">
        <f t="shared" ca="1" si="131"/>
        <v>1419.2319912281823</v>
      </c>
      <c r="L283" s="304">
        <f t="shared" ca="1" si="116"/>
        <v>1490.7130072276816</v>
      </c>
      <c r="M283" s="306">
        <f t="shared" ca="1" si="132"/>
        <v>0.66028372843680405</v>
      </c>
      <c r="N283" s="304">
        <f t="shared" ca="1" si="133"/>
        <v>37.831470920591052</v>
      </c>
      <c r="P283" s="310">
        <f t="shared" ca="1" si="134"/>
        <v>23</v>
      </c>
      <c r="Q283" s="304">
        <f t="shared" ca="1" si="135"/>
        <v>0</v>
      </c>
      <c r="R283" s="306">
        <f t="shared" ca="1" si="136"/>
        <v>0</v>
      </c>
      <c r="S283" s="307">
        <f t="shared" ca="1" si="137"/>
        <v>2.9362999999999984</v>
      </c>
      <c r="T283" s="304">
        <f t="shared" ca="1" si="117"/>
        <v>28.805102999999985</v>
      </c>
      <c r="U283" s="311">
        <f t="shared" ca="1" si="118"/>
        <v>0</v>
      </c>
      <c r="V283" s="306">
        <f t="shared" ca="1" si="119"/>
        <v>1.0626637229601403</v>
      </c>
      <c r="W283" s="304">
        <f t="shared" ca="1" si="120"/>
        <v>2.2071677422626199</v>
      </c>
      <c r="Y283" s="314" t="str">
        <f t="shared" ca="1" si="138"/>
        <v/>
      </c>
      <c r="Z283" s="315" t="str">
        <f t="shared" ca="1" si="139"/>
        <v/>
      </c>
      <c r="AA283" s="316" t="str">
        <f t="shared" ca="1" si="140"/>
        <v/>
      </c>
      <c r="AC283" s="310" t="e">
        <f t="shared" ca="1" si="141"/>
        <v>#N/A</v>
      </c>
      <c r="AD283" s="323" t="e">
        <f t="shared" ca="1" si="142"/>
        <v>#N/A</v>
      </c>
      <c r="AE283" s="324">
        <f t="shared" ca="1" si="121"/>
        <v>1419.2319912281823</v>
      </c>
      <c r="AG283" s="306">
        <f t="shared" ca="1" si="143"/>
        <v>-6.9844757460986466</v>
      </c>
      <c r="AH283" s="304">
        <f t="shared" ca="1" si="144"/>
        <v>-0.78467748824331873</v>
      </c>
    </row>
    <row r="284" spans="1:34" x14ac:dyDescent="0.2">
      <c r="A284" s="347">
        <f t="shared" ca="1" si="122"/>
        <v>0.1</v>
      </c>
      <c r="B284" s="304">
        <f t="shared" ca="1" si="123"/>
        <v>14.599999999999929</v>
      </c>
      <c r="D284" s="306">
        <f t="shared" ca="1" si="124"/>
        <v>-0.59369320022500527</v>
      </c>
      <c r="E284" s="307">
        <f t="shared" ca="1" si="125"/>
        <v>-10.271038179073081</v>
      </c>
      <c r="F284" s="304">
        <f t="shared" ca="1" si="126"/>
        <v>10.288182390100317</v>
      </c>
      <c r="G284" s="306">
        <f t="shared" ca="1" si="127"/>
        <v>25.139167378878511</v>
      </c>
      <c r="H284" s="307">
        <f t="shared" ca="1" si="128"/>
        <v>18.541062821974307</v>
      </c>
      <c r="I284" s="304">
        <f t="shared" ca="1" si="129"/>
        <v>31.236977239670093</v>
      </c>
      <c r="J284" s="306">
        <f t="shared" ca="1" si="130"/>
        <v>458.59344126908104</v>
      </c>
      <c r="K284" s="307">
        <f t="shared" ca="1" si="131"/>
        <v>1421.1374527012752</v>
      </c>
      <c r="L284" s="304">
        <f t="shared" ca="1" si="116"/>
        <v>1493.2982300415704</v>
      </c>
      <c r="M284" s="306">
        <f t="shared" ca="1" si="132"/>
        <v>0.63547687336006631</v>
      </c>
      <c r="N284" s="304">
        <f t="shared" ca="1" si="133"/>
        <v>36.410142821701299</v>
      </c>
      <c r="P284" s="310">
        <f t="shared" ca="1" si="134"/>
        <v>23</v>
      </c>
      <c r="Q284" s="304">
        <f t="shared" ca="1" si="135"/>
        <v>0</v>
      </c>
      <c r="R284" s="306">
        <f t="shared" ca="1" si="136"/>
        <v>0</v>
      </c>
      <c r="S284" s="307">
        <f t="shared" ca="1" si="137"/>
        <v>2.9362999999999984</v>
      </c>
      <c r="T284" s="304">
        <f t="shared" ca="1" si="117"/>
        <v>28.805102999999985</v>
      </c>
      <c r="U284" s="311">
        <f t="shared" ca="1" si="118"/>
        <v>0</v>
      </c>
      <c r="V284" s="306">
        <f t="shared" ca="1" si="119"/>
        <v>1.0624602297937706</v>
      </c>
      <c r="W284" s="304">
        <f t="shared" ca="1" si="120"/>
        <v>2.115406556356632</v>
      </c>
      <c r="Y284" s="314" t="str">
        <f t="shared" ca="1" si="138"/>
        <v/>
      </c>
      <c r="Z284" s="315" t="str">
        <f t="shared" ca="1" si="139"/>
        <v/>
      </c>
      <c r="AA284" s="316" t="str">
        <f t="shared" ca="1" si="140"/>
        <v/>
      </c>
      <c r="AC284" s="310" t="e">
        <f t="shared" ca="1" si="141"/>
        <v>#N/A</v>
      </c>
      <c r="AD284" s="323" t="e">
        <f t="shared" ca="1" si="142"/>
        <v>#N/A</v>
      </c>
      <c r="AE284" s="324">
        <f t="shared" ca="1" si="121"/>
        <v>1421.1374527012752</v>
      </c>
      <c r="AG284" s="306">
        <f t="shared" ca="1" si="143"/>
        <v>-6.768558244442751</v>
      </c>
      <c r="AH284" s="304">
        <f t="shared" ca="1" si="144"/>
        <v>-0.75168332331935472</v>
      </c>
    </row>
    <row r="285" spans="1:34" x14ac:dyDescent="0.2">
      <c r="A285" s="347">
        <f t="shared" ca="1" si="122"/>
        <v>0.1</v>
      </c>
      <c r="B285" s="304">
        <f t="shared" ca="1" si="123"/>
        <v>14.699999999999928</v>
      </c>
      <c r="D285" s="306">
        <f t="shared" ca="1" si="124"/>
        <v>-0.57979612614863496</v>
      </c>
      <c r="E285" s="307">
        <f t="shared" ca="1" si="125"/>
        <v>-10.237621020093577</v>
      </c>
      <c r="F285" s="304">
        <f t="shared" ca="1" si="126"/>
        <v>10.254025926384173</v>
      </c>
      <c r="G285" s="306">
        <f t="shared" ca="1" si="127"/>
        <v>25.081187766263646</v>
      </c>
      <c r="H285" s="307">
        <f t="shared" ca="1" si="128"/>
        <v>17.51730071996495</v>
      </c>
      <c r="I285" s="304">
        <f t="shared" ca="1" si="129"/>
        <v>30.592839101336406</v>
      </c>
      <c r="J285" s="306">
        <f t="shared" ca="1" si="130"/>
        <v>461.10445902633813</v>
      </c>
      <c r="K285" s="307">
        <f t="shared" ca="1" si="131"/>
        <v>1422.9403708783721</v>
      </c>
      <c r="L285" s="304">
        <f t="shared" ca="1" si="116"/>
        <v>1495.7862886152725</v>
      </c>
      <c r="M285" s="306">
        <f t="shared" ca="1" si="132"/>
        <v>0.60966738886200889</v>
      </c>
      <c r="N285" s="304">
        <f t="shared" ca="1" si="133"/>
        <v>34.931368288554282</v>
      </c>
      <c r="P285" s="310">
        <f t="shared" ca="1" si="134"/>
        <v>23</v>
      </c>
      <c r="Q285" s="304">
        <f t="shared" ca="1" si="135"/>
        <v>0</v>
      </c>
      <c r="R285" s="306">
        <f t="shared" ca="1" si="136"/>
        <v>0</v>
      </c>
      <c r="S285" s="307">
        <f t="shared" ca="1" si="137"/>
        <v>2.9362999999999984</v>
      </c>
      <c r="T285" s="304">
        <f t="shared" ca="1" si="117"/>
        <v>28.805102999999985</v>
      </c>
      <c r="U285" s="311">
        <f t="shared" ca="1" si="118"/>
        <v>0</v>
      </c>
      <c r="V285" s="306">
        <f t="shared" ca="1" si="119"/>
        <v>1.062267721036509</v>
      </c>
      <c r="W285" s="304">
        <f t="shared" ca="1" si="120"/>
        <v>2.0286947782851925</v>
      </c>
      <c r="Y285" s="314" t="str">
        <f t="shared" ca="1" si="138"/>
        <v/>
      </c>
      <c r="Z285" s="315" t="str">
        <f t="shared" ca="1" si="139"/>
        <v/>
      </c>
      <c r="AA285" s="316" t="str">
        <f t="shared" ca="1" si="140"/>
        <v/>
      </c>
      <c r="AC285" s="310" t="e">
        <f t="shared" ca="1" si="141"/>
        <v>#N/A</v>
      </c>
      <c r="AD285" s="323" t="e">
        <f t="shared" ca="1" si="142"/>
        <v>#N/A</v>
      </c>
      <c r="AE285" s="324">
        <f t="shared" ca="1" si="121"/>
        <v>1422.9403708783721</v>
      </c>
      <c r="AG285" s="306">
        <f t="shared" ca="1" si="143"/>
        <v>-6.5432696887976567</v>
      </c>
      <c r="AH285" s="304">
        <f t="shared" ca="1" si="144"/>
        <v>-0.72043270658877945</v>
      </c>
    </row>
    <row r="286" spans="1:34" x14ac:dyDescent="0.2">
      <c r="A286" s="347">
        <f t="shared" ca="1" si="122"/>
        <v>0.1</v>
      </c>
      <c r="B286" s="304">
        <f t="shared" ca="1" si="123"/>
        <v>14.799999999999928</v>
      </c>
      <c r="D286" s="306">
        <f t="shared" ca="1" si="124"/>
        <v>-0.56642785601195844</v>
      </c>
      <c r="E286" s="307">
        <f t="shared" ca="1" si="125"/>
        <v>-10.205606746474457</v>
      </c>
      <c r="F286" s="304">
        <f t="shared" ca="1" si="126"/>
        <v>10.221313495816046</v>
      </c>
      <c r="G286" s="306">
        <f t="shared" ca="1" si="127"/>
        <v>25.024544980662451</v>
      </c>
      <c r="H286" s="307">
        <f t="shared" ca="1" si="128"/>
        <v>16.496740045317505</v>
      </c>
      <c r="I286" s="304">
        <f t="shared" ca="1" si="129"/>
        <v>29.972825752871227</v>
      </c>
      <c r="J286" s="306">
        <f t="shared" ca="1" si="130"/>
        <v>463.60974566368446</v>
      </c>
      <c r="K286" s="307">
        <f t="shared" ca="1" si="131"/>
        <v>1424.6410729166362</v>
      </c>
      <c r="L286" s="304">
        <f t="shared" ca="1" si="116"/>
        <v>1498.177620616264</v>
      </c>
      <c r="M286" s="306">
        <f t="shared" ca="1" si="132"/>
        <v>0.58283114280249781</v>
      </c>
      <c r="N286" s="304">
        <f t="shared" ca="1" si="133"/>
        <v>33.393764651369715</v>
      </c>
      <c r="P286" s="310">
        <f t="shared" ca="1" si="134"/>
        <v>23</v>
      </c>
      <c r="Q286" s="304">
        <f t="shared" ca="1" si="135"/>
        <v>0</v>
      </c>
      <c r="R286" s="306">
        <f t="shared" ca="1" si="136"/>
        <v>0</v>
      </c>
      <c r="S286" s="307">
        <f t="shared" ca="1" si="137"/>
        <v>2.9362999999999984</v>
      </c>
      <c r="T286" s="304">
        <f t="shared" ca="1" si="117"/>
        <v>28.805102999999985</v>
      </c>
      <c r="U286" s="311">
        <f t="shared" ca="1" si="118"/>
        <v>0</v>
      </c>
      <c r="V286" s="306">
        <f t="shared" ca="1" si="119"/>
        <v>1.0620861562269994</v>
      </c>
      <c r="W286" s="304">
        <f t="shared" ca="1" si="120"/>
        <v>1.9469656402724509</v>
      </c>
      <c r="Y286" s="314" t="str">
        <f t="shared" ca="1" si="138"/>
        <v/>
      </c>
      <c r="Z286" s="315" t="str">
        <f t="shared" ca="1" si="139"/>
        <v/>
      </c>
      <c r="AA286" s="316" t="str">
        <f t="shared" ca="1" si="140"/>
        <v/>
      </c>
      <c r="AC286" s="310" t="e">
        <f t="shared" ca="1" si="141"/>
        <v>#N/A</v>
      </c>
      <c r="AD286" s="323" t="e">
        <f t="shared" ca="1" si="142"/>
        <v>#N/A</v>
      </c>
      <c r="AE286" s="324">
        <f t="shared" ca="1" si="121"/>
        <v>1424.6410729166362</v>
      </c>
      <c r="AG286" s="306">
        <f t="shared" ca="1" si="143"/>
        <v>-6.3080567704467851</v>
      </c>
      <c r="AH286" s="304">
        <f t="shared" ca="1" si="144"/>
        <v>-0.69090173970139079</v>
      </c>
    </row>
    <row r="287" spans="1:34" x14ac:dyDescent="0.2">
      <c r="A287" s="347">
        <f t="shared" ca="1" si="122"/>
        <v>0.1</v>
      </c>
      <c r="B287" s="304">
        <f t="shared" ca="1" si="123"/>
        <v>14.899999999999928</v>
      </c>
      <c r="D287" s="306">
        <f t="shared" ca="1" si="124"/>
        <v>-0.55360035847484401</v>
      </c>
      <c r="E287" s="307">
        <f t="shared" ca="1" si="125"/>
        <v>-10.174945744660343</v>
      </c>
      <c r="F287" s="304">
        <f t="shared" ca="1" si="126"/>
        <v>10.18999481175948</v>
      </c>
      <c r="G287" s="306">
        <f t="shared" ca="1" si="127"/>
        <v>24.969184944814966</v>
      </c>
      <c r="H287" s="307">
        <f t="shared" ca="1" si="128"/>
        <v>15.47924547085147</v>
      </c>
      <c r="I287" s="304">
        <f t="shared" ca="1" si="129"/>
        <v>29.378006010538734</v>
      </c>
      <c r="J287" s="306">
        <f t="shared" ca="1" si="130"/>
        <v>466.10943215995832</v>
      </c>
      <c r="K287" s="307">
        <f t="shared" ca="1" si="131"/>
        <v>1426.2398721924446</v>
      </c>
      <c r="L287" s="304">
        <f t="shared" ca="1" si="116"/>
        <v>1500.4726507937423</v>
      </c>
      <c r="M287" s="306">
        <f t="shared" ca="1" si="132"/>
        <v>0.55494801629878943</v>
      </c>
      <c r="N287" s="304">
        <f t="shared" ca="1" si="133"/>
        <v>31.796179183077854</v>
      </c>
      <c r="P287" s="310">
        <f t="shared" ca="1" si="134"/>
        <v>23</v>
      </c>
      <c r="Q287" s="304">
        <f t="shared" ca="1" si="135"/>
        <v>0</v>
      </c>
      <c r="R287" s="306">
        <f t="shared" ca="1" si="136"/>
        <v>0</v>
      </c>
      <c r="S287" s="307">
        <f t="shared" ca="1" si="137"/>
        <v>2.9362999999999984</v>
      </c>
      <c r="T287" s="304">
        <f t="shared" ca="1" si="117"/>
        <v>28.805102999999985</v>
      </c>
      <c r="U287" s="311">
        <f t="shared" ca="1" si="118"/>
        <v>0</v>
      </c>
      <c r="V287" s="306">
        <f t="shared" ca="1" si="119"/>
        <v>1.0619154967126796</v>
      </c>
      <c r="W287" s="304">
        <f t="shared" ca="1" si="120"/>
        <v>1.8701556367931416</v>
      </c>
      <c r="Y287" s="314" t="str">
        <f t="shared" ca="1" si="138"/>
        <v/>
      </c>
      <c r="Z287" s="315" t="str">
        <f t="shared" ca="1" si="139"/>
        <v/>
      </c>
      <c r="AA287" s="316" t="str">
        <f t="shared" ca="1" si="140"/>
        <v/>
      </c>
      <c r="AC287" s="310" t="e">
        <f t="shared" ca="1" si="141"/>
        <v>#N/A</v>
      </c>
      <c r="AD287" s="323" t="e">
        <f t="shared" ca="1" si="142"/>
        <v>#N/A</v>
      </c>
      <c r="AE287" s="324">
        <f t="shared" ca="1" si="121"/>
        <v>1426.2398721924446</v>
      </c>
      <c r="AG287" s="306">
        <f t="shared" ca="1" si="143"/>
        <v>-6.0623924315654261</v>
      </c>
      <c r="AH287" s="304">
        <f t="shared" ca="1" si="144"/>
        <v>-0.66306768391256066</v>
      </c>
    </row>
    <row r="288" spans="1:34" x14ac:dyDescent="0.2">
      <c r="A288" s="347">
        <f t="shared" ca="1" si="122"/>
        <v>0.1</v>
      </c>
      <c r="B288" s="304">
        <f t="shared" ca="1" si="123"/>
        <v>14.999999999999927</v>
      </c>
      <c r="D288" s="306">
        <f t="shared" ca="1" si="124"/>
        <v>-0.54132661005524396</v>
      </c>
      <c r="E288" s="307">
        <f t="shared" ca="1" si="125"/>
        <v>-10.145586744039438</v>
      </c>
      <c r="F288" s="304">
        <f t="shared" ca="1" si="126"/>
        <v>10.160017956656507</v>
      </c>
      <c r="G288" s="306">
        <f t="shared" ca="1" si="127"/>
        <v>24.915052283809441</v>
      </c>
      <c r="H288" s="307">
        <f t="shared" ca="1" si="128"/>
        <v>14.464686796447527</v>
      </c>
      <c r="I288" s="304">
        <f t="shared" ca="1" si="129"/>
        <v>28.809494865829937</v>
      </c>
      <c r="J288" s="306">
        <f t="shared" ca="1" si="130"/>
        <v>468.60364402138953</v>
      </c>
      <c r="K288" s="307">
        <f t="shared" ca="1" si="131"/>
        <v>1427.7370688058095</v>
      </c>
      <c r="L288" s="304">
        <f t="shared" ca="1" si="116"/>
        <v>1502.6717914542517</v>
      </c>
      <c r="M288" s="306">
        <f t="shared" ca="1" si="132"/>
        <v>0.52600284927756225</v>
      </c>
      <c r="N288" s="304">
        <f t="shared" ca="1" si="133"/>
        <v>30.137743275460281</v>
      </c>
      <c r="P288" s="310">
        <f t="shared" ca="1" si="134"/>
        <v>23</v>
      </c>
      <c r="Q288" s="304">
        <f t="shared" ca="1" si="135"/>
        <v>0</v>
      </c>
      <c r="R288" s="306">
        <f t="shared" ca="1" si="136"/>
        <v>0</v>
      </c>
      <c r="S288" s="307">
        <f t="shared" ca="1" si="137"/>
        <v>2.9362999999999984</v>
      </c>
      <c r="T288" s="304">
        <f t="shared" ca="1" si="117"/>
        <v>28.805102999999985</v>
      </c>
      <c r="U288" s="311">
        <f t="shared" ca="1" si="118"/>
        <v>0</v>
      </c>
      <c r="V288" s="306">
        <f t="shared" ca="1" si="119"/>
        <v>1.0617557055912119</v>
      </c>
      <c r="W288" s="304">
        <f t="shared" ca="1" si="120"/>
        <v>1.7982043833261099</v>
      </c>
      <c r="Y288" s="314" t="str">
        <f t="shared" ca="1" si="138"/>
        <v/>
      </c>
      <c r="Z288" s="315" t="str">
        <f t="shared" ca="1" si="139"/>
        <v/>
      </c>
      <c r="AA288" s="316" t="str">
        <f t="shared" ca="1" si="140"/>
        <v/>
      </c>
      <c r="AC288" s="310">
        <f t="shared" ca="1" si="141"/>
        <v>14.999999999999927</v>
      </c>
      <c r="AD288" s="323">
        <f t="shared" ca="1" si="142"/>
        <v>468.60364402138953</v>
      </c>
      <c r="AE288" s="324">
        <f t="shared" ca="1" si="121"/>
        <v>1427.7370688058095</v>
      </c>
      <c r="AG288" s="306">
        <f t="shared" ca="1" si="143"/>
        <v>-5.8057892641739075</v>
      </c>
      <c r="AH288" s="304">
        <f t="shared" ca="1" si="144"/>
        <v>-0.63690891148491047</v>
      </c>
    </row>
    <row r="289" spans="1:34" x14ac:dyDescent="0.2">
      <c r="A289" s="347">
        <f t="shared" ca="1" si="122"/>
        <v>0.1</v>
      </c>
      <c r="B289" s="304">
        <f t="shared" ca="1" si="123"/>
        <v>15.099999999999927</v>
      </c>
      <c r="D289" s="306">
        <f t="shared" ca="1" si="124"/>
        <v>-0.52962049895849339</v>
      </c>
      <c r="E289" s="307">
        <f t="shared" ca="1" si="125"/>
        <v>-10.117476562808223</v>
      </c>
      <c r="F289" s="304">
        <f t="shared" ca="1" si="126"/>
        <v>10.131329126619603</v>
      </c>
      <c r="G289" s="306">
        <f t="shared" ca="1" si="127"/>
        <v>24.862090233913591</v>
      </c>
      <c r="H289" s="307">
        <f t="shared" ca="1" si="128"/>
        <v>13.452939140166706</v>
      </c>
      <c r="I289" s="304">
        <f t="shared" ca="1" si="129"/>
        <v>28.268447115260699</v>
      </c>
      <c r="J289" s="306">
        <f t="shared" ca="1" si="130"/>
        <v>471.0925011472757</v>
      </c>
      <c r="K289" s="307">
        <f t="shared" ca="1" si="131"/>
        <v>1429.1329501026403</v>
      </c>
      <c r="L289" s="304">
        <f t="shared" ca="1" si="116"/>
        <v>1504.7754429503</v>
      </c>
      <c r="M289" s="306">
        <f t="shared" ca="1" si="132"/>
        <v>0.4959864611672174</v>
      </c>
      <c r="N289" s="304">
        <f t="shared" ca="1" si="133"/>
        <v>28.417930920510855</v>
      </c>
      <c r="P289" s="310">
        <f t="shared" ca="1" si="134"/>
        <v>23</v>
      </c>
      <c r="Q289" s="304">
        <f t="shared" ca="1" si="135"/>
        <v>0</v>
      </c>
      <c r="R289" s="306">
        <f t="shared" ca="1" si="136"/>
        <v>0</v>
      </c>
      <c r="S289" s="307">
        <f t="shared" ca="1" si="137"/>
        <v>2.9362999999999984</v>
      </c>
      <c r="T289" s="304">
        <f t="shared" ca="1" si="117"/>
        <v>28.805102999999985</v>
      </c>
      <c r="U289" s="311">
        <f t="shared" ca="1" si="118"/>
        <v>0</v>
      </c>
      <c r="V289" s="306">
        <f t="shared" ca="1" si="119"/>
        <v>1.0616067476502964</v>
      </c>
      <c r="W289" s="304">
        <f t="shared" ca="1" si="120"/>
        <v>1.7310544759299433</v>
      </c>
      <c r="Y289" s="314" t="str">
        <f t="shared" ca="1" si="138"/>
        <v/>
      </c>
      <c r="Z289" s="315" t="str">
        <f t="shared" ca="1" si="139"/>
        <v/>
      </c>
      <c r="AA289" s="316" t="str">
        <f t="shared" ca="1" si="140"/>
        <v/>
      </c>
      <c r="AC289" s="310" t="e">
        <f t="shared" ca="1" si="141"/>
        <v>#N/A</v>
      </c>
      <c r="AD289" s="323" t="e">
        <f t="shared" ca="1" si="142"/>
        <v>#N/A</v>
      </c>
      <c r="AE289" s="324">
        <f t="shared" ca="1" si="121"/>
        <v>1429.1329501026403</v>
      </c>
      <c r="AG289" s="306">
        <f t="shared" ca="1" si="143"/>
        <v>-5.5378149744227203</v>
      </c>
      <c r="AH289" s="304">
        <f t="shared" ca="1" si="144"/>
        <v>-0.61240485758475327</v>
      </c>
    </row>
    <row r="290" spans="1:34" x14ac:dyDescent="0.2">
      <c r="A290" s="347">
        <f t="shared" ca="1" si="122"/>
        <v>0.1</v>
      </c>
      <c r="B290" s="304">
        <f t="shared" ca="1" si="123"/>
        <v>15.199999999999926</v>
      </c>
      <c r="D290" s="306">
        <f t="shared" ca="1" si="124"/>
        <v>-0.51849670000051162</v>
      </c>
      <c r="E290" s="307">
        <f t="shared" ca="1" si="125"/>
        <v>-10.090559859764703</v>
      </c>
      <c r="F290" s="304">
        <f t="shared" ca="1" si="126"/>
        <v>10.10387238198336</v>
      </c>
      <c r="G290" s="306">
        <f t="shared" ca="1" si="127"/>
        <v>24.810240563913538</v>
      </c>
      <c r="H290" s="307">
        <f t="shared" ca="1" si="128"/>
        <v>12.443883154190235</v>
      </c>
      <c r="I290" s="304">
        <f t="shared" ca="1" si="129"/>
        <v>27.756049156794639</v>
      </c>
      <c r="J290" s="306">
        <f t="shared" ca="1" si="130"/>
        <v>473.57611768716703</v>
      </c>
      <c r="K290" s="307">
        <f t="shared" ca="1" si="131"/>
        <v>1430.4277912173582</v>
      </c>
      <c r="L290" s="304">
        <f t="shared" ca="1" si="116"/>
        <v>1506.7839941845079</v>
      </c>
      <c r="M290" s="306">
        <f t="shared" ca="1" si="132"/>
        <v>0.46489672683263694</v>
      </c>
      <c r="N290" s="304">
        <f t="shared" ca="1" si="133"/>
        <v>26.636620356956428</v>
      </c>
      <c r="P290" s="310">
        <f t="shared" ca="1" si="134"/>
        <v>23</v>
      </c>
      <c r="Q290" s="304">
        <f t="shared" ca="1" si="135"/>
        <v>0</v>
      </c>
      <c r="R290" s="306">
        <f t="shared" ca="1" si="136"/>
        <v>0</v>
      </c>
      <c r="S290" s="307">
        <f t="shared" ca="1" si="137"/>
        <v>2.9362999999999984</v>
      </c>
      <c r="T290" s="304">
        <f t="shared" ca="1" si="117"/>
        <v>28.805102999999985</v>
      </c>
      <c r="U290" s="311">
        <f t="shared" ca="1" si="118"/>
        <v>0</v>
      </c>
      <c r="V290" s="306">
        <f t="shared" ca="1" si="119"/>
        <v>1.0614685893055873</v>
      </c>
      <c r="W290" s="304">
        <f t="shared" ca="1" si="120"/>
        <v>1.6686513510291099</v>
      </c>
      <c r="Y290" s="314" t="str">
        <f t="shared" ca="1" si="138"/>
        <v/>
      </c>
      <c r="Z290" s="315" t="str">
        <f t="shared" ca="1" si="139"/>
        <v/>
      </c>
      <c r="AA290" s="316" t="str">
        <f t="shared" ca="1" si="140"/>
        <v/>
      </c>
      <c r="AC290" s="310" t="e">
        <f t="shared" ca="1" si="141"/>
        <v>#N/A</v>
      </c>
      <c r="AD290" s="323" t="e">
        <f t="shared" ca="1" si="142"/>
        <v>#N/A</v>
      </c>
      <c r="AE290" s="324">
        <f t="shared" ca="1" si="121"/>
        <v>1430.4277912173582</v>
      </c>
      <c r="AG290" s="306">
        <f t="shared" ca="1" si="143"/>
        <v>-5.2581098218437452</v>
      </c>
      <c r="AH290" s="304">
        <f t="shared" ca="1" si="144"/>
        <v>-0.5895359724585173</v>
      </c>
    </row>
    <row r="291" spans="1:34" x14ac:dyDescent="0.2">
      <c r="A291" s="347">
        <f t="shared" ca="1" si="122"/>
        <v>0.1</v>
      </c>
      <c r="B291" s="304">
        <f t="shared" ca="1" si="123"/>
        <v>15.299999999999926</v>
      </c>
      <c r="D291" s="306">
        <f t="shared" ca="1" si="124"/>
        <v>-0.50797051745079558</v>
      </c>
      <c r="E291" s="307">
        <f t="shared" ca="1" si="125"/>
        <v>-10.06477889860227</v>
      </c>
      <c r="F291" s="304">
        <f t="shared" ca="1" si="126"/>
        <v>10.077589410387226</v>
      </c>
      <c r="G291" s="306">
        <f t="shared" ca="1" si="127"/>
        <v>24.75944351216846</v>
      </c>
      <c r="H291" s="307">
        <f t="shared" ca="1" si="128"/>
        <v>11.437405264330009</v>
      </c>
      <c r="I291" s="304">
        <f t="shared" ca="1" si="129"/>
        <v>27.273508799066992</v>
      </c>
      <c r="J291" s="306">
        <f t="shared" ca="1" si="130"/>
        <v>476.05460189097113</v>
      </c>
      <c r="K291" s="307">
        <f t="shared" ca="1" si="131"/>
        <v>1431.6218556382842</v>
      </c>
      <c r="L291" s="304">
        <f t="shared" ca="1" si="116"/>
        <v>1508.6978231318476</v>
      </c>
      <c r="M291" s="306">
        <f t="shared" ca="1" si="132"/>
        <v>0.43273967899887189</v>
      </c>
      <c r="N291" s="304">
        <f t="shared" ca="1" si="133"/>
        <v>24.794157234481386</v>
      </c>
      <c r="P291" s="310">
        <f t="shared" ca="1" si="134"/>
        <v>23</v>
      </c>
      <c r="Q291" s="304">
        <f t="shared" ca="1" si="135"/>
        <v>0</v>
      </c>
      <c r="R291" s="306">
        <f t="shared" ca="1" si="136"/>
        <v>0</v>
      </c>
      <c r="S291" s="307">
        <f t="shared" ca="1" si="137"/>
        <v>2.9362999999999984</v>
      </c>
      <c r="T291" s="304">
        <f t="shared" ca="1" si="117"/>
        <v>28.805102999999985</v>
      </c>
      <c r="U291" s="311">
        <f t="shared" ca="1" si="118"/>
        <v>0</v>
      </c>
      <c r="V291" s="306">
        <f t="shared" ca="1" si="119"/>
        <v>1.0613411985364496</v>
      </c>
      <c r="W291" s="304">
        <f t="shared" ca="1" si="120"/>
        <v>1.6109431448272145</v>
      </c>
      <c r="Y291" s="314" t="str">
        <f t="shared" ca="1" si="138"/>
        <v/>
      </c>
      <c r="Z291" s="315" t="str">
        <f t="shared" ca="1" si="139"/>
        <v/>
      </c>
      <c r="AA291" s="316" t="str">
        <f t="shared" ca="1" si="140"/>
        <v/>
      </c>
      <c r="AC291" s="310" t="e">
        <f t="shared" ca="1" si="141"/>
        <v>#N/A</v>
      </c>
      <c r="AD291" s="323" t="e">
        <f t="shared" ca="1" si="142"/>
        <v>#N/A</v>
      </c>
      <c r="AE291" s="324">
        <f t="shared" ca="1" si="121"/>
        <v>1431.6218556382842</v>
      </c>
      <c r="AG291" s="306">
        <f t="shared" ca="1" si="143"/>
        <v>-4.9664057930431751</v>
      </c>
      <c r="AH291" s="304">
        <f t="shared" ca="1" si="144"/>
        <v>-0.56828367368086052</v>
      </c>
    </row>
    <row r="292" spans="1:34" x14ac:dyDescent="0.2">
      <c r="A292" s="347">
        <f t="shared" ca="1" si="122"/>
        <v>0.1</v>
      </c>
      <c r="B292" s="304">
        <f t="shared" ca="1" si="123"/>
        <v>15.399999999999926</v>
      </c>
      <c r="D292" s="306">
        <f t="shared" ca="1" si="124"/>
        <v>-0.49805769324731541</v>
      </c>
      <c r="E292" s="307">
        <f t="shared" ca="1" si="125"/>
        <v>-10.040073332621038</v>
      </c>
      <c r="F292" s="304">
        <f t="shared" ca="1" si="126"/>
        <v>10.052419310305901</v>
      </c>
      <c r="G292" s="306">
        <f t="shared" ca="1" si="127"/>
        <v>24.709637742843729</v>
      </c>
      <c r="H292" s="307">
        <f t="shared" ca="1" si="128"/>
        <v>10.433397931067905</v>
      </c>
      <c r="I292" s="304">
        <f t="shared" ca="1" si="129"/>
        <v>26.822042982788975</v>
      </c>
      <c r="J292" s="306">
        <f t="shared" ca="1" si="130"/>
        <v>478.52805595372172</v>
      </c>
      <c r="K292" s="307">
        <f t="shared" ca="1" si="131"/>
        <v>1432.715395798054</v>
      </c>
      <c r="L292" s="304">
        <f t="shared" ca="1" si="116"/>
        <v>1510.517297382464</v>
      </c>
      <c r="M292" s="306">
        <f t="shared" ca="1" si="132"/>
        <v>0.39953059876464847</v>
      </c>
      <c r="N292" s="304">
        <f t="shared" ca="1" si="133"/>
        <v>22.891417095549059</v>
      </c>
      <c r="P292" s="310">
        <f t="shared" ca="1" si="134"/>
        <v>23</v>
      </c>
      <c r="Q292" s="304">
        <f t="shared" ca="1" si="135"/>
        <v>0</v>
      </c>
      <c r="R292" s="306">
        <f t="shared" ca="1" si="136"/>
        <v>0</v>
      </c>
      <c r="S292" s="307">
        <f t="shared" ca="1" si="137"/>
        <v>2.9362999999999984</v>
      </c>
      <c r="T292" s="304">
        <f t="shared" ca="1" si="117"/>
        <v>28.805102999999985</v>
      </c>
      <c r="U292" s="311">
        <f t="shared" ca="1" si="118"/>
        <v>0</v>
      </c>
      <c r="V292" s="306">
        <f t="shared" ca="1" si="119"/>
        <v>1.0612245448192994</v>
      </c>
      <c r="W292" s="304">
        <f t="shared" ca="1" si="120"/>
        <v>1.5578805518038288</v>
      </c>
      <c r="Y292" s="314" t="str">
        <f t="shared" ca="1" si="138"/>
        <v/>
      </c>
      <c r="Z292" s="315" t="str">
        <f t="shared" ca="1" si="139"/>
        <v/>
      </c>
      <c r="AA292" s="316" t="str">
        <f t="shared" ca="1" si="140"/>
        <v/>
      </c>
      <c r="AC292" s="310" t="e">
        <f t="shared" ca="1" si="141"/>
        <v>#N/A</v>
      </c>
      <c r="AD292" s="323" t="e">
        <f t="shared" ca="1" si="142"/>
        <v>#N/A</v>
      </c>
      <c r="AE292" s="324">
        <f t="shared" ca="1" si="121"/>
        <v>1432.715395798054</v>
      </c>
      <c r="AG292" s="306">
        <f t="shared" ca="1" si="143"/>
        <v>-4.6625470835966372</v>
      </c>
      <c r="AH292" s="304">
        <f t="shared" ca="1" si="144"/>
        <v>-0.54863029827579446</v>
      </c>
    </row>
    <row r="293" spans="1:34" x14ac:dyDescent="0.2">
      <c r="A293" s="347">
        <f t="shared" ca="1" si="122"/>
        <v>0.1</v>
      </c>
      <c r="B293" s="304">
        <f t="shared" ca="1" si="123"/>
        <v>15.499999999999925</v>
      </c>
      <c r="D293" s="306">
        <f t="shared" ca="1" si="124"/>
        <v>-0.48877417901865888</v>
      </c>
      <c r="E293" s="307">
        <f t="shared" ca="1" si="125"/>
        <v>-10.016380019051862</v>
      </c>
      <c r="F293" s="304">
        <f t="shared" ca="1" si="126"/>
        <v>10.02829840422276</v>
      </c>
      <c r="G293" s="306">
        <f t="shared" ca="1" si="127"/>
        <v>24.660760324941862</v>
      </c>
      <c r="H293" s="307">
        <f t="shared" ca="1" si="128"/>
        <v>9.4317599291627179</v>
      </c>
      <c r="I293" s="304">
        <f t="shared" ca="1" si="129"/>
        <v>26.402863389518686</v>
      </c>
      <c r="J293" s="306">
        <f t="shared" ca="1" si="130"/>
        <v>480.996575857111</v>
      </c>
      <c r="K293" s="307">
        <f t="shared" ca="1" si="131"/>
        <v>1433.7086536910656</v>
      </c>
      <c r="L293" s="304">
        <f t="shared" ca="1" si="116"/>
        <v>1512.2427747074585</v>
      </c>
      <c r="M293" s="306">
        <f t="shared" ca="1" si="132"/>
        <v>0.36529504604018209</v>
      </c>
      <c r="N293" s="304">
        <f t="shared" ca="1" si="133"/>
        <v>20.92986441513953</v>
      </c>
      <c r="P293" s="310">
        <f t="shared" ca="1" si="134"/>
        <v>23</v>
      </c>
      <c r="Q293" s="304">
        <f t="shared" ca="1" si="135"/>
        <v>0</v>
      </c>
      <c r="R293" s="306">
        <f t="shared" ca="1" si="136"/>
        <v>0</v>
      </c>
      <c r="S293" s="307">
        <f t="shared" ca="1" si="137"/>
        <v>2.9362999999999984</v>
      </c>
      <c r="T293" s="304">
        <f t="shared" ca="1" si="117"/>
        <v>28.805102999999985</v>
      </c>
      <c r="U293" s="311">
        <f t="shared" ca="1" si="118"/>
        <v>0</v>
      </c>
      <c r="V293" s="306">
        <f t="shared" ca="1" si="119"/>
        <v>1.0611185990583012</v>
      </c>
      <c r="W293" s="304">
        <f t="shared" ca="1" si="120"/>
        <v>1.5094166818050545</v>
      </c>
      <c r="Y293" s="314" t="str">
        <f t="shared" ca="1" si="138"/>
        <v/>
      </c>
      <c r="Z293" s="315" t="str">
        <f t="shared" ca="1" si="139"/>
        <v/>
      </c>
      <c r="AA293" s="316" t="str">
        <f t="shared" ca="1" si="140"/>
        <v/>
      </c>
      <c r="AC293" s="310" t="e">
        <f t="shared" ca="1" si="141"/>
        <v>#N/A</v>
      </c>
      <c r="AD293" s="323" t="e">
        <f t="shared" ca="1" si="142"/>
        <v>#N/A</v>
      </c>
      <c r="AE293" s="324">
        <f t="shared" ca="1" si="121"/>
        <v>1433.7086536910656</v>
      </c>
      <c r="AG293" s="306">
        <f t="shared" ca="1" si="143"/>
        <v>-4.3465112461411088</v>
      </c>
      <c r="AH293" s="304">
        <f t="shared" ca="1" si="144"/>
        <v>-0.53055905452570573</v>
      </c>
    </row>
    <row r="294" spans="1:34" x14ac:dyDescent="0.2">
      <c r="A294" s="347">
        <f t="shared" ca="1" si="122"/>
        <v>0.1</v>
      </c>
      <c r="B294" s="304">
        <f t="shared" ca="1" si="123"/>
        <v>15.599999999999925</v>
      </c>
      <c r="D294" s="306">
        <f t="shared" ca="1" si="124"/>
        <v>-0.48013587172911104</v>
      </c>
      <c r="E294" s="307">
        <f t="shared" ca="1" si="125"/>
        <v>-9.9936328732714745</v>
      </c>
      <c r="F294" s="304">
        <f t="shared" ca="1" si="126"/>
        <v>10.005160091725337</v>
      </c>
      <c r="G294" s="306">
        <f t="shared" ca="1" si="127"/>
        <v>24.612746737768951</v>
      </c>
      <c r="H294" s="307">
        <f t="shared" ca="1" si="128"/>
        <v>8.4323966418355703</v>
      </c>
      <c r="I294" s="304">
        <f t="shared" ca="1" si="129"/>
        <v>26.017160012245686</v>
      </c>
      <c r="J294" s="306">
        <f t="shared" ca="1" si="130"/>
        <v>483.46025121024655</v>
      </c>
      <c r="K294" s="307">
        <f t="shared" ca="1" si="131"/>
        <v>1434.6018615196156</v>
      </c>
      <c r="L294" s="304">
        <f t="shared" ca="1" si="116"/>
        <v>1513.8746036497939</v>
      </c>
      <c r="M294" s="306">
        <f t="shared" ca="1" si="132"/>
        <v>0.33006977281844269</v>
      </c>
      <c r="N294" s="304">
        <f t="shared" ca="1" si="133"/>
        <v>18.911604927338665</v>
      </c>
      <c r="P294" s="310">
        <f t="shared" ca="1" si="134"/>
        <v>23</v>
      </c>
      <c r="Q294" s="304">
        <f t="shared" ca="1" si="135"/>
        <v>0</v>
      </c>
      <c r="R294" s="306">
        <f t="shared" ca="1" si="136"/>
        <v>0</v>
      </c>
      <c r="S294" s="307">
        <f t="shared" ca="1" si="137"/>
        <v>2.9362999999999984</v>
      </c>
      <c r="T294" s="304">
        <f t="shared" ca="1" si="117"/>
        <v>28.805102999999985</v>
      </c>
      <c r="U294" s="311">
        <f t="shared" ca="1" si="118"/>
        <v>0</v>
      </c>
      <c r="V294" s="306">
        <f t="shared" ca="1" si="119"/>
        <v>1.0610233335132322</v>
      </c>
      <c r="W294" s="304">
        <f t="shared" ca="1" si="120"/>
        <v>1.4655069153075544</v>
      </c>
      <c r="Y294" s="314" t="str">
        <f t="shared" ca="1" si="138"/>
        <v/>
      </c>
      <c r="Z294" s="315" t="str">
        <f t="shared" ca="1" si="139"/>
        <v/>
      </c>
      <c r="AA294" s="316" t="str">
        <f t="shared" ca="1" si="140"/>
        <v/>
      </c>
      <c r="AC294" s="310" t="e">
        <f t="shared" ca="1" si="141"/>
        <v>#N/A</v>
      </c>
      <c r="AD294" s="323" t="e">
        <f t="shared" ca="1" si="142"/>
        <v>#N/A</v>
      </c>
      <c r="AE294" s="324">
        <f t="shared" ca="1" si="121"/>
        <v>1434.6018615196156</v>
      </c>
      <c r="AG294" s="306">
        <f t="shared" ca="1" si="143"/>
        <v>-4.0184301290261661</v>
      </c>
      <c r="AH294" s="304">
        <f t="shared" ca="1" si="144"/>
        <v>-0.51405397330145264</v>
      </c>
    </row>
    <row r="295" spans="1:34" x14ac:dyDescent="0.2">
      <c r="A295" s="347">
        <f t="shared" ca="1" si="122"/>
        <v>0.1</v>
      </c>
      <c r="B295" s="304">
        <f t="shared" ca="1" si="123"/>
        <v>15.699999999999925</v>
      </c>
      <c r="D295" s="306">
        <f t="shared" ca="1" si="124"/>
        <v>-0.47215831455049107</v>
      </c>
      <c r="E295" s="307">
        <f t="shared" ca="1" si="125"/>
        <v>-9.9717627739174972</v>
      </c>
      <c r="F295" s="304">
        <f t="shared" ca="1" si="126"/>
        <v>9.9829347535324473</v>
      </c>
      <c r="G295" s="306">
        <f t="shared" ca="1" si="127"/>
        <v>24.565530906313903</v>
      </c>
      <c r="H295" s="307">
        <f t="shared" ca="1" si="128"/>
        <v>7.4352203644438202</v>
      </c>
      <c r="I295" s="304">
        <f t="shared" ca="1" si="129"/>
        <v>25.666082883387244</v>
      </c>
      <c r="J295" s="306">
        <f t="shared" ca="1" si="130"/>
        <v>485.91916509245067</v>
      </c>
      <c r="K295" s="307">
        <f t="shared" ca="1" si="131"/>
        <v>1435.3952423699295</v>
      </c>
      <c r="L295" s="304">
        <f t="shared" ca="1" si="116"/>
        <v>1515.4131241421835</v>
      </c>
      <c r="M295" s="306">
        <f t="shared" ca="1" si="132"/>
        <v>0.29390345533641737</v>
      </c>
      <c r="N295" s="304">
        <f t="shared" ca="1" si="133"/>
        <v>16.839427575088408</v>
      </c>
      <c r="P295" s="310">
        <f t="shared" ca="1" si="134"/>
        <v>23</v>
      </c>
      <c r="Q295" s="304">
        <f t="shared" ca="1" si="135"/>
        <v>0</v>
      </c>
      <c r="R295" s="306">
        <f t="shared" ca="1" si="136"/>
        <v>0</v>
      </c>
      <c r="S295" s="307">
        <f t="shared" ca="1" si="137"/>
        <v>2.9362999999999984</v>
      </c>
      <c r="T295" s="304">
        <f t="shared" ca="1" si="117"/>
        <v>28.805102999999985</v>
      </c>
      <c r="U295" s="311">
        <f t="shared" ca="1" si="118"/>
        <v>0</v>
      </c>
      <c r="V295" s="306">
        <f t="shared" ca="1" si="119"/>
        <v>1.0609387217243813</v>
      </c>
      <c r="W295" s="304">
        <f t="shared" ca="1" si="120"/>
        <v>1.4261087565227815</v>
      </c>
      <c r="Y295" s="314" t="str">
        <f t="shared" ca="1" si="138"/>
        <v/>
      </c>
      <c r="Z295" s="315" t="str">
        <f t="shared" ca="1" si="139"/>
        <v/>
      </c>
      <c r="AA295" s="316" t="str">
        <f t="shared" ca="1" si="140"/>
        <v/>
      </c>
      <c r="AC295" s="310" t="e">
        <f t="shared" ca="1" si="141"/>
        <v>#N/A</v>
      </c>
      <c r="AD295" s="323" t="e">
        <f t="shared" ca="1" si="142"/>
        <v>#N/A</v>
      </c>
      <c r="AE295" s="324">
        <f t="shared" ca="1" si="121"/>
        <v>1435.3952423699295</v>
      </c>
      <c r="AG295" s="306">
        <f t="shared" ca="1" si="143"/>
        <v>-3.6786094984648146</v>
      </c>
      <c r="AH295" s="304">
        <f t="shared" ca="1" si="144"/>
        <v>-0.49909985877041013</v>
      </c>
    </row>
    <row r="296" spans="1:34" x14ac:dyDescent="0.2">
      <c r="A296" s="347">
        <f t="shared" ca="1" si="122"/>
        <v>0.1</v>
      </c>
      <c r="B296" s="304">
        <f t="shared" ca="1" si="123"/>
        <v>15.799999999999924</v>
      </c>
      <c r="D296" s="306">
        <f t="shared" ca="1" si="124"/>
        <v>-0.46485636672758468</v>
      </c>
      <c r="E296" s="307">
        <f t="shared" ca="1" si="125"/>
        <v>-9.9506975301130556</v>
      </c>
      <c r="F296" s="304">
        <f t="shared" ca="1" si="126"/>
        <v>9.961549717663674</v>
      </c>
      <c r="G296" s="306">
        <f t="shared" ca="1" si="127"/>
        <v>24.519045269641143</v>
      </c>
      <c r="H296" s="307">
        <f t="shared" ca="1" si="128"/>
        <v>6.4401506114325144</v>
      </c>
      <c r="I296" s="304">
        <f t="shared" ca="1" si="129"/>
        <v>25.350722294101331</v>
      </c>
      <c r="J296" s="306">
        <f t="shared" ca="1" si="130"/>
        <v>488.37339390124845</v>
      </c>
      <c r="K296" s="307">
        <f t="shared" ca="1" si="131"/>
        <v>1436.0890109187233</v>
      </c>
      <c r="L296" s="304">
        <f t="shared" ca="1" si="116"/>
        <v>1516.8586681534114</v>
      </c>
      <c r="M296" s="306">
        <f t="shared" ca="1" si="132"/>
        <v>0.25685717781696338</v>
      </c>
      <c r="N296" s="304">
        <f t="shared" ca="1" si="133"/>
        <v>14.716832226553313</v>
      </c>
      <c r="P296" s="310">
        <f t="shared" ca="1" si="134"/>
        <v>23</v>
      </c>
      <c r="Q296" s="304">
        <f t="shared" ca="1" si="135"/>
        <v>0</v>
      </c>
      <c r="R296" s="306">
        <f t="shared" ca="1" si="136"/>
        <v>0</v>
      </c>
      <c r="S296" s="307">
        <f t="shared" ca="1" si="137"/>
        <v>2.9362999999999984</v>
      </c>
      <c r="T296" s="304">
        <f t="shared" ca="1" si="117"/>
        <v>28.805102999999985</v>
      </c>
      <c r="U296" s="311">
        <f t="shared" ca="1" si="118"/>
        <v>0</v>
      </c>
      <c r="V296" s="306">
        <f t="shared" ca="1" si="119"/>
        <v>1.0608647384343886</v>
      </c>
      <c r="W296" s="304">
        <f t="shared" ca="1" si="120"/>
        <v>1.3911816841132545</v>
      </c>
      <c r="Y296" s="314" t="str">
        <f t="shared" ca="1" si="138"/>
        <v/>
      </c>
      <c r="Z296" s="315" t="str">
        <f t="shared" ca="1" si="139"/>
        <v/>
      </c>
      <c r="AA296" s="316" t="str">
        <f t="shared" ca="1" si="140"/>
        <v/>
      </c>
      <c r="AC296" s="310" t="e">
        <f t="shared" ca="1" si="141"/>
        <v>#N/A</v>
      </c>
      <c r="AD296" s="323" t="e">
        <f t="shared" ca="1" si="142"/>
        <v>#N/A</v>
      </c>
      <c r="AE296" s="324">
        <f t="shared" ca="1" si="121"/>
        <v>1436.0890109187233</v>
      </c>
      <c r="AG296" s="306">
        <f t="shared" ca="1" si="143"/>
        <v>-3.3275460360739504</v>
      </c>
      <c r="AH296" s="304">
        <f t="shared" ca="1" si="144"/>
        <v>-0.48568223836896168</v>
      </c>
    </row>
    <row r="297" spans="1:34" x14ac:dyDescent="0.2">
      <c r="A297" s="347">
        <f t="shared" ca="1" si="122"/>
        <v>0.1</v>
      </c>
      <c r="B297" s="304">
        <f t="shared" ca="1" si="123"/>
        <v>15.899999999999924</v>
      </c>
      <c r="D297" s="306">
        <f t="shared" ca="1" si="124"/>
        <v>-0.45824384865256901</v>
      </c>
      <c r="E297" s="307">
        <f t="shared" ca="1" si="125"/>
        <v>-9.93036192150349</v>
      </c>
      <c r="F297" s="304">
        <f t="shared" ca="1" si="126"/>
        <v>9.9409292984546678</v>
      </c>
      <c r="G297" s="306">
        <f t="shared" ca="1" si="127"/>
        <v>24.473220884775888</v>
      </c>
      <c r="H297" s="307">
        <f t="shared" ca="1" si="128"/>
        <v>5.4471144192821654</v>
      </c>
      <c r="I297" s="304">
        <f t="shared" ca="1" si="129"/>
        <v>25.072087985881478</v>
      </c>
      <c r="J297" s="306">
        <f t="shared" ca="1" si="130"/>
        <v>490.82300720896927</v>
      </c>
      <c r="K297" s="307">
        <f t="shared" ca="1" si="131"/>
        <v>1436.683374170259</v>
      </c>
      <c r="L297" s="304">
        <f t="shared" ca="1" si="116"/>
        <v>1518.2115603640016</v>
      </c>
      <c r="M297" s="306">
        <f t="shared" ca="1" si="132"/>
        <v>0.2190046020337284</v>
      </c>
      <c r="N297" s="304">
        <f t="shared" ca="1" si="133"/>
        <v>12.548039390474843</v>
      </c>
      <c r="P297" s="310">
        <f t="shared" ca="1" si="134"/>
        <v>23</v>
      </c>
      <c r="Q297" s="304">
        <f t="shared" ca="1" si="135"/>
        <v>0</v>
      </c>
      <c r="R297" s="306">
        <f t="shared" ca="1" si="136"/>
        <v>0</v>
      </c>
      <c r="S297" s="307">
        <f t="shared" ca="1" si="137"/>
        <v>2.9362999999999984</v>
      </c>
      <c r="T297" s="304">
        <f t="shared" ca="1" si="117"/>
        <v>28.805102999999985</v>
      </c>
      <c r="U297" s="311">
        <f t="shared" ca="1" si="118"/>
        <v>0</v>
      </c>
      <c r="V297" s="306">
        <f t="shared" ca="1" si="119"/>
        <v>1.0608013595070245</v>
      </c>
      <c r="W297" s="304">
        <f t="shared" ca="1" si="120"/>
        <v>1.3606869994157336</v>
      </c>
      <c r="Y297" s="314" t="str">
        <f t="shared" ca="1" si="138"/>
        <v/>
      </c>
      <c r="Z297" s="315" t="str">
        <f t="shared" ca="1" si="139"/>
        <v/>
      </c>
      <c r="AA297" s="316" t="str">
        <f t="shared" ca="1" si="140"/>
        <v/>
      </c>
      <c r="AC297" s="310" t="e">
        <f t="shared" ca="1" si="141"/>
        <v>#N/A</v>
      </c>
      <c r="AD297" s="323" t="e">
        <f t="shared" ca="1" si="142"/>
        <v>#N/A</v>
      </c>
      <c r="AE297" s="324">
        <f t="shared" ca="1" si="121"/>
        <v>1436.683374170259</v>
      </c>
      <c r="AG297" s="306">
        <f t="shared" ca="1" si="143"/>
        <v>-2.9659402678107862</v>
      </c>
      <c r="AH297" s="304">
        <f t="shared" ca="1" si="144"/>
        <v>-0.47378731196173934</v>
      </c>
    </row>
    <row r="298" spans="1:34" x14ac:dyDescent="0.2">
      <c r="A298" s="347">
        <f t="shared" ca="1" si="122"/>
        <v>0.1</v>
      </c>
      <c r="B298" s="304">
        <f t="shared" ca="1" si="123"/>
        <v>15.999999999999924</v>
      </c>
      <c r="D298" s="306">
        <f t="shared" ca="1" si="124"/>
        <v>-0.45233317094396652</v>
      </c>
      <c r="E298" s="307">
        <f t="shared" ca="1" si="125"/>
        <v>-9.9106778204376536</v>
      </c>
      <c r="F298" s="304">
        <f t="shared" ca="1" si="126"/>
        <v>9.9209949177514982</v>
      </c>
      <c r="G298" s="306">
        <f t="shared" ca="1" si="127"/>
        <v>24.427987567681491</v>
      </c>
      <c r="H298" s="307">
        <f t="shared" ca="1" si="128"/>
        <v>4.4560466372383996</v>
      </c>
      <c r="I298" s="304">
        <f t="shared" ca="1" si="129"/>
        <v>24.831087939114653</v>
      </c>
      <c r="J298" s="306">
        <f t="shared" ca="1" si="130"/>
        <v>493.26806763159215</v>
      </c>
      <c r="K298" s="307">
        <f t="shared" ca="1" si="131"/>
        <v>1437.1785322230851</v>
      </c>
      <c r="L298" s="304">
        <f t="shared" ca="1" si="116"/>
        <v>1519.4721188715198</v>
      </c>
      <c r="M298" s="306">
        <f t="shared" ca="1" si="132"/>
        <v>0.18043176462033239</v>
      </c>
      <c r="N298" s="304">
        <f t="shared" ca="1" si="133"/>
        <v>10.337978602842933</v>
      </c>
      <c r="P298" s="310">
        <f t="shared" ca="1" si="134"/>
        <v>23</v>
      </c>
      <c r="Q298" s="304">
        <f t="shared" ca="1" si="135"/>
        <v>0</v>
      </c>
      <c r="R298" s="306">
        <f t="shared" ca="1" si="136"/>
        <v>0</v>
      </c>
      <c r="S298" s="307">
        <f t="shared" ca="1" si="137"/>
        <v>2.9362999999999984</v>
      </c>
      <c r="T298" s="304">
        <f t="shared" ca="1" si="117"/>
        <v>28.805102999999985</v>
      </c>
      <c r="U298" s="311">
        <f t="shared" ca="1" si="118"/>
        <v>0</v>
      </c>
      <c r="V298" s="306">
        <f t="shared" ca="1" si="119"/>
        <v>1.0607485618429744</v>
      </c>
      <c r="W298" s="304">
        <f t="shared" ca="1" si="120"/>
        <v>1.3345876722052161</v>
      </c>
      <c r="Y298" s="314" t="str">
        <f t="shared" ca="1" si="138"/>
        <v/>
      </c>
      <c r="Z298" s="315" t="str">
        <f t="shared" ca="1" si="139"/>
        <v/>
      </c>
      <c r="AA298" s="316" t="str">
        <f t="shared" ca="1" si="140"/>
        <v/>
      </c>
      <c r="AC298" s="310">
        <f t="shared" ca="1" si="141"/>
        <v>15.999999999999924</v>
      </c>
      <c r="AD298" s="323">
        <f t="shared" ca="1" si="142"/>
        <v>493.26806763159215</v>
      </c>
      <c r="AE298" s="324">
        <f t="shared" ca="1" si="121"/>
        <v>1437.1785322230851</v>
      </c>
      <c r="AG298" s="306">
        <f t="shared" ca="1" si="143"/>
        <v>-2.594703947402468</v>
      </c>
      <c r="AH298" s="304">
        <f t="shared" ca="1" si="144"/>
        <v>-0.46340190015180138</v>
      </c>
    </row>
    <row r="299" spans="1:34" x14ac:dyDescent="0.2">
      <c r="A299" s="347">
        <f t="shared" ca="1" si="122"/>
        <v>0.1</v>
      </c>
      <c r="B299" s="304">
        <f t="shared" ca="1" si="123"/>
        <v>16.099999999999923</v>
      </c>
      <c r="D299" s="306">
        <f t="shared" ca="1" si="124"/>
        <v>-0.44713495881929716</v>
      </c>
      <c r="E299" s="307">
        <f t="shared" ca="1" si="125"/>
        <v>-9.8915644032942982</v>
      </c>
      <c r="F299" s="304">
        <f t="shared" ca="1" si="126"/>
        <v>9.9016653152849603</v>
      </c>
      <c r="G299" s="306">
        <f t="shared" ca="1" si="127"/>
        <v>24.383274071799562</v>
      </c>
      <c r="H299" s="307">
        <f t="shared" ca="1" si="128"/>
        <v>3.4668901969089698</v>
      </c>
      <c r="I299" s="304">
        <f t="shared" ca="1" si="129"/>
        <v>24.628507508534014</v>
      </c>
      <c r="J299" s="306">
        <f t="shared" ca="1" si="130"/>
        <v>495.70863071356621</v>
      </c>
      <c r="K299" s="307">
        <f t="shared" ca="1" si="131"/>
        <v>1437.5746790647925</v>
      </c>
      <c r="L299" s="304">
        <f t="shared" ca="1" si="116"/>
        <v>1520.6406559250479</v>
      </c>
      <c r="M299" s="306">
        <f t="shared" ca="1" si="132"/>
        <v>0.14123645854860986</v>
      </c>
      <c r="N299" s="304">
        <f t="shared" ca="1" si="133"/>
        <v>8.0922529882097418</v>
      </c>
      <c r="P299" s="310">
        <f t="shared" ca="1" si="134"/>
        <v>23</v>
      </c>
      <c r="Q299" s="304">
        <f t="shared" ca="1" si="135"/>
        <v>0</v>
      </c>
      <c r="R299" s="306">
        <f t="shared" ca="1" si="136"/>
        <v>0</v>
      </c>
      <c r="S299" s="307">
        <f t="shared" ca="1" si="137"/>
        <v>2.9362999999999984</v>
      </c>
      <c r="T299" s="304">
        <f t="shared" ca="1" si="117"/>
        <v>28.805102999999985</v>
      </c>
      <c r="U299" s="311">
        <f t="shared" ca="1" si="118"/>
        <v>0</v>
      </c>
      <c r="V299" s="306">
        <f t="shared" ca="1" si="119"/>
        <v>1.0607063232927993</v>
      </c>
      <c r="W299" s="304">
        <f t="shared" ca="1" si="120"/>
        <v>1.312848184185696</v>
      </c>
      <c r="Y299" s="314" t="str">
        <f t="shared" ca="1" si="138"/>
        <v/>
      </c>
      <c r="Z299" s="315" t="str">
        <f t="shared" ca="1" si="139"/>
        <v/>
      </c>
      <c r="AA299" s="316" t="str">
        <f t="shared" ca="1" si="140"/>
        <v/>
      </c>
      <c r="AC299" s="310" t="e">
        <f t="shared" ca="1" si="141"/>
        <v>#N/A</v>
      </c>
      <c r="AD299" s="323" t="e">
        <f t="shared" ca="1" si="142"/>
        <v>#N/A</v>
      </c>
      <c r="AE299" s="324">
        <f t="shared" ca="1" si="121"/>
        <v>1437.5746790647925</v>
      </c>
      <c r="AG299" s="306">
        <f t="shared" ca="1" si="143"/>
        <v>-2.2149605223218098</v>
      </c>
      <c r="AH299" s="304">
        <f t="shared" ca="1" si="144"/>
        <v>-0.45451339175330069</v>
      </c>
    </row>
    <row r="300" spans="1:34" x14ac:dyDescent="0.2">
      <c r="A300" s="347">
        <f t="shared" ca="1" si="122"/>
        <v>0.1</v>
      </c>
      <c r="B300" s="304">
        <f t="shared" ca="1" si="123"/>
        <v>16.199999999999925</v>
      </c>
      <c r="D300" s="306">
        <f t="shared" ca="1" si="124"/>
        <v>-0.44265768518846499</v>
      </c>
      <c r="E300" s="307">
        <f t="shared" ca="1" si="125"/>
        <v>-9.872938454649173</v>
      </c>
      <c r="F300" s="304">
        <f t="shared" ca="1" si="126"/>
        <v>9.8828568519202395</v>
      </c>
      <c r="G300" s="306">
        <f t="shared" ca="1" si="127"/>
        <v>24.339008303280714</v>
      </c>
      <c r="H300" s="307">
        <f t="shared" ca="1" si="128"/>
        <v>2.4795963514440524</v>
      </c>
      <c r="I300" s="304">
        <f t="shared" ca="1" si="129"/>
        <v>24.464989745619395</v>
      </c>
      <c r="J300" s="306">
        <f t="shared" ca="1" si="130"/>
        <v>498.14474483232021</v>
      </c>
      <c r="K300" s="307">
        <f t="shared" ca="1" si="131"/>
        <v>1437.8720033922102</v>
      </c>
      <c r="L300" s="304">
        <f t="shared" ca="1" si="116"/>
        <v>1521.7174786875471</v>
      </c>
      <c r="M300" s="306">
        <f t="shared" ca="1" si="132"/>
        <v>0.10152717643026409</v>
      </c>
      <c r="N300" s="304">
        <f t="shared" ca="1" si="133"/>
        <v>5.8170787153342198</v>
      </c>
      <c r="P300" s="310">
        <f t="shared" ca="1" si="134"/>
        <v>23</v>
      </c>
      <c r="Q300" s="304">
        <f t="shared" ca="1" si="135"/>
        <v>0</v>
      </c>
      <c r="R300" s="306">
        <f t="shared" ca="1" si="136"/>
        <v>0</v>
      </c>
      <c r="S300" s="307">
        <f t="shared" ca="1" si="137"/>
        <v>2.9362999999999984</v>
      </c>
      <c r="T300" s="304">
        <f t="shared" ca="1" si="117"/>
        <v>28.805102999999985</v>
      </c>
      <c r="U300" s="311">
        <f t="shared" ca="1" si="118"/>
        <v>0</v>
      </c>
      <c r="V300" s="306">
        <f t="shared" ca="1" si="119"/>
        <v>1.0606746225673196</v>
      </c>
      <c r="W300" s="304">
        <f t="shared" ca="1" si="120"/>
        <v>1.2954343705535138</v>
      </c>
      <c r="Y300" s="314" t="str">
        <f t="shared" ca="1" si="138"/>
        <v/>
      </c>
      <c r="Z300" s="315" t="str">
        <f t="shared" ca="1" si="139"/>
        <v/>
      </c>
      <c r="AA300" s="316" t="str">
        <f t="shared" ca="1" si="140"/>
        <v/>
      </c>
      <c r="AC300" s="310" t="e">
        <f t="shared" ca="1" si="141"/>
        <v>#N/A</v>
      </c>
      <c r="AD300" s="323" t="e">
        <f t="shared" ca="1" si="142"/>
        <v>#N/A</v>
      </c>
      <c r="AE300" s="324">
        <f t="shared" ca="1" si="121"/>
        <v>1437.8720033922102</v>
      </c>
      <c r="AG300" s="306">
        <f t="shared" ca="1" si="143"/>
        <v>-1.828037577406874</v>
      </c>
      <c r="AH300" s="304">
        <f t="shared" ca="1" si="144"/>
        <v>-0.44710969048996929</v>
      </c>
    </row>
    <row r="301" spans="1:34" x14ac:dyDescent="0.2">
      <c r="A301" s="347">
        <f t="shared" ca="1" si="122"/>
        <v>0.1</v>
      </c>
      <c r="B301" s="304">
        <f t="shared" ca="1" si="123"/>
        <v>16.299999999999926</v>
      </c>
      <c r="D301" s="306">
        <f t="shared" ca="1" si="124"/>
        <v>-0.43890732738366989</v>
      </c>
      <c r="E301" s="307">
        <f t="shared" ca="1" si="125"/>
        <v>-9.854714763808019</v>
      </c>
      <c r="F301" s="304">
        <f t="shared" ca="1" si="126"/>
        <v>9.8644839053062885</v>
      </c>
      <c r="G301" s="306">
        <f t="shared" ca="1" si="127"/>
        <v>24.295117570542349</v>
      </c>
      <c r="H301" s="307">
        <f t="shared" ca="1" si="128"/>
        <v>1.4941248750632505</v>
      </c>
      <c r="I301" s="304">
        <f t="shared" ca="1" si="129"/>
        <v>24.341017787035085</v>
      </c>
      <c r="J301" s="306">
        <f t="shared" ca="1" si="130"/>
        <v>500.57645112601136</v>
      </c>
      <c r="K301" s="307">
        <f t="shared" ca="1" si="131"/>
        <v>1438.0706894535356</v>
      </c>
      <c r="L301" s="304">
        <f t="shared" ca="1" si="116"/>
        <v>1522.7028900239468</v>
      </c>
      <c r="M301" s="306">
        <f t="shared" ca="1" si="132"/>
        <v>6.1421620145810492E-2</v>
      </c>
      <c r="N301" s="304">
        <f t="shared" ca="1" si="133"/>
        <v>3.5191996052106531</v>
      </c>
      <c r="P301" s="310">
        <f t="shared" ca="1" si="134"/>
        <v>23</v>
      </c>
      <c r="Q301" s="304">
        <f t="shared" ca="1" si="135"/>
        <v>0</v>
      </c>
      <c r="R301" s="306">
        <f t="shared" ca="1" si="136"/>
        <v>0</v>
      </c>
      <c r="S301" s="307">
        <f t="shared" ca="1" si="137"/>
        <v>2.9362999999999984</v>
      </c>
      <c r="T301" s="304">
        <f t="shared" ca="1" si="117"/>
        <v>28.805102999999985</v>
      </c>
      <c r="U301" s="311">
        <f t="shared" ca="1" si="118"/>
        <v>0</v>
      </c>
      <c r="V301" s="306">
        <f t="shared" ca="1" si="119"/>
        <v>1.0606534391457885</v>
      </c>
      <c r="W301" s="304">
        <f t="shared" ca="1" si="120"/>
        <v>1.2823132601406175</v>
      </c>
      <c r="Y301" s="314" t="str">
        <f t="shared" ca="1" si="138"/>
        <v/>
      </c>
      <c r="Z301" s="315" t="str">
        <f t="shared" ca="1" si="139"/>
        <v/>
      </c>
      <c r="AA301" s="316" t="str">
        <f t="shared" ca="1" si="140"/>
        <v/>
      </c>
      <c r="AC301" s="310" t="e">
        <f t="shared" ca="1" si="141"/>
        <v>#N/A</v>
      </c>
      <c r="AD301" s="323" t="e">
        <f t="shared" ca="1" si="142"/>
        <v>#N/A</v>
      </c>
      <c r="AE301" s="324">
        <f t="shared" ca="1" si="121"/>
        <v>1438.0706894535356</v>
      </c>
      <c r="AG301" s="306">
        <f t="shared" ca="1" si="143"/>
        <v>-1.4354505856561919</v>
      </c>
      <c r="AH301" s="304">
        <f t="shared" ca="1" si="144"/>
        <v>-0.44117916103719462</v>
      </c>
    </row>
    <row r="302" spans="1:34" x14ac:dyDescent="0.2">
      <c r="A302" s="347">
        <f t="shared" ca="1" si="122"/>
        <v>0.1</v>
      </c>
      <c r="B302" s="304">
        <f t="shared" ca="1" si="123"/>
        <v>16.399999999999928</v>
      </c>
      <c r="D302" s="306">
        <f t="shared" ca="1" si="124"/>
        <v>-0.43588706300451951</v>
      </c>
      <c r="E302" s="307">
        <f t="shared" ca="1" si="125"/>
        <v>-9.8368066084332515</v>
      </c>
      <c r="F302" s="304">
        <f t="shared" ca="1" si="126"/>
        <v>9.8464593526511237</v>
      </c>
      <c r="G302" s="306">
        <f t="shared" ca="1" si="127"/>
        <v>24.251528864241898</v>
      </c>
      <c r="H302" s="307">
        <f t="shared" ca="1" si="128"/>
        <v>0.51044421421992536</v>
      </c>
      <c r="I302" s="304">
        <f t="shared" ca="1" si="129"/>
        <v>24.25690016364392</v>
      </c>
      <c r="J302" s="306">
        <f t="shared" ca="1" si="130"/>
        <v>503.00378344775055</v>
      </c>
      <c r="K302" s="307">
        <f t="shared" ca="1" si="131"/>
        <v>1438.1709179079996</v>
      </c>
      <c r="L302" s="304">
        <f t="shared" ca="1" si="116"/>
        <v>1523.5971893118897</v>
      </c>
      <c r="M302" s="306">
        <f t="shared" ca="1" si="132"/>
        <v>2.1044811606608042E-2</v>
      </c>
      <c r="N302" s="304">
        <f t="shared" ca="1" si="133"/>
        <v>1.2057788857065701</v>
      </c>
      <c r="P302" s="310">
        <f t="shared" ca="1" si="134"/>
        <v>23</v>
      </c>
      <c r="Q302" s="304">
        <f t="shared" ca="1" si="135"/>
        <v>0</v>
      </c>
      <c r="R302" s="306">
        <f t="shared" ca="1" si="136"/>
        <v>0</v>
      </c>
      <c r="S302" s="307">
        <f t="shared" ca="1" si="137"/>
        <v>2.9362999999999984</v>
      </c>
      <c r="T302" s="304">
        <f t="shared" ca="1" si="117"/>
        <v>28.805102999999985</v>
      </c>
      <c r="U302" s="311">
        <f t="shared" ca="1" si="118"/>
        <v>0</v>
      </c>
      <c r="V302" s="306">
        <f t="shared" ca="1" si="119"/>
        <v>1.0606427531823022</v>
      </c>
      <c r="W302" s="304">
        <f t="shared" ca="1" si="120"/>
        <v>1.2734529148003126</v>
      </c>
      <c r="Y302" s="314" t="str">
        <f t="shared" ca="1" si="138"/>
        <v>Apogée</v>
      </c>
      <c r="Z302" s="315" t="str">
        <f t="shared" ca="1" si="139"/>
        <v>Para</v>
      </c>
      <c r="AA302" s="316" t="str">
        <f t="shared" ca="1" si="140"/>
        <v/>
      </c>
      <c r="AC302" s="310" t="e">
        <f t="shared" ca="1" si="141"/>
        <v>#N/A</v>
      </c>
      <c r="AD302" s="323" t="e">
        <f t="shared" ca="1" si="142"/>
        <v>#N/A</v>
      </c>
      <c r="AE302" s="324">
        <f t="shared" ca="1" si="121"/>
        <v>1438.1709179079996</v>
      </c>
      <c r="AG302" s="306">
        <f t="shared" ca="1" si="143"/>
        <v>-1.0388778772220795</v>
      </c>
      <c r="AH302" s="304">
        <f t="shared" ca="1" si="144"/>
        <v>-0.43671057458046464</v>
      </c>
    </row>
    <row r="303" spans="1:34" x14ac:dyDescent="0.2">
      <c r="A303" s="347">
        <f t="shared" ca="1" si="122"/>
        <v>0.1</v>
      </c>
      <c r="B303" s="304">
        <f t="shared" ca="1" si="123"/>
        <v>16.499999999999929</v>
      </c>
      <c r="D303" s="306">
        <f t="shared" ca="1" si="124"/>
        <v>-0.43359701978223814</v>
      </c>
      <c r="E303" s="307">
        <f t="shared" ca="1" si="125"/>
        <v>-9.8191263149341985</v>
      </c>
      <c r="F303" s="304">
        <f t="shared" ca="1" si="126"/>
        <v>9.8286951302905567</v>
      </c>
      <c r="G303" s="306">
        <f t="shared" ca="1" si="127"/>
        <v>24.208169162263673</v>
      </c>
      <c r="H303" s="307">
        <f t="shared" ca="1" si="128"/>
        <v>-0.47146841727349453</v>
      </c>
      <c r="I303" s="304">
        <f t="shared" ca="1" si="129"/>
        <v>24.212759790186254</v>
      </c>
      <c r="J303" s="306">
        <f t="shared" ca="1" si="130"/>
        <v>505.42676834907581</v>
      </c>
      <c r="K303" s="307">
        <f t="shared" ca="1" si="131"/>
        <v>1438.172866697847</v>
      </c>
      <c r="L303" s="304">
        <f t="shared" ca="1" si="116"/>
        <v>1524.4006732712019</v>
      </c>
      <c r="M303" s="306">
        <f t="shared" ca="1" si="132"/>
        <v>-1.9473129857993654E-2</v>
      </c>
      <c r="N303" s="304">
        <f t="shared" ca="1" si="133"/>
        <v>-1.1157281547732245</v>
      </c>
      <c r="P303" s="310">
        <f t="shared" ca="1" si="134"/>
        <v>23</v>
      </c>
      <c r="Q303" s="304">
        <f t="shared" ca="1" si="135"/>
        <v>0</v>
      </c>
      <c r="R303" s="306">
        <f t="shared" ca="1" si="136"/>
        <v>0</v>
      </c>
      <c r="S303" s="307">
        <f t="shared" ca="1" si="137"/>
        <v>2.9362999999999984</v>
      </c>
      <c r="T303" s="304">
        <f t="shared" ca="1" si="117"/>
        <v>28.805102999999985</v>
      </c>
      <c r="U303" s="311">
        <f t="shared" ca="1" si="118"/>
        <v>0</v>
      </c>
      <c r="V303" s="306">
        <f t="shared" ca="1" si="119"/>
        <v>1.0606425454109862</v>
      </c>
      <c r="W303" s="304">
        <f t="shared" ca="1" si="120"/>
        <v>1.2688222688388289</v>
      </c>
      <c r="Y303" s="314" t="str">
        <f t="shared" ca="1" si="138"/>
        <v/>
      </c>
      <c r="Z303" s="315" t="str">
        <f t="shared" ca="1" si="139"/>
        <v/>
      </c>
      <c r="AA303" s="316" t="str">
        <f t="shared" ca="1" si="140"/>
        <v/>
      </c>
      <c r="AC303" s="310" t="e">
        <f t="shared" ca="1" si="141"/>
        <v>#N/A</v>
      </c>
      <c r="AD303" s="323" t="e">
        <f t="shared" ca="1" si="142"/>
        <v>#N/A</v>
      </c>
      <c r="AE303" s="324" t="e">
        <f t="shared" ca="1" si="121"/>
        <v>#N/A</v>
      </c>
      <c r="AG303" s="306">
        <f t="shared" ca="1" si="143"/>
        <v>-0.64012741743990498</v>
      </c>
      <c r="AH303" s="304">
        <f t="shared" ca="1" si="144"/>
        <v>-0.43369305411583059</v>
      </c>
    </row>
    <row r="304" spans="1:34" x14ac:dyDescent="0.2">
      <c r="A304" s="347">
        <f t="shared" ca="1" si="122"/>
        <v>0.1</v>
      </c>
      <c r="B304" s="304">
        <f t="shared" ca="1" si="123"/>
        <v>16.59999999999993</v>
      </c>
      <c r="D304" s="306">
        <f t="shared" ca="1" si="124"/>
        <v>-0.43203409255555603</v>
      </c>
      <c r="E304" s="307">
        <f t="shared" ca="1" si="125"/>
        <v>-9.8015858804331693</v>
      </c>
      <c r="F304" s="304">
        <f t="shared" ca="1" si="126"/>
        <v>9.8111028548597528</v>
      </c>
      <c r="G304" s="306">
        <f t="shared" ca="1" si="127"/>
        <v>24.164965753008119</v>
      </c>
      <c r="H304" s="307">
        <f t="shared" ca="1" si="128"/>
        <v>-1.4516270053168117</v>
      </c>
      <c r="I304" s="304">
        <f t="shared" ca="1" si="129"/>
        <v>24.208527233324631</v>
      </c>
      <c r="J304" s="306">
        <f t="shared" ca="1" si="130"/>
        <v>507.84542509483941</v>
      </c>
      <c r="K304" s="307">
        <f t="shared" ca="1" si="131"/>
        <v>1438.0767119267175</v>
      </c>
      <c r="L304" s="304">
        <f t="shared" ca="1" si="116"/>
        <v>1525.1136368073421</v>
      </c>
      <c r="M304" s="306">
        <f t="shared" ca="1" si="132"/>
        <v>-5.9999450503657549E-2</v>
      </c>
      <c r="N304" s="304">
        <f t="shared" ca="1" si="133"/>
        <v>-3.4377152869636589</v>
      </c>
      <c r="P304" s="310">
        <f t="shared" ca="1" si="134"/>
        <v>23</v>
      </c>
      <c r="Q304" s="304">
        <f t="shared" ca="1" si="135"/>
        <v>0</v>
      </c>
      <c r="R304" s="306">
        <f t="shared" ca="1" si="136"/>
        <v>0</v>
      </c>
      <c r="S304" s="307">
        <f t="shared" ca="1" si="137"/>
        <v>2.9362999999999984</v>
      </c>
      <c r="T304" s="304">
        <f t="shared" ca="1" si="117"/>
        <v>28.805102999999985</v>
      </c>
      <c r="U304" s="311">
        <f t="shared" ca="1" si="118"/>
        <v>0</v>
      </c>
      <c r="V304" s="306">
        <f t="shared" ca="1" si="119"/>
        <v>1.0606527970505706</v>
      </c>
      <c r="W304" s="304">
        <f t="shared" ca="1" si="120"/>
        <v>1.2683909694139017</v>
      </c>
      <c r="Y304" s="314" t="str">
        <f t="shared" ca="1" si="138"/>
        <v/>
      </c>
      <c r="Z304" s="315" t="str">
        <f t="shared" ca="1" si="139"/>
        <v/>
      </c>
      <c r="AA304" s="316" t="str">
        <f t="shared" ca="1" si="140"/>
        <v/>
      </c>
      <c r="AC304" s="310" t="e">
        <f t="shared" ca="1" si="141"/>
        <v>#N/A</v>
      </c>
      <c r="AD304" s="323" t="e">
        <f t="shared" ca="1" si="142"/>
        <v>#N/A</v>
      </c>
      <c r="AE304" s="324" t="e">
        <f t="shared" ca="1" si="121"/>
        <v>#N/A</v>
      </c>
      <c r="AG304" s="306">
        <f t="shared" ca="1" si="143"/>
        <v>-0.2410966889035914</v>
      </c>
      <c r="AH304" s="304">
        <f t="shared" ca="1" si="144"/>
        <v>-0.43211601976597402</v>
      </c>
    </row>
    <row r="305" spans="1:34" x14ac:dyDescent="0.2">
      <c r="A305" s="347">
        <f t="shared" ca="1" si="122"/>
        <v>0.1</v>
      </c>
      <c r="B305" s="304">
        <f t="shared" ca="1" si="123"/>
        <v>16.699999999999932</v>
      </c>
      <c r="D305" s="306">
        <f t="shared" ca="1" si="124"/>
        <v>-0.4311918374523</v>
      </c>
      <c r="E305" s="307">
        <f t="shared" ca="1" si="125"/>
        <v>-9.7840976369627164</v>
      </c>
      <c r="F305" s="304">
        <f t="shared" ca="1" si="126"/>
        <v>9.7935944867196181</v>
      </c>
      <c r="G305" s="306">
        <f t="shared" ca="1" si="127"/>
        <v>24.121846569262889</v>
      </c>
      <c r="H305" s="307">
        <f t="shared" ca="1" si="128"/>
        <v>-2.4300367690130833</v>
      </c>
      <c r="I305" s="304">
        <f t="shared" ca="1" si="129"/>
        <v>24.243938636488409</v>
      </c>
      <c r="J305" s="306">
        <f t="shared" ca="1" si="130"/>
        <v>510.25976571095299</v>
      </c>
      <c r="K305" s="307">
        <f t="shared" ca="1" si="131"/>
        <v>1437.8826287380009</v>
      </c>
      <c r="L305" s="304">
        <f t="shared" ca="1" si="116"/>
        <v>1525.736373863421</v>
      </c>
      <c r="M305" s="306">
        <f t="shared" ca="1" si="132"/>
        <v>-0.10040135179822958</v>
      </c>
      <c r="N305" s="304">
        <f t="shared" ca="1" si="133"/>
        <v>-5.7525737154467738</v>
      </c>
      <c r="P305" s="310">
        <f t="shared" ca="1" si="134"/>
        <v>23</v>
      </c>
      <c r="Q305" s="304">
        <f t="shared" ca="1" si="135"/>
        <v>0</v>
      </c>
      <c r="R305" s="306">
        <f t="shared" ca="1" si="136"/>
        <v>0</v>
      </c>
      <c r="S305" s="307">
        <f t="shared" ca="1" si="137"/>
        <v>2.9362999999999984</v>
      </c>
      <c r="T305" s="304">
        <f t="shared" ca="1" si="117"/>
        <v>28.805102999999985</v>
      </c>
      <c r="U305" s="311">
        <f t="shared" ca="1" si="118"/>
        <v>0</v>
      </c>
      <c r="V305" s="306">
        <f t="shared" ca="1" si="119"/>
        <v>1.0606734897090218</v>
      </c>
      <c r="W305" s="304">
        <f t="shared" ca="1" si="120"/>
        <v>1.2721292189091113</v>
      </c>
      <c r="Y305" s="314" t="str">
        <f t="shared" ca="1" si="138"/>
        <v/>
      </c>
      <c r="Z305" s="315" t="str">
        <f t="shared" ca="1" si="139"/>
        <v/>
      </c>
      <c r="AA305" s="316" t="str">
        <f t="shared" ca="1" si="140"/>
        <v/>
      </c>
      <c r="AC305" s="310" t="e">
        <f t="shared" ca="1" si="141"/>
        <v>#N/A</v>
      </c>
      <c r="AD305" s="323" t="e">
        <f t="shared" ca="1" si="142"/>
        <v>#N/A</v>
      </c>
      <c r="AE305" s="324" t="e">
        <f t="shared" ca="1" si="121"/>
        <v>#N/A</v>
      </c>
      <c r="AG305" s="306">
        <f t="shared" ca="1" si="143"/>
        <v>0.15627238827863466</v>
      </c>
      <c r="AH305" s="304">
        <f t="shared" ca="1" si="144"/>
        <v>-0.43196913442560447</v>
      </c>
    </row>
    <row r="306" spans="1:34" x14ac:dyDescent="0.2">
      <c r="A306" s="347">
        <f t="shared" ca="1" si="122"/>
        <v>0.1</v>
      </c>
      <c r="B306" s="304">
        <f t="shared" ca="1" si="123"/>
        <v>16.799999999999933</v>
      </c>
      <c r="D306" s="306">
        <f t="shared" ca="1" si="124"/>
        <v>-0.43106044939483418</v>
      </c>
      <c r="E306" s="307">
        <f t="shared" ca="1" si="125"/>
        <v>-9.7665749355593903</v>
      </c>
      <c r="F306" s="304">
        <f t="shared" ca="1" si="126"/>
        <v>9.7760830132998251</v>
      </c>
      <c r="G306" s="306">
        <f t="shared" ca="1" si="127"/>
        <v>24.078740524323404</v>
      </c>
      <c r="H306" s="307">
        <f t="shared" ca="1" si="128"/>
        <v>-3.4066942625690224</v>
      </c>
      <c r="I306" s="304">
        <f t="shared" ca="1" si="129"/>
        <v>24.318538423110766</v>
      </c>
      <c r="J306" s="306">
        <f t="shared" ca="1" si="130"/>
        <v>512.66979506563234</v>
      </c>
      <c r="K306" s="307">
        <f t="shared" ca="1" si="131"/>
        <v>1437.5907921864218</v>
      </c>
      <c r="L306" s="304">
        <f t="shared" ca="1" si="116"/>
        <v>1526.2691782748616</v>
      </c>
      <c r="M306" s="306">
        <f t="shared" ca="1" si="132"/>
        <v>-0.14054858166079701</v>
      </c>
      <c r="N306" s="304">
        <f t="shared" ca="1" si="133"/>
        <v>-8.0528405457134706</v>
      </c>
      <c r="P306" s="310">
        <f t="shared" ca="1" si="134"/>
        <v>23</v>
      </c>
      <c r="Q306" s="304">
        <f t="shared" ca="1" si="135"/>
        <v>0</v>
      </c>
      <c r="R306" s="306">
        <f t="shared" ca="1" si="136"/>
        <v>0</v>
      </c>
      <c r="S306" s="307">
        <f t="shared" ca="1" si="137"/>
        <v>2.9362999999999984</v>
      </c>
      <c r="T306" s="304">
        <f t="shared" ca="1" si="117"/>
        <v>28.805102999999985</v>
      </c>
      <c r="U306" s="311">
        <f t="shared" ca="1" si="118"/>
        <v>0</v>
      </c>
      <c r="V306" s="306">
        <f t="shared" ca="1" si="119"/>
        <v>1.0607046052889271</v>
      </c>
      <c r="W306" s="304">
        <f t="shared" ca="1" si="120"/>
        <v>1.280007620344082</v>
      </c>
      <c r="Y306" s="314" t="str">
        <f t="shared" ca="1" si="138"/>
        <v/>
      </c>
      <c r="Z306" s="315" t="str">
        <f t="shared" ca="1" si="139"/>
        <v/>
      </c>
      <c r="AA306" s="316" t="str">
        <f t="shared" ca="1" si="140"/>
        <v/>
      </c>
      <c r="AC306" s="310" t="e">
        <f t="shared" ca="1" si="141"/>
        <v>#N/A</v>
      </c>
      <c r="AD306" s="323" t="e">
        <f t="shared" ca="1" si="142"/>
        <v>#N/A</v>
      </c>
      <c r="AE306" s="324" t="e">
        <f t="shared" ca="1" si="121"/>
        <v>#N/A</v>
      </c>
      <c r="AG306" s="306">
        <f t="shared" ca="1" si="143"/>
        <v>0.55004107947547265</v>
      </c>
      <c r="AH306" s="304">
        <f t="shared" ca="1" si="144"/>
        <v>-0.43324225007973027</v>
      </c>
    </row>
    <row r="307" spans="1:34" x14ac:dyDescent="0.2">
      <c r="A307" s="347">
        <f t="shared" ca="1" si="122"/>
        <v>0.1</v>
      </c>
      <c r="B307" s="304">
        <f t="shared" ca="1" si="123"/>
        <v>16.899999999999935</v>
      </c>
      <c r="D307" s="306">
        <f t="shared" ca="1" si="124"/>
        <v>-0.43162682444746286</v>
      </c>
      <c r="E307" s="307">
        <f t="shared" ca="1" si="125"/>
        <v>-9.7489328264520037</v>
      </c>
      <c r="F307" s="304">
        <f t="shared" ca="1" si="126"/>
        <v>9.758483128553129</v>
      </c>
      <c r="G307" s="306">
        <f t="shared" ca="1" si="127"/>
        <v>24.035577841878659</v>
      </c>
      <c r="H307" s="307">
        <f t="shared" ca="1" si="128"/>
        <v>-4.3815875452142228</v>
      </c>
      <c r="I307" s="304">
        <f t="shared" ca="1" si="129"/>
        <v>24.431686630467919</v>
      </c>
      <c r="J307" s="306">
        <f t="shared" ca="1" si="130"/>
        <v>515.07551098394242</v>
      </c>
      <c r="K307" s="307">
        <f t="shared" ca="1" si="131"/>
        <v>1437.2013780960326</v>
      </c>
      <c r="L307" s="304">
        <f t="shared" ca="1" si="116"/>
        <v>1526.7123446204607</v>
      </c>
      <c r="M307" s="306">
        <f t="shared" ca="1" si="132"/>
        <v>-0.18031590216952181</v>
      </c>
      <c r="N307" s="304">
        <f t="shared" ca="1" si="133"/>
        <v>-10.331340173407444</v>
      </c>
      <c r="P307" s="310">
        <f t="shared" ca="1" si="134"/>
        <v>23</v>
      </c>
      <c r="Q307" s="304">
        <f t="shared" ca="1" si="135"/>
        <v>0</v>
      </c>
      <c r="R307" s="306">
        <f t="shared" ca="1" si="136"/>
        <v>0</v>
      </c>
      <c r="S307" s="307">
        <f t="shared" ca="1" si="137"/>
        <v>2.9362999999999984</v>
      </c>
      <c r="T307" s="304">
        <f t="shared" ca="1" si="117"/>
        <v>28.805102999999985</v>
      </c>
      <c r="U307" s="311">
        <f t="shared" ca="1" si="118"/>
        <v>0</v>
      </c>
      <c r="V307" s="306">
        <f t="shared" ca="1" si="119"/>
        <v>1.0607461258943487</v>
      </c>
      <c r="W307" s="304">
        <f t="shared" ca="1" si="120"/>
        <v>1.2919970268924921</v>
      </c>
      <c r="Y307" s="314" t="str">
        <f t="shared" ca="1" si="138"/>
        <v/>
      </c>
      <c r="Z307" s="315" t="str">
        <f t="shared" ca="1" si="139"/>
        <v/>
      </c>
      <c r="AA307" s="316" t="str">
        <f t="shared" ca="1" si="140"/>
        <v/>
      </c>
      <c r="AC307" s="310" t="e">
        <f t="shared" ca="1" si="141"/>
        <v>#N/A</v>
      </c>
      <c r="AD307" s="323" t="e">
        <f t="shared" ca="1" si="142"/>
        <v>#N/A</v>
      </c>
      <c r="AE307" s="324" t="e">
        <f t="shared" ca="1" si="121"/>
        <v>#N/A</v>
      </c>
      <c r="AG307" s="306">
        <f t="shared" ca="1" si="143"/>
        <v>0.93832132588821093</v>
      </c>
      <c r="AH307" s="304">
        <f t="shared" ca="1" si="144"/>
        <v>-0.43592535515583652</v>
      </c>
    </row>
    <row r="308" spans="1:34" x14ac:dyDescent="0.2">
      <c r="A308" s="347">
        <f t="shared" ca="1" si="122"/>
        <v>0.1</v>
      </c>
      <c r="B308" s="304">
        <f t="shared" ca="1" si="123"/>
        <v>16.999999999999936</v>
      </c>
      <c r="D308" s="306">
        <f t="shared" ca="1" si="124"/>
        <v>-0.43287470374961556</v>
      </c>
      <c r="E308" s="307">
        <f t="shared" ca="1" si="125"/>
        <v>-9.731088711781128</v>
      </c>
      <c r="F308" s="304">
        <f t="shared" ca="1" si="126"/>
        <v>9.7407118849548375</v>
      </c>
      <c r="G308" s="306">
        <f t="shared" ca="1" si="127"/>
        <v>23.992290371503696</v>
      </c>
      <c r="H308" s="307">
        <f t="shared" ca="1" si="128"/>
        <v>-5.3546964163923354</v>
      </c>
      <c r="I308" s="304">
        <f t="shared" ca="1" si="129"/>
        <v>24.582570471418851</v>
      </c>
      <c r="J308" s="306">
        <f t="shared" ca="1" si="130"/>
        <v>517.47690439461155</v>
      </c>
      <c r="K308" s="307">
        <f t="shared" ca="1" si="131"/>
        <v>1436.7145638979523</v>
      </c>
      <c r="L308" s="304">
        <f t="shared" ca="1" si="116"/>
        <v>1527.0661690635127</v>
      </c>
      <c r="M308" s="306">
        <f t="shared" ca="1" si="132"/>
        <v>-0.21958531959759794</v>
      </c>
      <c r="N308" s="304">
        <f t="shared" ca="1" si="133"/>
        <v>-12.581312055973687</v>
      </c>
      <c r="P308" s="310">
        <f t="shared" ca="1" si="134"/>
        <v>23</v>
      </c>
      <c r="Q308" s="304">
        <f t="shared" ca="1" si="135"/>
        <v>0</v>
      </c>
      <c r="R308" s="306">
        <f t="shared" ca="1" si="136"/>
        <v>0</v>
      </c>
      <c r="S308" s="307">
        <f t="shared" ca="1" si="137"/>
        <v>2.9362999999999984</v>
      </c>
      <c r="T308" s="304">
        <f t="shared" ca="1" si="117"/>
        <v>28.805102999999985</v>
      </c>
      <c r="U308" s="311">
        <f t="shared" ca="1" si="118"/>
        <v>0</v>
      </c>
      <c r="V308" s="306">
        <f t="shared" ca="1" si="119"/>
        <v>1.0607980337398337</v>
      </c>
      <c r="W308" s="304">
        <f t="shared" ca="1" si="120"/>
        <v>1.3080683965513247</v>
      </c>
      <c r="Y308" s="314" t="str">
        <f t="shared" ca="1" si="138"/>
        <v/>
      </c>
      <c r="Z308" s="315" t="str">
        <f t="shared" ca="1" si="139"/>
        <v/>
      </c>
      <c r="AA308" s="316" t="str">
        <f t="shared" ca="1" si="140"/>
        <v/>
      </c>
      <c r="AC308" s="310">
        <f t="shared" ca="1" si="141"/>
        <v>16.999999999999936</v>
      </c>
      <c r="AD308" s="323">
        <f t="shared" ca="1" si="142"/>
        <v>517.47690439461155</v>
      </c>
      <c r="AE308" s="324" t="e">
        <f t="shared" ca="1" si="121"/>
        <v>#N/A</v>
      </c>
      <c r="AG308" s="306">
        <f t="shared" ca="1" si="143"/>
        <v>1.3193204362307069</v>
      </c>
      <c r="AH308" s="304">
        <f t="shared" ca="1" si="144"/>
        <v>-0.44000852327503759</v>
      </c>
    </row>
    <row r="309" spans="1:34" x14ac:dyDescent="0.2">
      <c r="A309" s="347">
        <f t="shared" ca="1" si="122"/>
        <v>0.1</v>
      </c>
      <c r="B309" s="304">
        <f t="shared" ca="1" si="123"/>
        <v>17.099999999999937</v>
      </c>
      <c r="D309" s="306">
        <f t="shared" ca="1" si="124"/>
        <v>-0.43478489130893355</v>
      </c>
      <c r="E309" s="307">
        <f t="shared" ca="1" si="125"/>
        <v>-9.7129629492081069</v>
      </c>
      <c r="F309" s="304">
        <f t="shared" ca="1" si="126"/>
        <v>9.7226892964035407</v>
      </c>
      <c r="G309" s="306">
        <f t="shared" ca="1" si="127"/>
        <v>23.948811882372802</v>
      </c>
      <c r="H309" s="307">
        <f t="shared" ca="1" si="128"/>
        <v>-6.3259927113131464</v>
      </c>
      <c r="I309" s="304">
        <f t="shared" ca="1" si="129"/>
        <v>24.770219505706194</v>
      </c>
      <c r="J309" s="306">
        <f t="shared" ca="1" si="130"/>
        <v>519.87395950730536</v>
      </c>
      <c r="K309" s="307">
        <f t="shared" ca="1" si="131"/>
        <v>1436.130529441567</v>
      </c>
      <c r="L309" s="304">
        <f t="shared" ca="1" si="116"/>
        <v>1527.3309501767842</v>
      </c>
      <c r="M309" s="306">
        <f t="shared" ca="1" si="132"/>
        <v>-0.2582479832240136</v>
      </c>
      <c r="N309" s="304">
        <f t="shared" ca="1" si="133"/>
        <v>-14.796519506501266</v>
      </c>
      <c r="P309" s="310">
        <f t="shared" ca="1" si="134"/>
        <v>23</v>
      </c>
      <c r="Q309" s="304">
        <f t="shared" ca="1" si="135"/>
        <v>0</v>
      </c>
      <c r="R309" s="306">
        <f t="shared" ca="1" si="136"/>
        <v>0</v>
      </c>
      <c r="S309" s="307">
        <f t="shared" ca="1" si="137"/>
        <v>2.9362999999999984</v>
      </c>
      <c r="T309" s="304">
        <f t="shared" ca="1" si="117"/>
        <v>28.805102999999985</v>
      </c>
      <c r="U309" s="311">
        <f t="shared" ca="1" si="118"/>
        <v>0</v>
      </c>
      <c r="V309" s="306">
        <f t="shared" ca="1" si="119"/>
        <v>1.0608603110622365</v>
      </c>
      <c r="W309" s="304">
        <f t="shared" ca="1" si="120"/>
        <v>1.3281926529383477</v>
      </c>
      <c r="Y309" s="314" t="str">
        <f t="shared" ca="1" si="138"/>
        <v/>
      </c>
      <c r="Z309" s="315" t="str">
        <f t="shared" ca="1" si="139"/>
        <v/>
      </c>
      <c r="AA309" s="316" t="str">
        <f t="shared" ca="1" si="140"/>
        <v/>
      </c>
      <c r="AC309" s="310" t="e">
        <f t="shared" ca="1" si="141"/>
        <v>#N/A</v>
      </c>
      <c r="AD309" s="323" t="e">
        <f t="shared" ca="1" si="142"/>
        <v>#N/A</v>
      </c>
      <c r="AE309" s="324" t="e">
        <f t="shared" ca="1" si="121"/>
        <v>#N/A</v>
      </c>
      <c r="AG309" s="306">
        <f t="shared" ca="1" si="143"/>
        <v>1.6913805894949503</v>
      </c>
      <c r="AH309" s="304">
        <f t="shared" ca="1" si="144"/>
        <v>-0.44548186375756066</v>
      </c>
    </row>
    <row r="310" spans="1:34" x14ac:dyDescent="0.2">
      <c r="A310" s="347">
        <f t="shared" ca="1" si="122"/>
        <v>0.1</v>
      </c>
      <c r="B310" s="304">
        <f t="shared" ca="1" si="123"/>
        <v>17.199999999999939</v>
      </c>
      <c r="D310" s="306">
        <f t="shared" ca="1" si="124"/>
        <v>-0.43733553419703397</v>
      </c>
      <c r="E310" s="307">
        <f t="shared" ca="1" si="125"/>
        <v>-9.6944793881501496</v>
      </c>
      <c r="F310" s="304">
        <f t="shared" ca="1" si="126"/>
        <v>9.7043388737584539</v>
      </c>
      <c r="G310" s="306">
        <f t="shared" ca="1" si="127"/>
        <v>23.905078328953099</v>
      </c>
      <c r="H310" s="307">
        <f t="shared" ca="1" si="128"/>
        <v>-7.2954406501281612</v>
      </c>
      <c r="I310" s="304">
        <f t="shared" ca="1" si="129"/>
        <v>24.993523644995026</v>
      </c>
      <c r="J310" s="306">
        <f t="shared" ca="1" si="130"/>
        <v>522.2666540178717</v>
      </c>
      <c r="K310" s="307">
        <f t="shared" ca="1" si="131"/>
        <v>1435.4494577734949</v>
      </c>
      <c r="L310" s="304">
        <f t="shared" ca="1" si="116"/>
        <v>1527.5069897454625</v>
      </c>
      <c r="M310" s="306">
        <f t="shared" ca="1" si="132"/>
        <v>-0.29620568673683828</v>
      </c>
      <c r="N310" s="304">
        <f t="shared" ca="1" si="133"/>
        <v>-16.971335717795018</v>
      </c>
      <c r="P310" s="310">
        <f t="shared" ca="1" si="134"/>
        <v>23</v>
      </c>
      <c r="Q310" s="304">
        <f t="shared" ca="1" si="135"/>
        <v>0</v>
      </c>
      <c r="R310" s="306">
        <f t="shared" ca="1" si="136"/>
        <v>0</v>
      </c>
      <c r="S310" s="307">
        <f t="shared" ca="1" si="137"/>
        <v>2.9362999999999984</v>
      </c>
      <c r="T310" s="304">
        <f t="shared" ca="1" si="117"/>
        <v>28.805102999999985</v>
      </c>
      <c r="U310" s="311">
        <f t="shared" ca="1" si="118"/>
        <v>0</v>
      </c>
      <c r="V310" s="306">
        <f t="shared" ca="1" si="119"/>
        <v>1.060932940035942</v>
      </c>
      <c r="W310" s="304">
        <f t="shared" ca="1" si="120"/>
        <v>1.3523405530950039</v>
      </c>
      <c r="Y310" s="314" t="str">
        <f t="shared" ca="1" si="138"/>
        <v/>
      </c>
      <c r="Z310" s="315" t="str">
        <f t="shared" ca="1" si="139"/>
        <v/>
      </c>
      <c r="AA310" s="316" t="str">
        <f t="shared" ca="1" si="140"/>
        <v/>
      </c>
      <c r="AC310" s="310" t="e">
        <f t="shared" ca="1" si="141"/>
        <v>#N/A</v>
      </c>
      <c r="AD310" s="323" t="e">
        <f t="shared" ca="1" si="142"/>
        <v>#N/A</v>
      </c>
      <c r="AE310" s="324" t="e">
        <f t="shared" ca="1" si="121"/>
        <v>#N/A</v>
      </c>
      <c r="AG310" s="306">
        <f t="shared" ca="1" si="143"/>
        <v>2.053011258125375</v>
      </c>
      <c r="AH310" s="304">
        <f t="shared" ca="1" si="144"/>
        <v>-0.45233547421528741</v>
      </c>
    </row>
    <row r="311" spans="1:34" x14ac:dyDescent="0.2">
      <c r="A311" s="347">
        <f t="shared" ca="1" si="122"/>
        <v>0.1</v>
      </c>
      <c r="B311" s="304">
        <f t="shared" ca="1" si="123"/>
        <v>17.29999999999994</v>
      </c>
      <c r="D311" s="306">
        <f t="shared" ca="1" si="124"/>
        <v>-0.44050245102141916</v>
      </c>
      <c r="E311" s="307">
        <f t="shared" ca="1" si="125"/>
        <v>-9.6755658248243233</v>
      </c>
      <c r="F311" s="304">
        <f t="shared" ca="1" si="126"/>
        <v>9.6855880791960303</v>
      </c>
      <c r="G311" s="306">
        <f t="shared" ca="1" si="127"/>
        <v>23.861028083850957</v>
      </c>
      <c r="H311" s="307">
        <f t="shared" ca="1" si="128"/>
        <v>-8.2629972326105943</v>
      </c>
      <c r="I311" s="304">
        <f t="shared" ca="1" si="129"/>
        <v>25.251253127012419</v>
      </c>
      <c r="J311" s="306">
        <f t="shared" ca="1" si="130"/>
        <v>524.65495933851196</v>
      </c>
      <c r="K311" s="307">
        <f t="shared" ca="1" si="131"/>
        <v>1434.6715358793581</v>
      </c>
      <c r="L311" s="304">
        <f t="shared" ca="1" si="116"/>
        <v>1527.5945935427146</v>
      </c>
      <c r="M311" s="306">
        <f t="shared" ca="1" si="132"/>
        <v>-0.33337193669254434</v>
      </c>
      <c r="N311" s="304">
        <f t="shared" ca="1" si="133"/>
        <v>-19.100804980585259</v>
      </c>
      <c r="P311" s="310">
        <f t="shared" ca="1" si="134"/>
        <v>23</v>
      </c>
      <c r="Q311" s="304">
        <f t="shared" ca="1" si="135"/>
        <v>0</v>
      </c>
      <c r="R311" s="306">
        <f t="shared" ca="1" si="136"/>
        <v>0</v>
      </c>
      <c r="S311" s="307">
        <f t="shared" ca="1" si="137"/>
        <v>2.9362999999999984</v>
      </c>
      <c r="T311" s="304">
        <f t="shared" ca="1" si="117"/>
        <v>28.805102999999985</v>
      </c>
      <c r="U311" s="311">
        <f t="shared" ca="1" si="118"/>
        <v>0</v>
      </c>
      <c r="V311" s="306">
        <f t="shared" ca="1" si="119"/>
        <v>1.0610159026920107</v>
      </c>
      <c r="W311" s="304">
        <f t="shared" ca="1" si="120"/>
        <v>1.3804825630458115</v>
      </c>
      <c r="Y311" s="314" t="str">
        <f t="shared" ca="1" si="138"/>
        <v/>
      </c>
      <c r="Z311" s="315" t="str">
        <f t="shared" ca="1" si="139"/>
        <v/>
      </c>
      <c r="AA311" s="316" t="str">
        <f t="shared" ca="1" si="140"/>
        <v/>
      </c>
      <c r="AC311" s="310" t="e">
        <f t="shared" ca="1" si="141"/>
        <v>#N/A</v>
      </c>
      <c r="AD311" s="323" t="e">
        <f t="shared" ca="1" si="142"/>
        <v>#N/A</v>
      </c>
      <c r="AE311" s="324" t="e">
        <f t="shared" ca="1" si="121"/>
        <v>#N/A</v>
      </c>
      <c r="AG311" s="306">
        <f t="shared" ca="1" si="143"/>
        <v>2.402913310211777</v>
      </c>
      <c r="AH311" s="304">
        <f t="shared" ca="1" si="144"/>
        <v>-0.46055939553009045</v>
      </c>
    </row>
    <row r="312" spans="1:34" x14ac:dyDescent="0.2">
      <c r="A312" s="347">
        <f t="shared" ca="1" si="122"/>
        <v>0.1</v>
      </c>
      <c r="B312" s="304">
        <f t="shared" ca="1" si="123"/>
        <v>17.399999999999942</v>
      </c>
      <c r="D312" s="306">
        <f t="shared" ca="1" si="124"/>
        <v>-0.44425949311224028</v>
      </c>
      <c r="E312" s="307">
        <f t="shared" ca="1" si="125"/>
        <v>-9.6561543673119488</v>
      </c>
      <c r="F312" s="304">
        <f t="shared" ca="1" si="126"/>
        <v>9.666368690598242</v>
      </c>
      <c r="G312" s="306">
        <f t="shared" ca="1" si="127"/>
        <v>23.816602134539732</v>
      </c>
      <c r="H312" s="307">
        <f t="shared" ca="1" si="128"/>
        <v>-9.2286126693417891</v>
      </c>
      <c r="I312" s="304">
        <f t="shared" ca="1" si="129"/>
        <v>25.542079575392805</v>
      </c>
      <c r="J312" s="306">
        <f t="shared" ca="1" si="130"/>
        <v>527.03884084943149</v>
      </c>
      <c r="K312" s="307">
        <f t="shared" ca="1" si="131"/>
        <v>1433.7969553842604</v>
      </c>
      <c r="L312" s="304">
        <f t="shared" ca="1" si="116"/>
        <v>1527.5940720731694</v>
      </c>
      <c r="M312" s="306">
        <f t="shared" ca="1" si="132"/>
        <v>-0.36967258283295584</v>
      </c>
      <c r="N312" s="304">
        <f t="shared" ca="1" si="133"/>
        <v>-21.180678798028698</v>
      </c>
      <c r="P312" s="310">
        <f t="shared" ca="1" si="134"/>
        <v>23</v>
      </c>
      <c r="Q312" s="304">
        <f t="shared" ca="1" si="135"/>
        <v>0</v>
      </c>
      <c r="R312" s="306">
        <f t="shared" ca="1" si="136"/>
        <v>0</v>
      </c>
      <c r="S312" s="307">
        <f t="shared" ca="1" si="137"/>
        <v>2.9362999999999984</v>
      </c>
      <c r="T312" s="304">
        <f t="shared" ca="1" si="117"/>
        <v>28.805102999999985</v>
      </c>
      <c r="U312" s="311">
        <f t="shared" ca="1" si="118"/>
        <v>0</v>
      </c>
      <c r="V312" s="306">
        <f t="shared" ca="1" si="119"/>
        <v>1.0611091808416613</v>
      </c>
      <c r="W312" s="304">
        <f t="shared" ca="1" si="120"/>
        <v>1.4125887417210783</v>
      </c>
      <c r="Y312" s="314" t="str">
        <f t="shared" ca="1" si="138"/>
        <v/>
      </c>
      <c r="Z312" s="315" t="str">
        <f t="shared" ca="1" si="139"/>
        <v/>
      </c>
      <c r="AA312" s="316" t="str">
        <f t="shared" ca="1" si="140"/>
        <v/>
      </c>
      <c r="AC312" s="310" t="e">
        <f t="shared" ca="1" si="141"/>
        <v>#N/A</v>
      </c>
      <c r="AD312" s="323" t="e">
        <f t="shared" ca="1" si="142"/>
        <v>#N/A</v>
      </c>
      <c r="AE312" s="324" t="e">
        <f t="shared" ca="1" si="121"/>
        <v>#N/A</v>
      </c>
      <c r="AG312" s="306">
        <f t="shared" ca="1" si="143"/>
        <v>2.7399942579117749</v>
      </c>
      <c r="AH312" s="304">
        <f t="shared" ca="1" si="144"/>
        <v>-0.47014356947376368</v>
      </c>
    </row>
    <row r="313" spans="1:34" x14ac:dyDescent="0.2">
      <c r="A313" s="347">
        <f t="shared" ca="1" si="122"/>
        <v>0.1</v>
      </c>
      <c r="B313" s="304">
        <f t="shared" ca="1" si="123"/>
        <v>17.499999999999943</v>
      </c>
      <c r="D313" s="306">
        <f t="shared" ca="1" si="124"/>
        <v>-0.44857892267228916</v>
      </c>
      <c r="E313" s="307">
        <f t="shared" ca="1" si="125"/>
        <v>-9.6361817069627431</v>
      </c>
      <c r="F313" s="304">
        <f t="shared" ca="1" si="126"/>
        <v>9.6466170722937488</v>
      </c>
      <c r="G313" s="306">
        <f t="shared" ca="1" si="127"/>
        <v>23.771744242272504</v>
      </c>
      <c r="H313" s="307">
        <f t="shared" ca="1" si="128"/>
        <v>-10.192230840038064</v>
      </c>
      <c r="I313" s="304">
        <f t="shared" ca="1" si="129"/>
        <v>25.864597306291838</v>
      </c>
      <c r="J313" s="306">
        <f t="shared" ca="1" si="130"/>
        <v>529.41825816827213</v>
      </c>
      <c r="K313" s="307">
        <f t="shared" ca="1" si="131"/>
        <v>1432.8259132087915</v>
      </c>
      <c r="L313" s="304">
        <f t="shared" ca="1" si="116"/>
        <v>1527.5057412803835</v>
      </c>
      <c r="M313" s="306">
        <f t="shared" ca="1" si="132"/>
        <v>-0.40504603200818456</v>
      </c>
      <c r="N313" s="304">
        <f t="shared" ca="1" si="133"/>
        <v>-23.207428142589826</v>
      </c>
      <c r="P313" s="310">
        <f t="shared" ca="1" si="134"/>
        <v>23</v>
      </c>
      <c r="Q313" s="304">
        <f t="shared" ca="1" si="135"/>
        <v>0</v>
      </c>
      <c r="R313" s="306">
        <f t="shared" ca="1" si="136"/>
        <v>0</v>
      </c>
      <c r="S313" s="307">
        <f t="shared" ca="1" si="137"/>
        <v>2.9362999999999984</v>
      </c>
      <c r="T313" s="304">
        <f t="shared" ca="1" si="117"/>
        <v>28.805102999999985</v>
      </c>
      <c r="U313" s="311">
        <f t="shared" ca="1" si="118"/>
        <v>0</v>
      </c>
      <c r="V313" s="306">
        <f t="shared" ca="1" si="119"/>
        <v>1.0612127560044191</v>
      </c>
      <c r="W313" s="304">
        <f t="shared" ca="1" si="120"/>
        <v>1.4486286336958325</v>
      </c>
      <c r="Y313" s="314" t="str">
        <f t="shared" ca="1" si="138"/>
        <v/>
      </c>
      <c r="Z313" s="315" t="str">
        <f t="shared" ca="1" si="139"/>
        <v/>
      </c>
      <c r="AA313" s="316" t="str">
        <f t="shared" ca="1" si="140"/>
        <v/>
      </c>
      <c r="AC313" s="310" t="e">
        <f t="shared" ca="1" si="141"/>
        <v>#N/A</v>
      </c>
      <c r="AD313" s="323" t="e">
        <f t="shared" ca="1" si="142"/>
        <v>#N/A</v>
      </c>
      <c r="AE313" s="324" t="e">
        <f t="shared" ca="1" si="121"/>
        <v>#N/A</v>
      </c>
      <c r="AG313" s="306">
        <f t="shared" ca="1" si="143"/>
        <v>3.0633747979201602</v>
      </c>
      <c r="AH313" s="304">
        <f t="shared" ca="1" si="144"/>
        <v>-0.48107779917620103</v>
      </c>
    </row>
    <row r="314" spans="1:34" x14ac:dyDescent="0.2">
      <c r="A314" s="347">
        <f t="shared" ca="1" si="122"/>
        <v>0.1</v>
      </c>
      <c r="B314" s="304">
        <f t="shared" ca="1" si="123"/>
        <v>17.599999999999945</v>
      </c>
      <c r="D314" s="306">
        <f t="shared" ca="1" si="124"/>
        <v>-0.45343179305822517</v>
      </c>
      <c r="E314" s="307">
        <f t="shared" ca="1" si="125"/>
        <v>-9.6155892971941217</v>
      </c>
      <c r="F314" s="304">
        <f t="shared" ca="1" si="126"/>
        <v>9.6262743532100803</v>
      </c>
      <c r="G314" s="306">
        <f t="shared" ca="1" si="127"/>
        <v>23.726401062966683</v>
      </c>
      <c r="H314" s="307">
        <f t="shared" ca="1" si="128"/>
        <v>-11.153789769757477</v>
      </c>
      <c r="I314" s="304">
        <f t="shared" ca="1" si="129"/>
        <v>26.217344137587489</v>
      </c>
      <c r="J314" s="306">
        <f t="shared" ca="1" si="130"/>
        <v>531.79316543353411</v>
      </c>
      <c r="K314" s="307">
        <f t="shared" ca="1" si="131"/>
        <v>1431.7586121783017</v>
      </c>
      <c r="L314" s="304">
        <f t="shared" ca="1" si="116"/>
        <v>1527.3299232152021</v>
      </c>
      <c r="M314" s="306">
        <f t="shared" ca="1" si="132"/>
        <v>-0.4394430888199195</v>
      </c>
      <c r="N314" s="304">
        <f t="shared" ca="1" si="133"/>
        <v>-25.17823432557396</v>
      </c>
      <c r="P314" s="310">
        <f t="shared" ca="1" si="134"/>
        <v>23</v>
      </c>
      <c r="Q314" s="304">
        <f t="shared" ca="1" si="135"/>
        <v>0</v>
      </c>
      <c r="R314" s="306">
        <f t="shared" ca="1" si="136"/>
        <v>0</v>
      </c>
      <c r="S314" s="307">
        <f t="shared" ca="1" si="137"/>
        <v>2.9362999999999984</v>
      </c>
      <c r="T314" s="304">
        <f t="shared" ca="1" si="117"/>
        <v>28.805102999999985</v>
      </c>
      <c r="U314" s="311">
        <f t="shared" ca="1" si="118"/>
        <v>0</v>
      </c>
      <c r="V314" s="306">
        <f t="shared" ca="1" si="119"/>
        <v>1.0613266093411682</v>
      </c>
      <c r="W314" s="304">
        <f t="shared" ca="1" si="120"/>
        <v>1.4885711710427036</v>
      </c>
      <c r="Y314" s="314" t="str">
        <f t="shared" ca="1" si="138"/>
        <v/>
      </c>
      <c r="Z314" s="315" t="str">
        <f t="shared" ca="1" si="139"/>
        <v/>
      </c>
      <c r="AA314" s="316" t="str">
        <f t="shared" ca="1" si="140"/>
        <v/>
      </c>
      <c r="AC314" s="310" t="e">
        <f t="shared" ca="1" si="141"/>
        <v>#N/A</v>
      </c>
      <c r="AD314" s="323" t="e">
        <f t="shared" ca="1" si="142"/>
        <v>#N/A</v>
      </c>
      <c r="AE314" s="324" t="e">
        <f t="shared" ca="1" si="121"/>
        <v>#N/A</v>
      </c>
      <c r="AG314" s="306">
        <f t="shared" ca="1" si="143"/>
        <v>3.3723873652921004</v>
      </c>
      <c r="AH314" s="304">
        <f t="shared" ca="1" si="144"/>
        <v>-0.49335171259606758</v>
      </c>
    </row>
    <row r="315" spans="1:34" x14ac:dyDescent="0.2">
      <c r="A315" s="347">
        <f t="shared" ca="1" si="122"/>
        <v>0.1</v>
      </c>
      <c r="B315" s="304">
        <f t="shared" ca="1" si="123"/>
        <v>17.699999999999946</v>
      </c>
      <c r="D315" s="306">
        <f t="shared" ca="1" si="124"/>
        <v>-0.45878831815154864</v>
      </c>
      <c r="E315" s="307">
        <f t="shared" ca="1" si="125"/>
        <v>-9.5943234447608585</v>
      </c>
      <c r="F315" s="304">
        <f t="shared" ca="1" si="126"/>
        <v>9.605286517515248</v>
      </c>
      <c r="G315" s="306">
        <f t="shared" ca="1" si="127"/>
        <v>23.680522231151528</v>
      </c>
      <c r="H315" s="307">
        <f t="shared" ca="1" si="128"/>
        <v>-12.113222114233563</v>
      </c>
      <c r="I315" s="304">
        <f t="shared" ca="1" si="129"/>
        <v>26.598821085319155</v>
      </c>
      <c r="J315" s="306">
        <f t="shared" ca="1" si="130"/>
        <v>534.16351159824001</v>
      </c>
      <c r="K315" s="307">
        <f t="shared" ca="1" si="131"/>
        <v>1430.5952615841022</v>
      </c>
      <c r="L315" s="304">
        <f t="shared" ca="1" si="116"/>
        <v>1527.0669466627353</v>
      </c>
      <c r="M315" s="306">
        <f t="shared" ca="1" si="132"/>
        <v>-0.47282648075554401</v>
      </c>
      <c r="N315" s="304">
        <f t="shared" ca="1" si="133"/>
        <v>-27.09096178931631</v>
      </c>
      <c r="P315" s="310">
        <f t="shared" ca="1" si="134"/>
        <v>23</v>
      </c>
      <c r="Q315" s="304">
        <f t="shared" ca="1" si="135"/>
        <v>0</v>
      </c>
      <c r="R315" s="306">
        <f t="shared" ca="1" si="136"/>
        <v>0</v>
      </c>
      <c r="S315" s="307">
        <f t="shared" ca="1" si="137"/>
        <v>2.9362999999999984</v>
      </c>
      <c r="T315" s="304">
        <f t="shared" ca="1" si="117"/>
        <v>28.805102999999985</v>
      </c>
      <c r="U315" s="311">
        <f t="shared" ca="1" si="118"/>
        <v>0</v>
      </c>
      <c r="V315" s="306">
        <f t="shared" ca="1" si="119"/>
        <v>1.0614507215922304</v>
      </c>
      <c r="W315" s="304">
        <f t="shared" ca="1" si="120"/>
        <v>1.5323845844472364</v>
      </c>
      <c r="Y315" s="314" t="str">
        <f t="shared" ca="1" si="138"/>
        <v/>
      </c>
      <c r="Z315" s="315" t="str">
        <f t="shared" ca="1" si="139"/>
        <v/>
      </c>
      <c r="AA315" s="316" t="str">
        <f t="shared" ca="1" si="140"/>
        <v/>
      </c>
      <c r="AC315" s="310" t="e">
        <f t="shared" ca="1" si="141"/>
        <v>#N/A</v>
      </c>
      <c r="AD315" s="323" t="e">
        <f t="shared" ca="1" si="142"/>
        <v>#N/A</v>
      </c>
      <c r="AE315" s="324" t="e">
        <f t="shared" ca="1" si="121"/>
        <v>#N/A</v>
      </c>
      <c r="AG315" s="306">
        <f t="shared" ca="1" si="143"/>
        <v>3.6665678469175402</v>
      </c>
      <c r="AH315" s="304">
        <f t="shared" ca="1" si="144"/>
        <v>-0.50695472909535966</v>
      </c>
    </row>
    <row r="316" spans="1:34" x14ac:dyDescent="0.2">
      <c r="A316" s="347">
        <f t="shared" ca="1" si="122"/>
        <v>0.1</v>
      </c>
      <c r="B316" s="304">
        <f t="shared" ca="1" si="123"/>
        <v>17.799999999999947</v>
      </c>
      <c r="D316" s="306">
        <f t="shared" ca="1" si="124"/>
        <v>-0.46461822014543669</v>
      </c>
      <c r="E316" s="307">
        <f t="shared" ca="1" si="125"/>
        <v>-9.5723353216620399</v>
      </c>
      <c r="F316" s="304">
        <f t="shared" ca="1" si="126"/>
        <v>9.5836044159193996</v>
      </c>
      <c r="G316" s="306">
        <f t="shared" ca="1" si="127"/>
        <v>23.634060409136985</v>
      </c>
      <c r="H316" s="307">
        <f t="shared" ca="1" si="128"/>
        <v>-13.070455646399768</v>
      </c>
      <c r="I316" s="304">
        <f t="shared" ca="1" si="129"/>
        <v>27.007510478147367</v>
      </c>
      <c r="J316" s="306">
        <f t="shared" ca="1" si="130"/>
        <v>536.5292407302544</v>
      </c>
      <c r="K316" s="307">
        <f t="shared" ca="1" si="131"/>
        <v>1429.3360776960706</v>
      </c>
      <c r="L316" s="304">
        <f t="shared" ca="1" si="116"/>
        <v>1526.7171477265101</v>
      </c>
      <c r="M316" s="306">
        <f t="shared" ca="1" si="132"/>
        <v>-0.50517013341042172</v>
      </c>
      <c r="N316" s="304">
        <f t="shared" ca="1" si="133"/>
        <v>-28.944116580477903</v>
      </c>
      <c r="P316" s="310">
        <f t="shared" ca="1" si="134"/>
        <v>23</v>
      </c>
      <c r="Q316" s="304">
        <f t="shared" ca="1" si="135"/>
        <v>0</v>
      </c>
      <c r="R316" s="306">
        <f t="shared" ca="1" si="136"/>
        <v>0</v>
      </c>
      <c r="S316" s="307">
        <f t="shared" ca="1" si="137"/>
        <v>2.9362999999999984</v>
      </c>
      <c r="T316" s="304">
        <f t="shared" ca="1" si="117"/>
        <v>28.805102999999985</v>
      </c>
      <c r="U316" s="311">
        <f t="shared" ca="1" si="118"/>
        <v>0</v>
      </c>
      <c r="V316" s="306">
        <f t="shared" ca="1" si="119"/>
        <v>1.0615850730205234</v>
      </c>
      <c r="W316" s="304">
        <f t="shared" ca="1" si="120"/>
        <v>1.5800363235966313</v>
      </c>
      <c r="Y316" s="314" t="str">
        <f t="shared" ca="1" si="138"/>
        <v/>
      </c>
      <c r="Z316" s="315" t="str">
        <f t="shared" ca="1" si="139"/>
        <v/>
      </c>
      <c r="AA316" s="316" t="str">
        <f t="shared" ca="1" si="140"/>
        <v/>
      </c>
      <c r="AC316" s="310" t="e">
        <f t="shared" ca="1" si="141"/>
        <v>#N/A</v>
      </c>
      <c r="AD316" s="323" t="e">
        <f t="shared" ca="1" si="142"/>
        <v>#N/A</v>
      </c>
      <c r="AE316" s="324" t="e">
        <f t="shared" ca="1" si="121"/>
        <v>#N/A</v>
      </c>
      <c r="AG316" s="306">
        <f t="shared" ca="1" si="143"/>
        <v>3.9456418566606679</v>
      </c>
      <c r="AH316" s="304">
        <f t="shared" ca="1" si="144"/>
        <v>-0.52187602916842191</v>
      </c>
    </row>
    <row r="317" spans="1:34" x14ac:dyDescent="0.2">
      <c r="A317" s="347">
        <f t="shared" ca="1" si="122"/>
        <v>0.1</v>
      </c>
      <c r="B317" s="304">
        <f t="shared" ca="1" si="123"/>
        <v>17.899999999999949</v>
      </c>
      <c r="D317" s="306">
        <f t="shared" ca="1" si="124"/>
        <v>-0.47089104771866475</v>
      </c>
      <c r="E317" s="307">
        <f t="shared" ca="1" si="125"/>
        <v>-9.5495809079376777</v>
      </c>
      <c r="F317" s="304">
        <f t="shared" ca="1" si="126"/>
        <v>9.5611837078925213</v>
      </c>
      <c r="G317" s="306">
        <f t="shared" ca="1" si="127"/>
        <v>23.586971304365118</v>
      </c>
      <c r="H317" s="307">
        <f t="shared" ca="1" si="128"/>
        <v>-14.025413737193537</v>
      </c>
      <c r="I317" s="304">
        <f t="shared" ca="1" si="129"/>
        <v>27.441892168952212</v>
      </c>
      <c r="J317" s="306">
        <f t="shared" ca="1" si="130"/>
        <v>538.89029231592951</v>
      </c>
      <c r="K317" s="307">
        <f t="shared" ca="1" si="131"/>
        <v>1427.9812842268909</v>
      </c>
      <c r="L317" s="304">
        <f t="shared" ca="1" si="116"/>
        <v>1526.2808703690905</v>
      </c>
      <c r="M317" s="306">
        <f t="shared" ca="1" si="132"/>
        <v>-0.53645826307643729</v>
      </c>
      <c r="N317" s="304">
        <f t="shared" ca="1" si="133"/>
        <v>-30.736794359198662</v>
      </c>
      <c r="P317" s="310">
        <f t="shared" ca="1" si="134"/>
        <v>23</v>
      </c>
      <c r="Q317" s="304">
        <f t="shared" ca="1" si="135"/>
        <v>0</v>
      </c>
      <c r="R317" s="306">
        <f t="shared" ca="1" si="136"/>
        <v>0</v>
      </c>
      <c r="S317" s="307">
        <f t="shared" ca="1" si="137"/>
        <v>2.9362999999999984</v>
      </c>
      <c r="T317" s="304">
        <f t="shared" ca="1" si="117"/>
        <v>28.805102999999985</v>
      </c>
      <c r="U317" s="311">
        <f t="shared" ca="1" si="118"/>
        <v>0</v>
      </c>
      <c r="V317" s="306">
        <f t="shared" ca="1" si="119"/>
        <v>1.0617296433597709</v>
      </c>
      <c r="W317" s="304">
        <f t="shared" ca="1" si="120"/>
        <v>1.6314929867313672</v>
      </c>
      <c r="Y317" s="314" t="str">
        <f t="shared" ca="1" si="138"/>
        <v/>
      </c>
      <c r="Z317" s="315" t="str">
        <f t="shared" ca="1" si="139"/>
        <v/>
      </c>
      <c r="AA317" s="316" t="str">
        <f t="shared" ca="1" si="140"/>
        <v/>
      </c>
      <c r="AC317" s="310" t="e">
        <f t="shared" ca="1" si="141"/>
        <v>#N/A</v>
      </c>
      <c r="AD317" s="323" t="e">
        <f t="shared" ca="1" si="142"/>
        <v>#N/A</v>
      </c>
      <c r="AE317" s="324" t="e">
        <f t="shared" ca="1" si="121"/>
        <v>#N/A</v>
      </c>
      <c r="AG317" s="306">
        <f t="shared" ca="1" si="143"/>
        <v>4.2095070674133233</v>
      </c>
      <c r="AH317" s="304">
        <f t="shared" ca="1" si="144"/>
        <v>-0.53810452732916669</v>
      </c>
    </row>
    <row r="318" spans="1:34" x14ac:dyDescent="0.2">
      <c r="A318" s="347">
        <f t="shared" ca="1" si="122"/>
        <v>0.1</v>
      </c>
      <c r="B318" s="304">
        <f t="shared" ca="1" si="123"/>
        <v>17.99999999999995</v>
      </c>
      <c r="D318" s="306">
        <f t="shared" ca="1" si="124"/>
        <v>-0.47757645922406045</v>
      </c>
      <c r="E318" s="307">
        <f t="shared" ca="1" si="125"/>
        <v>-9.5260208767235088</v>
      </c>
      <c r="F318" s="304">
        <f t="shared" ca="1" si="126"/>
        <v>9.5379847461702898</v>
      </c>
      <c r="G318" s="306">
        <f t="shared" ca="1" si="127"/>
        <v>23.539213658442712</v>
      </c>
      <c r="H318" s="307">
        <f t="shared" ca="1" si="128"/>
        <v>-14.978015824865889</v>
      </c>
      <c r="I318" s="304">
        <f t="shared" ca="1" si="129"/>
        <v>27.900457661259768</v>
      </c>
      <c r="J318" s="306">
        <f t="shared" ca="1" si="130"/>
        <v>541.24660156406992</v>
      </c>
      <c r="K318" s="307">
        <f t="shared" ca="1" si="131"/>
        <v>1426.531112748788</v>
      </c>
      <c r="L318" s="304">
        <f t="shared" ca="1" si="116"/>
        <v>1525.758466909147</v>
      </c>
      <c r="M318" s="306">
        <f t="shared" ca="1" si="132"/>
        <v>-0.56668435070982959</v>
      </c>
      <c r="N318" s="304">
        <f t="shared" ca="1" si="133"/>
        <v>-32.468621611784613</v>
      </c>
      <c r="P318" s="310">
        <f t="shared" ca="1" si="134"/>
        <v>23</v>
      </c>
      <c r="Q318" s="304">
        <f t="shared" ca="1" si="135"/>
        <v>0</v>
      </c>
      <c r="R318" s="306">
        <f t="shared" ca="1" si="136"/>
        <v>0</v>
      </c>
      <c r="S318" s="307">
        <f t="shared" ca="1" si="137"/>
        <v>2.9362999999999984</v>
      </c>
      <c r="T318" s="304">
        <f t="shared" ca="1" si="117"/>
        <v>28.805102999999985</v>
      </c>
      <c r="U318" s="311">
        <f t="shared" ca="1" si="118"/>
        <v>0</v>
      </c>
      <c r="V318" s="306">
        <f t="shared" ca="1" si="119"/>
        <v>1.0618844117676611</v>
      </c>
      <c r="W318" s="304">
        <f t="shared" ca="1" si="120"/>
        <v>1.6867202591459478</v>
      </c>
      <c r="Y318" s="314" t="str">
        <f t="shared" ca="1" si="138"/>
        <v/>
      </c>
      <c r="Z318" s="315" t="str">
        <f t="shared" ca="1" si="139"/>
        <v/>
      </c>
      <c r="AA318" s="316" t="str">
        <f t="shared" ca="1" si="140"/>
        <v/>
      </c>
      <c r="AC318" s="310">
        <f t="shared" ca="1" si="141"/>
        <v>17.99999999999995</v>
      </c>
      <c r="AD318" s="323">
        <f t="shared" ca="1" si="142"/>
        <v>541.24660156406992</v>
      </c>
      <c r="AE318" s="324" t="e">
        <f t="shared" ca="1" si="121"/>
        <v>#N/A</v>
      </c>
      <c r="AG318" s="306">
        <f t="shared" ca="1" si="143"/>
        <v>4.4582130515128906</v>
      </c>
      <c r="AH318" s="304">
        <f t="shared" ca="1" si="144"/>
        <v>-0.55562884811884616</v>
      </c>
    </row>
    <row r="319" spans="1:34" x14ac:dyDescent="0.2">
      <c r="A319" s="347">
        <f t="shared" ca="1" si="122"/>
        <v>0.1</v>
      </c>
      <c r="B319" s="304">
        <f t="shared" ca="1" si="123"/>
        <v>18.099999999999952</v>
      </c>
      <c r="D319" s="306">
        <f t="shared" ca="1" si="124"/>
        <v>-0.48464446797780442</v>
      </c>
      <c r="E319" s="307">
        <f t="shared" ca="1" si="125"/>
        <v>-9.5016204331999123</v>
      </c>
      <c r="F319" s="304">
        <f t="shared" ca="1" si="126"/>
        <v>9.5139724151872329</v>
      </c>
      <c r="G319" s="306">
        <f t="shared" ca="1" si="127"/>
        <v>23.490749211644932</v>
      </c>
      <c r="H319" s="307">
        <f t="shared" ca="1" si="128"/>
        <v>-15.92817786818588</v>
      </c>
      <c r="I319" s="304">
        <f t="shared" ca="1" si="129"/>
        <v>28.381722088783892</v>
      </c>
      <c r="J319" s="306">
        <f t="shared" ca="1" si="130"/>
        <v>543.59809970757431</v>
      </c>
      <c r="K319" s="307">
        <f t="shared" ca="1" si="131"/>
        <v>1424.9858030641353</v>
      </c>
      <c r="L319" s="304">
        <f t="shared" ca="1" si="116"/>
        <v>1525.1502984755386</v>
      </c>
      <c r="M319" s="306">
        <f t="shared" ca="1" si="132"/>
        <v>-0.59585005450891015</v>
      </c>
      <c r="N319" s="304">
        <f t="shared" ca="1" si="133"/>
        <v>-34.139693346000598</v>
      </c>
      <c r="P319" s="310">
        <f t="shared" ca="1" si="134"/>
        <v>23</v>
      </c>
      <c r="Q319" s="304">
        <f t="shared" ca="1" si="135"/>
        <v>0</v>
      </c>
      <c r="R319" s="306">
        <f t="shared" ca="1" si="136"/>
        <v>0</v>
      </c>
      <c r="S319" s="307">
        <f t="shared" ca="1" si="137"/>
        <v>2.9362999999999984</v>
      </c>
      <c r="T319" s="304">
        <f t="shared" ca="1" si="117"/>
        <v>28.805102999999985</v>
      </c>
      <c r="U319" s="311">
        <f t="shared" ca="1" si="118"/>
        <v>0</v>
      </c>
      <c r="V319" s="306">
        <f t="shared" ca="1" si="119"/>
        <v>1.0620493567838061</v>
      </c>
      <c r="W319" s="304">
        <f t="shared" ca="1" si="120"/>
        <v>1.7456828603412751</v>
      </c>
      <c r="Y319" s="314" t="str">
        <f t="shared" ca="1" si="138"/>
        <v/>
      </c>
      <c r="Z319" s="315" t="str">
        <f t="shared" ca="1" si="139"/>
        <v/>
      </c>
      <c r="AA319" s="316" t="str">
        <f t="shared" ca="1" si="140"/>
        <v/>
      </c>
      <c r="AC319" s="310" t="e">
        <f t="shared" ca="1" si="141"/>
        <v>#N/A</v>
      </c>
      <c r="AD319" s="323" t="e">
        <f t="shared" ca="1" si="142"/>
        <v>#N/A</v>
      </c>
      <c r="AE319" s="324" t="e">
        <f t="shared" ca="1" si="121"/>
        <v>#N/A</v>
      </c>
      <c r="AG319" s="306">
        <f t="shared" ca="1" si="143"/>
        <v>4.6919399358811376</v>
      </c>
      <c r="AH319" s="304">
        <f t="shared" ca="1" si="144"/>
        <v>-0.57443730516158042</v>
      </c>
    </row>
    <row r="320" spans="1:34" x14ac:dyDescent="0.2">
      <c r="A320" s="347">
        <f t="shared" ca="1" si="122"/>
        <v>0.1</v>
      </c>
      <c r="B320" s="304">
        <f t="shared" ca="1" si="123"/>
        <v>18.199999999999953</v>
      </c>
      <c r="D320" s="306">
        <f t="shared" ca="1" si="124"/>
        <v>-0.49206564885705756</v>
      </c>
      <c r="E320" s="307">
        <f t="shared" ca="1" si="125"/>
        <v>-9.4763491186592645</v>
      </c>
      <c r="F320" s="304">
        <f t="shared" ca="1" si="126"/>
        <v>9.4891159346642695</v>
      </c>
      <c r="G320" s="306">
        <f t="shared" ca="1" si="127"/>
        <v>23.441542646759228</v>
      </c>
      <c r="H320" s="307">
        <f t="shared" ca="1" si="128"/>
        <v>-16.875812780051806</v>
      </c>
      <c r="I320" s="304">
        <f t="shared" ca="1" si="129"/>
        <v>28.884234084482689</v>
      </c>
      <c r="J320" s="306">
        <f t="shared" ca="1" si="130"/>
        <v>545.94471430049452</v>
      </c>
      <c r="K320" s="307">
        <f t="shared" ca="1" si="131"/>
        <v>1423.3456035317236</v>
      </c>
      <c r="L320" s="304">
        <f t="shared" ca="1" si="116"/>
        <v>1524.4567354194526</v>
      </c>
      <c r="M320" s="306">
        <f t="shared" ca="1" si="132"/>
        <v>-0.62396410944797021</v>
      </c>
      <c r="N320" s="304">
        <f t="shared" ca="1" si="133"/>
        <v>-35.750510039007665</v>
      </c>
      <c r="P320" s="310">
        <f t="shared" ca="1" si="134"/>
        <v>23</v>
      </c>
      <c r="Q320" s="304">
        <f t="shared" ca="1" si="135"/>
        <v>0</v>
      </c>
      <c r="R320" s="306">
        <f t="shared" ca="1" si="136"/>
        <v>0</v>
      </c>
      <c r="S320" s="307">
        <f t="shared" ca="1" si="137"/>
        <v>2.9362999999999984</v>
      </c>
      <c r="T320" s="304">
        <f t="shared" ca="1" si="117"/>
        <v>28.805102999999985</v>
      </c>
      <c r="U320" s="311">
        <f t="shared" ca="1" si="118"/>
        <v>0</v>
      </c>
      <c r="V320" s="306">
        <f t="shared" ca="1" si="119"/>
        <v>1.0622244562923056</v>
      </c>
      <c r="W320" s="304">
        <f t="shared" ca="1" si="120"/>
        <v>1.808344499466408</v>
      </c>
      <c r="Y320" s="314" t="str">
        <f t="shared" ca="1" si="138"/>
        <v/>
      </c>
      <c r="Z320" s="315" t="str">
        <f t="shared" ca="1" si="139"/>
        <v/>
      </c>
      <c r="AA320" s="316" t="str">
        <f t="shared" ca="1" si="140"/>
        <v/>
      </c>
      <c r="AC320" s="310" t="e">
        <f t="shared" ca="1" si="141"/>
        <v>#N/A</v>
      </c>
      <c r="AD320" s="323" t="e">
        <f t="shared" ca="1" si="142"/>
        <v>#N/A</v>
      </c>
      <c r="AE320" s="324" t="e">
        <f t="shared" ca="1" si="121"/>
        <v>#N/A</v>
      </c>
      <c r="AG320" s="306">
        <f t="shared" ca="1" si="143"/>
        <v>4.9109769701094654</v>
      </c>
      <c r="AH320" s="304">
        <f t="shared" ca="1" si="144"/>
        <v>-0.59451788316632359</v>
      </c>
    </row>
    <row r="321" spans="1:34" x14ac:dyDescent="0.2">
      <c r="A321" s="347">
        <f t="shared" ca="1" si="122"/>
        <v>0.1</v>
      </c>
      <c r="B321" s="304">
        <f t="shared" ca="1" si="123"/>
        <v>18.299999999999955</v>
      </c>
      <c r="D321" s="306">
        <f t="shared" ca="1" si="124"/>
        <v>-0.4998113071224477</v>
      </c>
      <c r="E321" s="307">
        <f t="shared" ca="1" si="125"/>
        <v>-9.4501805900126001</v>
      </c>
      <c r="F321" s="304">
        <f t="shared" ca="1" si="126"/>
        <v>9.4633886386736936</v>
      </c>
      <c r="G321" s="306">
        <f t="shared" ca="1" si="127"/>
        <v>23.391561516046984</v>
      </c>
      <c r="H321" s="307">
        <f t="shared" ca="1" si="128"/>
        <v>-17.820830839053066</v>
      </c>
      <c r="I321" s="304">
        <f t="shared" ca="1" si="129"/>
        <v>29.406583649807999</v>
      </c>
      <c r="J321" s="306">
        <f t="shared" ca="1" si="130"/>
        <v>548.28636950863483</v>
      </c>
      <c r="K321" s="307">
        <f t="shared" ca="1" si="131"/>
        <v>1421.6107713507683</v>
      </c>
      <c r="L321" s="304">
        <f t="shared" ca="1" si="116"/>
        <v>1523.6781576860271</v>
      </c>
      <c r="M321" s="306">
        <f t="shared" ca="1" si="132"/>
        <v>-0.65104125236379817</v>
      </c>
      <c r="N321" s="304">
        <f t="shared" ca="1" si="133"/>
        <v>-37.301916049357168</v>
      </c>
      <c r="P321" s="310">
        <f t="shared" ca="1" si="134"/>
        <v>23</v>
      </c>
      <c r="Q321" s="304">
        <f t="shared" ca="1" si="135"/>
        <v>0</v>
      </c>
      <c r="R321" s="306">
        <f t="shared" ca="1" si="136"/>
        <v>0</v>
      </c>
      <c r="S321" s="307">
        <f t="shared" ca="1" si="137"/>
        <v>2.9362999999999984</v>
      </c>
      <c r="T321" s="304">
        <f t="shared" ca="1" si="117"/>
        <v>28.805102999999985</v>
      </c>
      <c r="U321" s="311">
        <f t="shared" ca="1" si="118"/>
        <v>0</v>
      </c>
      <c r="V321" s="306">
        <f t="shared" ca="1" si="119"/>
        <v>1.0624096874886986</v>
      </c>
      <c r="W321" s="304">
        <f t="shared" ca="1" si="120"/>
        <v>1.874667838640679</v>
      </c>
      <c r="Y321" s="314" t="str">
        <f t="shared" ca="1" si="138"/>
        <v/>
      </c>
      <c r="Z321" s="315" t="str">
        <f t="shared" ca="1" si="139"/>
        <v/>
      </c>
      <c r="AA321" s="316" t="str">
        <f t="shared" ca="1" si="140"/>
        <v/>
      </c>
      <c r="AC321" s="310" t="e">
        <f t="shared" ca="1" si="141"/>
        <v>#N/A</v>
      </c>
      <c r="AD321" s="323" t="e">
        <f t="shared" ca="1" si="142"/>
        <v>#N/A</v>
      </c>
      <c r="AE321" s="324" t="e">
        <f t="shared" ca="1" si="121"/>
        <v>#N/A</v>
      </c>
      <c r="AG321" s="306">
        <f t="shared" ca="1" si="143"/>
        <v>5.1157018694454761</v>
      </c>
      <c r="AH321" s="304">
        <f t="shared" ca="1" si="144"/>
        <v>-0.61585822275190172</v>
      </c>
    </row>
    <row r="322" spans="1:34" x14ac:dyDescent="0.2">
      <c r="A322" s="347">
        <f t="shared" ca="1" si="122"/>
        <v>0.1</v>
      </c>
      <c r="B322" s="304">
        <f t="shared" ca="1" si="123"/>
        <v>18.399999999999956</v>
      </c>
      <c r="D322" s="306">
        <f t="shared" ca="1" si="124"/>
        <v>-0.50785361166039877</v>
      </c>
      <c r="E322" s="307">
        <f t="shared" ca="1" si="125"/>
        <v>-9.4230923838413521</v>
      </c>
      <c r="F322" s="304">
        <f t="shared" ca="1" si="126"/>
        <v>9.4367677392889888</v>
      </c>
      <c r="G322" s="306">
        <f t="shared" ca="1" si="127"/>
        <v>23.340776154880945</v>
      </c>
      <c r="H322" s="307">
        <f t="shared" ca="1" si="128"/>
        <v>-18.7631400774372</v>
      </c>
      <c r="I322" s="304">
        <f t="shared" ca="1" si="129"/>
        <v>29.947408186315371</v>
      </c>
      <c r="J322" s="306">
        <f t="shared" ca="1" si="130"/>
        <v>550.62298639218125</v>
      </c>
      <c r="K322" s="307">
        <f t="shared" ca="1" si="131"/>
        <v>1419.7815728049438</v>
      </c>
      <c r="L322" s="304">
        <f t="shared" ca="1" si="116"/>
        <v>1522.8149551471854</v>
      </c>
      <c r="M322" s="306">
        <f t="shared" ca="1" si="132"/>
        <v>-0.67710120154344422</v>
      </c>
      <c r="N322" s="304">
        <f t="shared" ca="1" si="133"/>
        <v>-38.795041151676294</v>
      </c>
      <c r="P322" s="310">
        <f t="shared" ca="1" si="134"/>
        <v>23</v>
      </c>
      <c r="Q322" s="304">
        <f t="shared" ca="1" si="135"/>
        <v>0</v>
      </c>
      <c r="R322" s="306">
        <f t="shared" ca="1" si="136"/>
        <v>0</v>
      </c>
      <c r="S322" s="307">
        <f t="shared" ca="1" si="137"/>
        <v>2.9362999999999984</v>
      </c>
      <c r="T322" s="304">
        <f t="shared" ca="1" si="117"/>
        <v>28.805102999999985</v>
      </c>
      <c r="U322" s="311">
        <f t="shared" ca="1" si="118"/>
        <v>0</v>
      </c>
      <c r="V322" s="306">
        <f t="shared" ca="1" si="119"/>
        <v>1.0626050268510465</v>
      </c>
      <c r="W322" s="304">
        <f t="shared" ca="1" si="120"/>
        <v>1.9446144637162683</v>
      </c>
      <c r="Y322" s="314" t="str">
        <f t="shared" ca="1" si="138"/>
        <v/>
      </c>
      <c r="Z322" s="315" t="str">
        <f t="shared" ca="1" si="139"/>
        <v/>
      </c>
      <c r="AA322" s="316" t="str">
        <f t="shared" ca="1" si="140"/>
        <v/>
      </c>
      <c r="AC322" s="310" t="e">
        <f t="shared" ca="1" si="141"/>
        <v>#N/A</v>
      </c>
      <c r="AD322" s="323" t="e">
        <f t="shared" ca="1" si="142"/>
        <v>#N/A</v>
      </c>
      <c r="AE322" s="324" t="e">
        <f t="shared" ca="1" si="121"/>
        <v>#N/A</v>
      </c>
      <c r="AG322" s="306">
        <f t="shared" ca="1" si="143"/>
        <v>5.306561558228613</v>
      </c>
      <c r="AH322" s="304">
        <f t="shared" ca="1" si="144"/>
        <v>-0.63844560795582195</v>
      </c>
    </row>
    <row r="323" spans="1:34" x14ac:dyDescent="0.2">
      <c r="A323" s="347">
        <f t="shared" ca="1" si="122"/>
        <v>0.1</v>
      </c>
      <c r="B323" s="304">
        <f t="shared" ca="1" si="123"/>
        <v>18.499999999999957</v>
      </c>
      <c r="D323" s="306">
        <f t="shared" ca="1" si="124"/>
        <v>-0.51616569571119775</v>
      </c>
      <c r="E323" s="307">
        <f t="shared" ca="1" si="125"/>
        <v>-9.3950656727294923</v>
      </c>
      <c r="F323" s="304">
        <f t="shared" ca="1" si="126"/>
        <v>9.4092340825557681</v>
      </c>
      <c r="G323" s="306">
        <f t="shared" ca="1" si="127"/>
        <v>23.289159585309825</v>
      </c>
      <c r="H323" s="307">
        <f t="shared" ca="1" si="128"/>
        <v>-19.70264664471015</v>
      </c>
      <c r="I323" s="304">
        <f t="shared" ca="1" si="129"/>
        <v>30.505396883114578</v>
      </c>
      <c r="J323" s="306">
        <f t="shared" ca="1" si="130"/>
        <v>552.95448317919079</v>
      </c>
      <c r="K323" s="307">
        <f t="shared" ca="1" si="131"/>
        <v>1417.8582834688364</v>
      </c>
      <c r="L323" s="304">
        <f t="shared" ca="1" si="116"/>
        <v>1521.8675278976029</v>
      </c>
      <c r="M323" s="306">
        <f t="shared" ca="1" si="132"/>
        <v>-0.70216771089119423</v>
      </c>
      <c r="N323" s="304">
        <f t="shared" ca="1" si="133"/>
        <v>-40.231246344427596</v>
      </c>
      <c r="P323" s="310">
        <f t="shared" ca="1" si="134"/>
        <v>23</v>
      </c>
      <c r="Q323" s="304">
        <f t="shared" ca="1" si="135"/>
        <v>0</v>
      </c>
      <c r="R323" s="306">
        <f t="shared" ca="1" si="136"/>
        <v>0</v>
      </c>
      <c r="S323" s="307">
        <f t="shared" ca="1" si="137"/>
        <v>2.9362999999999984</v>
      </c>
      <c r="T323" s="304">
        <f t="shared" ca="1" si="117"/>
        <v>28.805102999999985</v>
      </c>
      <c r="U323" s="311">
        <f t="shared" ca="1" si="118"/>
        <v>0</v>
      </c>
      <c r="V323" s="306">
        <f t="shared" ca="1" si="119"/>
        <v>1.0628104501149012</v>
      </c>
      <c r="W323" s="304">
        <f t="shared" ca="1" si="120"/>
        <v>2.0181448620243576</v>
      </c>
      <c r="Y323" s="314" t="str">
        <f t="shared" ca="1" si="138"/>
        <v/>
      </c>
      <c r="Z323" s="315" t="str">
        <f t="shared" ca="1" si="139"/>
        <v/>
      </c>
      <c r="AA323" s="316" t="str">
        <f t="shared" ca="1" si="140"/>
        <v/>
      </c>
      <c r="AC323" s="310" t="e">
        <f t="shared" ca="1" si="141"/>
        <v>#N/A</v>
      </c>
      <c r="AD323" s="323" t="e">
        <f t="shared" ca="1" si="142"/>
        <v>#N/A</v>
      </c>
      <c r="AE323" s="324" t="e">
        <f t="shared" ca="1" si="121"/>
        <v>#N/A</v>
      </c>
      <c r="AG323" s="306">
        <f t="shared" ca="1" si="143"/>
        <v>5.484054722530848</v>
      </c>
      <c r="AH323" s="304">
        <f t="shared" ca="1" si="144"/>
        <v>-0.66226695627703891</v>
      </c>
    </row>
    <row r="324" spans="1:34" x14ac:dyDescent="0.2">
      <c r="A324" s="347">
        <f t="shared" ca="1" si="122"/>
        <v>0.1</v>
      </c>
      <c r="B324" s="304">
        <f t="shared" ca="1" si="123"/>
        <v>18.599999999999959</v>
      </c>
      <c r="D324" s="306">
        <f t="shared" ca="1" si="124"/>
        <v>-0.52472172866203981</v>
      </c>
      <c r="E324" s="307">
        <f t="shared" ca="1" si="125"/>
        <v>-9.3660850202103969</v>
      </c>
      <c r="F324" s="304">
        <f t="shared" ca="1" si="126"/>
        <v>9.3807719031186174</v>
      </c>
      <c r="G324" s="306">
        <f t="shared" ca="1" si="127"/>
        <v>23.236687412443622</v>
      </c>
      <c r="H324" s="307">
        <f t="shared" ca="1" si="128"/>
        <v>-20.639255146731191</v>
      </c>
      <c r="I324" s="304">
        <f t="shared" ca="1" si="129"/>
        <v>31.079293668220419</v>
      </c>
      <c r="J324" s="306">
        <f t="shared" ca="1" si="130"/>
        <v>555.28077552907848</v>
      </c>
      <c r="K324" s="307">
        <f t="shared" ca="1" si="131"/>
        <v>1415.8411883792644</v>
      </c>
      <c r="L324" s="304">
        <f t="shared" ref="L324:L387" ca="1" si="145">SQRT(pos_x^2+pos_z^2)</f>
        <v>1520.8362865158704</v>
      </c>
      <c r="M324" s="306">
        <f t="shared" ca="1" si="132"/>
        <v>-0.72626771106298371</v>
      </c>
      <c r="N324" s="304">
        <f t="shared" ca="1" si="133"/>
        <v>-41.612074640535695</v>
      </c>
      <c r="P324" s="310">
        <f t="shared" ca="1" si="134"/>
        <v>23</v>
      </c>
      <c r="Q324" s="304">
        <f t="shared" ca="1" si="135"/>
        <v>0</v>
      </c>
      <c r="R324" s="306">
        <f t="shared" ca="1" si="136"/>
        <v>0</v>
      </c>
      <c r="S324" s="307">
        <f t="shared" ca="1" si="137"/>
        <v>2.9362999999999984</v>
      </c>
      <c r="T324" s="304">
        <f t="shared" ref="T324:T387" ca="1" si="146">m*g</f>
        <v>28.805102999999985</v>
      </c>
      <c r="U324" s="311">
        <f t="shared" ref="U324:U387" ca="1" si="147">IF(pos_xz&lt;L_rampe,Poids*COS(Beta),0)</f>
        <v>0</v>
      </c>
      <c r="V324" s="306">
        <f t="shared" ref="V324:V387" ca="1" si="148">Rho_moyen*(20000-Alt_rampe-pos_z)/(20000+Alt_rampe+pos_z)</f>
        <v>1.0630259322518951</v>
      </c>
      <c r="W324" s="304">
        <f t="shared" ref="W324:W387" ca="1" si="149">1/2*Rho*Sref*Cx*vit_xz^2</f>
        <v>2.09521840664235</v>
      </c>
      <c r="Y324" s="314" t="str">
        <f t="shared" ca="1" si="138"/>
        <v/>
      </c>
      <c r="Z324" s="315" t="str">
        <f t="shared" ca="1" si="139"/>
        <v/>
      </c>
      <c r="AA324" s="316" t="str">
        <f t="shared" ca="1" si="140"/>
        <v/>
      </c>
      <c r="AC324" s="310" t="e">
        <f t="shared" ca="1" si="141"/>
        <v>#N/A</v>
      </c>
      <c r="AD324" s="323" t="e">
        <f t="shared" ca="1" si="142"/>
        <v>#N/A</v>
      </c>
      <c r="AE324" s="324" t="e">
        <f t="shared" ref="AE324:AE387" ca="1" si="150">IF(t&lt;T_para, pos_z, NA())</f>
        <v>#N/A</v>
      </c>
      <c r="AG324" s="306">
        <f t="shared" ca="1" si="143"/>
        <v>5.6487163953670594</v>
      </c>
      <c r="AH324" s="304">
        <f t="shared" ca="1" si="144"/>
        <v>-0.68730881109708097</v>
      </c>
    </row>
    <row r="325" spans="1:34" x14ac:dyDescent="0.2">
      <c r="A325" s="347">
        <f t="shared" ref="A325:A388" ca="1" si="151">IF(B324+0.01&lt;=T_ini+ROUNDUP(Temps_fin_propu,0), 0.01, IF(K324&gt;0, 0.1, 0.0001))</f>
        <v>0.1</v>
      </c>
      <c r="B325" s="304">
        <f t="shared" ref="B325:B388" ca="1" si="152">B324+pas</f>
        <v>18.69999999999996</v>
      </c>
      <c r="D325" s="306">
        <f t="shared" ref="D325:D388" ca="1" si="153">IF(AND(L324&lt;L_rampe,Poussee&lt;Poids*SIN(M324)),0,(-W324+Poussee)/m*COS(M324)-U324/m*SIN(M324))</f>
        <v>-0.53349696270366098</v>
      </c>
      <c r="E325" s="307">
        <f t="shared" ref="E325:E388" ca="1" si="154">IF(AND(L324&lt;L_rampe,Poussee&lt;Poids*SIN(M324)),0,(-W324+Poussee)/m*SIN(M324)+U324/m*COS(M324)-Poids/m)</f>
        <v>-9.3361381393222853</v>
      </c>
      <c r="F325" s="304">
        <f t="shared" ref="F325:F388" ca="1" si="155">SQRT(acc_x^2+acc_z^2)</f>
        <v>9.3513685824975479</v>
      </c>
      <c r="G325" s="306">
        <f t="shared" ref="G325:G388" ca="1" si="156">G324+acc_x*pas</f>
        <v>23.183337716173256</v>
      </c>
      <c r="H325" s="307">
        <f t="shared" ref="H325:H388" ca="1" si="157">H324+acc_z*pas</f>
        <v>-21.572868960663421</v>
      </c>
      <c r="I325" s="304">
        <f t="shared" ref="I325:I388" ca="1" si="158">SQRT(vit_x^2+vit_z^2)</f>
        <v>31.667898933400945</v>
      </c>
      <c r="J325" s="306">
        <f t="shared" ref="J325:J388" ca="1" si="159">J324+0.5*(vit_x+G324)*pas*(K324&gt;=0)</f>
        <v>557.60177678550929</v>
      </c>
      <c r="K325" s="307">
        <f t="shared" ref="K325:K388" ca="1" si="160">K324+0.5*(vit_z+H324)*pas</f>
        <v>1413.7305821738946</v>
      </c>
      <c r="L325" s="304">
        <f t="shared" ca="1" si="145"/>
        <v>1519.7216522929771</v>
      </c>
      <c r="M325" s="306">
        <f t="shared" ref="M325:M388" ca="1" si="161">IF(AND(L324&gt;L_rampe,G325&gt;0),ATAN2(G325,H325),$M$4)</f>
        <v>-0.74943054362791373</v>
      </c>
      <c r="N325" s="304">
        <f t="shared" ref="N325:N388" ca="1" si="162">DEGREES(Beta)</f>
        <v>-42.93920718807437</v>
      </c>
      <c r="P325" s="310">
        <f t="shared" ref="P325:P388" ca="1" si="163">MATCH(t-pas/2-T_ini,CdP_t)</f>
        <v>23</v>
      </c>
      <c r="Q325" s="304">
        <f t="shared" ref="Q325:Q388" ca="1" si="164">(INDEX(CdP,2,i_P+1)-INDEX(CdP,2,i_P+0))/(INDEX(CdP,1,i_P+1)-INDEX(CdP,1,i_P+0))*(t-pas/2-T_ini-INDEX(CdP,1,i_P+0))+INDEX(CdP,2,i_P+0)</f>
        <v>0</v>
      </c>
      <c r="R325" s="306">
        <f t="shared" ref="R325:R388" ca="1" si="165">Poussee/(g*ISP)</f>
        <v>0</v>
      </c>
      <c r="S325" s="307">
        <f t="shared" ref="S325:S388" ca="1" si="166">S324-Débit*pas</f>
        <v>2.9362999999999984</v>
      </c>
      <c r="T325" s="304">
        <f t="shared" ca="1" si="146"/>
        <v>28.805102999999985</v>
      </c>
      <c r="U325" s="311">
        <f t="shared" ca="1" si="147"/>
        <v>0</v>
      </c>
      <c r="V325" s="306">
        <f t="shared" ca="1" si="148"/>
        <v>1.063251447451693</v>
      </c>
      <c r="W325" s="304">
        <f t="shared" ca="1" si="149"/>
        <v>2.175793346723264</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t="e">
        <f t="shared" ca="1" si="150"/>
        <v>#N/A</v>
      </c>
      <c r="AG325" s="306">
        <f t="shared" ref="AG325:AG388" ca="1" si="172">IF(AND(L324&lt;L_rampe,Poussee&lt;Poids*SIN(M324)),0,(-W324+Poussee)/m-Poids*SIN(M324)/m)</f>
        <v>5.8011046489490985</v>
      </c>
      <c r="AH325" s="304">
        <f t="shared" ref="AH325:AH388" ca="1" si="173">IF(AND(L324&lt;L_rampe,Poussee&lt;Poids*SIN(M324)), g*SIN(M324), (-W324+Poussee)/m)</f>
        <v>-0.71355733632202134</v>
      </c>
    </row>
    <row r="326" spans="1:34" x14ac:dyDescent="0.2">
      <c r="A326" s="347">
        <f t="shared" ca="1" si="151"/>
        <v>0.1</v>
      </c>
      <c r="B326" s="304">
        <f t="shared" ca="1" si="152"/>
        <v>18.799999999999962</v>
      </c>
      <c r="D326" s="306">
        <f t="shared" ca="1" si="153"/>
        <v>-0.54246775814161485</v>
      </c>
      <c r="E326" s="307">
        <f t="shared" ca="1" si="154"/>
        <v>-9.3052156585455812</v>
      </c>
      <c r="F326" s="304">
        <f t="shared" ca="1" si="155"/>
        <v>9.3210144147868945</v>
      </c>
      <c r="G326" s="306">
        <f t="shared" ca="1" si="156"/>
        <v>23.129090940359095</v>
      </c>
      <c r="H326" s="307">
        <f t="shared" ca="1" si="157"/>
        <v>-22.503390526517979</v>
      </c>
      <c r="I326" s="304">
        <f t="shared" ca="1" si="158"/>
        <v>32.270070234140803</v>
      </c>
      <c r="J326" s="306">
        <f t="shared" ca="1" si="159"/>
        <v>559.91739821833585</v>
      </c>
      <c r="K326" s="307">
        <f t="shared" ca="1" si="160"/>
        <v>1411.5267691995355</v>
      </c>
      <c r="L326" s="304">
        <f t="shared" ca="1" si="145"/>
        <v>1518.5240574302632</v>
      </c>
      <c r="M326" s="306">
        <f t="shared" ca="1" si="161"/>
        <v>-0.7716872893628316</v>
      </c>
      <c r="N326" s="304">
        <f t="shared" ca="1" si="162"/>
        <v>-44.214424784380959</v>
      </c>
      <c r="P326" s="310">
        <f t="shared" ca="1" si="163"/>
        <v>23</v>
      </c>
      <c r="Q326" s="304">
        <f t="shared" ca="1" si="164"/>
        <v>0</v>
      </c>
      <c r="R326" s="306">
        <f t="shared" ca="1" si="165"/>
        <v>0</v>
      </c>
      <c r="S326" s="307">
        <f t="shared" ca="1" si="166"/>
        <v>2.9362999999999984</v>
      </c>
      <c r="T326" s="304">
        <f t="shared" ca="1" si="146"/>
        <v>28.805102999999985</v>
      </c>
      <c r="U326" s="311">
        <f t="shared" ca="1" si="147"/>
        <v>0</v>
      </c>
      <c r="V326" s="306">
        <f t="shared" ca="1" si="148"/>
        <v>1.0634869691070543</v>
      </c>
      <c r="W326" s="304">
        <f t="shared" ca="1" si="149"/>
        <v>2.2598268034389783</v>
      </c>
      <c r="Y326" s="314" t="str">
        <f t="shared" ca="1" si="167"/>
        <v/>
      </c>
      <c r="Z326" s="315" t="str">
        <f t="shared" ca="1" si="168"/>
        <v/>
      </c>
      <c r="AA326" s="316" t="str">
        <f t="shared" ca="1" si="169"/>
        <v/>
      </c>
      <c r="AC326" s="310" t="e">
        <f t="shared" ca="1" si="170"/>
        <v>#N/A</v>
      </c>
      <c r="AD326" s="323" t="e">
        <f t="shared" ca="1" si="171"/>
        <v>#N/A</v>
      </c>
      <c r="AE326" s="324" t="e">
        <f t="shared" ca="1" si="150"/>
        <v>#N/A</v>
      </c>
      <c r="AG326" s="306">
        <f t="shared" ca="1" si="172"/>
        <v>5.9417893561900748</v>
      </c>
      <c r="AH326" s="304">
        <f t="shared" ca="1" si="173"/>
        <v>-0.74099831308901176</v>
      </c>
    </row>
    <row r="327" spans="1:34" x14ac:dyDescent="0.2">
      <c r="A327" s="347">
        <f t="shared" ca="1" si="151"/>
        <v>0.1</v>
      </c>
      <c r="B327" s="304">
        <f t="shared" ca="1" si="152"/>
        <v>18.899999999999963</v>
      </c>
      <c r="D327" s="306">
        <f t="shared" ca="1" si="153"/>
        <v>-0.55161159098210066</v>
      </c>
      <c r="E327" s="307">
        <f t="shared" ca="1" si="154"/>
        <v>-9.2733108978285088</v>
      </c>
      <c r="F327" s="304">
        <f t="shared" ca="1" si="155"/>
        <v>9.2897023824819485</v>
      </c>
      <c r="G327" s="306">
        <f t="shared" ca="1" si="156"/>
        <v>23.073929781260887</v>
      </c>
      <c r="H327" s="307">
        <f t="shared" ca="1" si="157"/>
        <v>-23.430721616300829</v>
      </c>
      <c r="I327" s="304">
        <f t="shared" ca="1" si="158"/>
        <v>32.88472215195295</v>
      </c>
      <c r="J327" s="306">
        <f t="shared" ca="1" si="159"/>
        <v>562.22754925441689</v>
      </c>
      <c r="K327" s="307">
        <f t="shared" ca="1" si="160"/>
        <v>1409.2300635923946</v>
      </c>
      <c r="L327" s="304">
        <f t="shared" ca="1" si="145"/>
        <v>1517.2439452089609</v>
      </c>
      <c r="M327" s="306">
        <f t="shared" ca="1" si="161"/>
        <v>-0.79307018810979257</v>
      </c>
      <c r="N327" s="304">
        <f t="shared" ca="1" si="162"/>
        <v>-45.439574636337397</v>
      </c>
      <c r="P327" s="310">
        <f t="shared" ca="1" si="163"/>
        <v>23</v>
      </c>
      <c r="Q327" s="304">
        <f t="shared" ca="1" si="164"/>
        <v>0</v>
      </c>
      <c r="R327" s="306">
        <f t="shared" ca="1" si="165"/>
        <v>0</v>
      </c>
      <c r="S327" s="307">
        <f t="shared" ca="1" si="166"/>
        <v>2.9362999999999984</v>
      </c>
      <c r="T327" s="304">
        <f t="shared" ca="1" si="146"/>
        <v>28.805102999999985</v>
      </c>
      <c r="U327" s="311">
        <f t="shared" ca="1" si="147"/>
        <v>0</v>
      </c>
      <c r="V327" s="306">
        <f t="shared" ca="1" si="148"/>
        <v>1.0637324698017643</v>
      </c>
      <c r="W327" s="304">
        <f t="shared" ca="1" si="149"/>
        <v>2.3472747711047925</v>
      </c>
      <c r="Y327" s="314" t="str">
        <f t="shared" ca="1" si="167"/>
        <v/>
      </c>
      <c r="Z327" s="315" t="str">
        <f t="shared" ca="1" si="168"/>
        <v/>
      </c>
      <c r="AA327" s="316" t="str">
        <f t="shared" ca="1" si="169"/>
        <v/>
      </c>
      <c r="AC327" s="310" t="e">
        <f t="shared" ca="1" si="170"/>
        <v>#N/A</v>
      </c>
      <c r="AD327" s="323" t="e">
        <f t="shared" ca="1" si="171"/>
        <v>#N/A</v>
      </c>
      <c r="AE327" s="324" t="e">
        <f t="shared" ca="1" si="150"/>
        <v>#N/A</v>
      </c>
      <c r="AG327" s="306">
        <f t="shared" ca="1" si="172"/>
        <v>6.0713429048812007</v>
      </c>
      <c r="AH327" s="304">
        <f t="shared" ca="1" si="173"/>
        <v>-0.76961713838469492</v>
      </c>
    </row>
    <row r="328" spans="1:34" x14ac:dyDescent="0.2">
      <c r="A328" s="347">
        <f t="shared" ca="1" si="151"/>
        <v>0.1</v>
      </c>
      <c r="B328" s="304">
        <f t="shared" ca="1" si="152"/>
        <v>18.999999999999964</v>
      </c>
      <c r="D328" s="306">
        <f t="shared" ca="1" si="153"/>
        <v>-0.56090704613288211</v>
      </c>
      <c r="E328" s="307">
        <f t="shared" ca="1" si="154"/>
        <v>-9.2404196565062531</v>
      </c>
      <c r="F328" s="304">
        <f t="shared" ca="1" si="155"/>
        <v>9.2574279442374632</v>
      </c>
      <c r="G328" s="306">
        <f t="shared" ca="1" si="156"/>
        <v>23.017839076647597</v>
      </c>
      <c r="H328" s="307">
        <f t="shared" ca="1" si="157"/>
        <v>-24.354763581951456</v>
      </c>
      <c r="I328" s="304">
        <f t="shared" ca="1" si="158"/>
        <v>33.510825488059737</v>
      </c>
      <c r="J328" s="306">
        <f t="shared" ca="1" si="159"/>
        <v>564.53213769731235</v>
      </c>
      <c r="K328" s="307">
        <f t="shared" ca="1" si="160"/>
        <v>1406.840789332482</v>
      </c>
      <c r="L328" s="304">
        <f t="shared" ca="1" si="145"/>
        <v>1515.8817701333896</v>
      </c>
      <c r="M328" s="306">
        <f t="shared" ca="1" si="161"/>
        <v>-0.8136121450664775</v>
      </c>
      <c r="N328" s="304">
        <f t="shared" ca="1" si="162"/>
        <v>-46.616542072894845</v>
      </c>
      <c r="P328" s="310">
        <f t="shared" ca="1" si="163"/>
        <v>23</v>
      </c>
      <c r="Q328" s="304">
        <f t="shared" ca="1" si="164"/>
        <v>0</v>
      </c>
      <c r="R328" s="306">
        <f t="shared" ca="1" si="165"/>
        <v>0</v>
      </c>
      <c r="S328" s="307">
        <f t="shared" ca="1" si="166"/>
        <v>2.9362999999999984</v>
      </c>
      <c r="T328" s="304">
        <f t="shared" ca="1" si="146"/>
        <v>28.805102999999985</v>
      </c>
      <c r="U328" s="311">
        <f t="shared" ca="1" si="147"/>
        <v>0</v>
      </c>
      <c r="V328" s="306">
        <f t="shared" ca="1" si="148"/>
        <v>1.0639879213012047</v>
      </c>
      <c r="W328" s="304">
        <f t="shared" ca="1" si="149"/>
        <v>2.4380921230720518</v>
      </c>
      <c r="Y328" s="314" t="str">
        <f t="shared" ca="1" si="167"/>
        <v/>
      </c>
      <c r="Z328" s="315" t="str">
        <f t="shared" ca="1" si="168"/>
        <v/>
      </c>
      <c r="AA328" s="316" t="str">
        <f t="shared" ca="1" si="169"/>
        <v/>
      </c>
      <c r="AC328" s="310">
        <f t="shared" ca="1" si="170"/>
        <v>18.999999999999964</v>
      </c>
      <c r="AD328" s="323">
        <f t="shared" ca="1" si="171"/>
        <v>564.53213769731235</v>
      </c>
      <c r="AE328" s="324" t="e">
        <f t="shared" ca="1" si="150"/>
        <v>#N/A</v>
      </c>
      <c r="AG328" s="306">
        <f t="shared" ca="1" si="172"/>
        <v>6.1903326977332584</v>
      </c>
      <c r="AH328" s="304">
        <f t="shared" ca="1" si="173"/>
        <v>-0.79939882542818985</v>
      </c>
    </row>
    <row r="329" spans="1:34" x14ac:dyDescent="0.2">
      <c r="A329" s="347">
        <f t="shared" ca="1" si="151"/>
        <v>0.1</v>
      </c>
      <c r="B329" s="304">
        <f t="shared" ca="1" si="152"/>
        <v>19.099999999999966</v>
      </c>
      <c r="D329" s="306">
        <f t="shared" ca="1" si="153"/>
        <v>-0.57033379921774385</v>
      </c>
      <c r="E329" s="307">
        <f t="shared" ca="1" si="154"/>
        <v>-9.2065400141824547</v>
      </c>
      <c r="F329" s="304">
        <f t="shared" ca="1" si="155"/>
        <v>9.2241888356252133</v>
      </c>
      <c r="G329" s="306">
        <f t="shared" ca="1" si="156"/>
        <v>22.960805696725824</v>
      </c>
      <c r="H329" s="307">
        <f t="shared" ca="1" si="157"/>
        <v>-25.275417583369702</v>
      </c>
      <c r="I329" s="304">
        <f t="shared" ca="1" si="158"/>
        <v>34.147405937442912</v>
      </c>
      <c r="J329" s="306">
        <f t="shared" ca="1" si="159"/>
        <v>566.83106993598108</v>
      </c>
      <c r="K329" s="307">
        <f t="shared" ca="1" si="160"/>
        <v>1404.359280274216</v>
      </c>
      <c r="L329" s="304">
        <f t="shared" ca="1" si="145"/>
        <v>1514.437998049799</v>
      </c>
      <c r="M329" s="306">
        <f t="shared" ca="1" si="161"/>
        <v>-0.83334631674772897</v>
      </c>
      <c r="N329" s="304">
        <f t="shared" ca="1" si="162"/>
        <v>-47.74722682241714</v>
      </c>
      <c r="P329" s="310">
        <f t="shared" ca="1" si="163"/>
        <v>23</v>
      </c>
      <c r="Q329" s="304">
        <f t="shared" ca="1" si="164"/>
        <v>0</v>
      </c>
      <c r="R329" s="306">
        <f t="shared" ca="1" si="165"/>
        <v>0</v>
      </c>
      <c r="S329" s="307">
        <f t="shared" ca="1" si="166"/>
        <v>2.9362999999999984</v>
      </c>
      <c r="T329" s="304">
        <f t="shared" ca="1" si="146"/>
        <v>28.805102999999985</v>
      </c>
      <c r="U329" s="311">
        <f t="shared" ca="1" si="147"/>
        <v>0</v>
      </c>
      <c r="V329" s="306">
        <f t="shared" ca="1" si="148"/>
        <v>1.064253294545346</v>
      </c>
      <c r="W329" s="304">
        <f t="shared" ca="1" si="149"/>
        <v>2.5322326219971267</v>
      </c>
      <c r="Y329" s="314" t="str">
        <f t="shared" ca="1" si="167"/>
        <v/>
      </c>
      <c r="Z329" s="315" t="str">
        <f t="shared" ca="1" si="168"/>
        <v/>
      </c>
      <c r="AA329" s="316" t="str">
        <f t="shared" ca="1" si="169"/>
        <v/>
      </c>
      <c r="AC329" s="310" t="e">
        <f t="shared" ca="1" si="170"/>
        <v>#N/A</v>
      </c>
      <c r="AD329" s="323" t="e">
        <f t="shared" ca="1" si="171"/>
        <v>#N/A</v>
      </c>
      <c r="AE329" s="324" t="e">
        <f t="shared" ca="1" si="150"/>
        <v>#N/A</v>
      </c>
      <c r="AG329" s="306">
        <f t="shared" ca="1" si="172"/>
        <v>6.2993152442048341</v>
      </c>
      <c r="AH329" s="304">
        <f t="shared" ca="1" si="173"/>
        <v>-0.8303280056779121</v>
      </c>
    </row>
    <row r="330" spans="1:34" x14ac:dyDescent="0.2">
      <c r="A330" s="347">
        <f t="shared" ca="1" si="151"/>
        <v>0.1</v>
      </c>
      <c r="B330" s="304">
        <f t="shared" ca="1" si="152"/>
        <v>19.199999999999967</v>
      </c>
      <c r="D330" s="306">
        <f t="shared" ca="1" si="153"/>
        <v>-0.57987258963342991</v>
      </c>
      <c r="E330" s="307">
        <f t="shared" ca="1" si="154"/>
        <v>-9.1716721450578316</v>
      </c>
      <c r="F330" s="304">
        <f t="shared" ca="1" si="155"/>
        <v>9.189984883373743</v>
      </c>
      <c r="G330" s="306">
        <f t="shared" ca="1" si="156"/>
        <v>22.90281843776248</v>
      </c>
      <c r="H330" s="307">
        <f t="shared" ca="1" si="157"/>
        <v>-26.192584797875487</v>
      </c>
      <c r="I330" s="304">
        <f t="shared" ca="1" si="158"/>
        <v>34.793542371926016</v>
      </c>
      <c r="J330" s="306">
        <f t="shared" ca="1" si="159"/>
        <v>569.12425114270548</v>
      </c>
      <c r="K330" s="307">
        <f t="shared" ca="1" si="160"/>
        <v>1401.7858801551538</v>
      </c>
      <c r="L330" s="304">
        <f t="shared" ca="1" si="145"/>
        <v>1512.9131062427559</v>
      </c>
      <c r="M330" s="306">
        <f t="shared" ca="1" si="161"/>
        <v>-0.85230576896179222</v>
      </c>
      <c r="N330" s="304">
        <f t="shared" ca="1" si="162"/>
        <v>-48.833523416162933</v>
      </c>
      <c r="P330" s="310">
        <f t="shared" ca="1" si="163"/>
        <v>23</v>
      </c>
      <c r="Q330" s="304">
        <f t="shared" ca="1" si="164"/>
        <v>0</v>
      </c>
      <c r="R330" s="306">
        <f t="shared" ca="1" si="165"/>
        <v>0</v>
      </c>
      <c r="S330" s="307">
        <f t="shared" ca="1" si="166"/>
        <v>2.9362999999999984</v>
      </c>
      <c r="T330" s="304">
        <f t="shared" ca="1" si="146"/>
        <v>28.805102999999985</v>
      </c>
      <c r="U330" s="311">
        <f t="shared" ca="1" si="147"/>
        <v>0</v>
      </c>
      <c r="V330" s="306">
        <f t="shared" ca="1" si="148"/>
        <v>1.0645285596439567</v>
      </c>
      <c r="W330" s="304">
        <f t="shared" ca="1" si="149"/>
        <v>2.6296489341176561</v>
      </c>
      <c r="Y330" s="314" t="str">
        <f t="shared" ca="1" si="167"/>
        <v/>
      </c>
      <c r="Z330" s="315" t="str">
        <f t="shared" ca="1" si="168"/>
        <v/>
      </c>
      <c r="AA330" s="316" t="str">
        <f t="shared" ca="1" si="169"/>
        <v/>
      </c>
      <c r="AC330" s="310" t="e">
        <f t="shared" ca="1" si="170"/>
        <v>#N/A</v>
      </c>
      <c r="AD330" s="323" t="e">
        <f t="shared" ca="1" si="171"/>
        <v>#N/A</v>
      </c>
      <c r="AE330" s="324" t="e">
        <f t="shared" ca="1" si="150"/>
        <v>#N/A</v>
      </c>
      <c r="AG330" s="306">
        <f t="shared" ca="1" si="172"/>
        <v>6.398831640241097</v>
      </c>
      <c r="AH330" s="304">
        <f t="shared" ca="1" si="173"/>
        <v>-0.86238893232882474</v>
      </c>
    </row>
    <row r="331" spans="1:34" x14ac:dyDescent="0.2">
      <c r="A331" s="347">
        <f t="shared" ca="1" si="151"/>
        <v>0.1</v>
      </c>
      <c r="B331" s="304">
        <f t="shared" ca="1" si="152"/>
        <v>19.299999999999969</v>
      </c>
      <c r="D331" s="306">
        <f t="shared" ca="1" si="153"/>
        <v>-0.58950518710696831</v>
      </c>
      <c r="E331" s="307">
        <f t="shared" ca="1" si="154"/>
        <v>-9.1358181457427996</v>
      </c>
      <c r="F331" s="304">
        <f t="shared" ca="1" si="155"/>
        <v>9.1548178331253229</v>
      </c>
      <c r="G331" s="306">
        <f t="shared" ca="1" si="156"/>
        <v>22.843867919051785</v>
      </c>
      <c r="H331" s="307">
        <f t="shared" ca="1" si="157"/>
        <v>-27.106166612449766</v>
      </c>
      <c r="I331" s="304">
        <f t="shared" ca="1" si="158"/>
        <v>35.4483648413431</v>
      </c>
      <c r="J331" s="306">
        <f t="shared" ca="1" si="159"/>
        <v>571.41158546054623</v>
      </c>
      <c r="K331" s="307">
        <f t="shared" ca="1" si="160"/>
        <v>1399.1209425846375</v>
      </c>
      <c r="L331" s="304">
        <f t="shared" ca="1" si="145"/>
        <v>1511.3075835108682</v>
      </c>
      <c r="M331" s="306">
        <f t="shared" ca="1" si="161"/>
        <v>-0.87052319881121309</v>
      </c>
      <c r="N331" s="304">
        <f t="shared" ca="1" si="162"/>
        <v>-49.87730526011039</v>
      </c>
      <c r="P331" s="310">
        <f t="shared" ca="1" si="163"/>
        <v>23</v>
      </c>
      <c r="Q331" s="304">
        <f t="shared" ca="1" si="164"/>
        <v>0</v>
      </c>
      <c r="R331" s="306">
        <f t="shared" ca="1" si="165"/>
        <v>0</v>
      </c>
      <c r="S331" s="307">
        <f t="shared" ca="1" si="166"/>
        <v>2.9362999999999984</v>
      </c>
      <c r="T331" s="304">
        <f t="shared" ca="1" si="146"/>
        <v>28.805102999999985</v>
      </c>
      <c r="U331" s="311">
        <f t="shared" ca="1" si="147"/>
        <v>0</v>
      </c>
      <c r="V331" s="306">
        <f t="shared" ca="1" si="148"/>
        <v>1.0648136858738488</v>
      </c>
      <c r="W331" s="304">
        <f t="shared" ca="1" si="149"/>
        <v>2.7302926471900193</v>
      </c>
      <c r="Y331" s="314" t="str">
        <f t="shared" ca="1" si="167"/>
        <v/>
      </c>
      <c r="Z331" s="315" t="str">
        <f t="shared" ca="1" si="168"/>
        <v/>
      </c>
      <c r="AA331" s="316" t="str">
        <f t="shared" ca="1" si="169"/>
        <v/>
      </c>
      <c r="AC331" s="310" t="e">
        <f t="shared" ca="1" si="170"/>
        <v>#N/A</v>
      </c>
      <c r="AD331" s="323" t="e">
        <f t="shared" ca="1" si="171"/>
        <v>#N/A</v>
      </c>
      <c r="AE331" s="324" t="e">
        <f t="shared" ca="1" si="150"/>
        <v>#N/A</v>
      </c>
      <c r="AG331" s="306">
        <f t="shared" ca="1" si="172"/>
        <v>6.4894042347953382</v>
      </c>
      <c r="AH331" s="304">
        <f t="shared" ca="1" si="173"/>
        <v>-0.8955654851744228</v>
      </c>
    </row>
    <row r="332" spans="1:34" x14ac:dyDescent="0.2">
      <c r="A332" s="347">
        <f t="shared" ca="1" si="151"/>
        <v>0.1</v>
      </c>
      <c r="B332" s="304">
        <f t="shared" ca="1" si="152"/>
        <v>19.39999999999997</v>
      </c>
      <c r="D332" s="306">
        <f t="shared" ca="1" si="153"/>
        <v>-0.59921435365654763</v>
      </c>
      <c r="E332" s="307">
        <f t="shared" ca="1" si="154"/>
        <v>-9.0989818762592485</v>
      </c>
      <c r="F332" s="304">
        <f t="shared" ca="1" si="155"/>
        <v>9.1186911904133652</v>
      </c>
      <c r="G332" s="306">
        <f t="shared" ca="1" si="156"/>
        <v>22.78394648368613</v>
      </c>
      <c r="H332" s="307">
        <f t="shared" ca="1" si="157"/>
        <v>-28.016064800075689</v>
      </c>
      <c r="I332" s="304">
        <f t="shared" ca="1" si="158"/>
        <v>36.111052383633371</v>
      </c>
      <c r="J332" s="306">
        <f t="shared" ca="1" si="159"/>
        <v>573.6929761806831</v>
      </c>
      <c r="K332" s="307">
        <f t="shared" ca="1" si="160"/>
        <v>1396.3648310140113</v>
      </c>
      <c r="L332" s="304">
        <f t="shared" ca="1" si="145"/>
        <v>1509.6219302235372</v>
      </c>
      <c r="M332" s="306">
        <f t="shared" ca="1" si="161"/>
        <v>-0.88803071280204515</v>
      </c>
      <c r="N332" s="304">
        <f t="shared" ca="1" si="162"/>
        <v>-50.880411921551314</v>
      </c>
      <c r="P332" s="310">
        <f t="shared" ca="1" si="163"/>
        <v>23</v>
      </c>
      <c r="Q332" s="304">
        <f t="shared" ca="1" si="164"/>
        <v>0</v>
      </c>
      <c r="R332" s="306">
        <f t="shared" ca="1" si="165"/>
        <v>0</v>
      </c>
      <c r="S332" s="307">
        <f t="shared" ca="1" si="166"/>
        <v>2.9362999999999984</v>
      </c>
      <c r="T332" s="304">
        <f t="shared" ca="1" si="146"/>
        <v>28.805102999999985</v>
      </c>
      <c r="U332" s="311">
        <f t="shared" ca="1" si="147"/>
        <v>0</v>
      </c>
      <c r="V332" s="306">
        <f t="shared" ca="1" si="148"/>
        <v>1.06510864167798</v>
      </c>
      <c r="W332" s="304">
        <f t="shared" ca="1" si="149"/>
        <v>2.8341142917646391</v>
      </c>
      <c r="Y332" s="314" t="str">
        <f t="shared" ca="1" si="167"/>
        <v/>
      </c>
      <c r="Z332" s="315" t="str">
        <f t="shared" ca="1" si="168"/>
        <v/>
      </c>
      <c r="AA332" s="316" t="str">
        <f t="shared" ca="1" si="169"/>
        <v/>
      </c>
      <c r="AC332" s="310" t="e">
        <f t="shared" ca="1" si="170"/>
        <v>#N/A</v>
      </c>
      <c r="AD332" s="323" t="e">
        <f t="shared" ca="1" si="171"/>
        <v>#N/A</v>
      </c>
      <c r="AE332" s="324" t="e">
        <f t="shared" ca="1" si="150"/>
        <v>#N/A</v>
      </c>
      <c r="AG332" s="306">
        <f t="shared" ca="1" si="172"/>
        <v>6.5715342931622667</v>
      </c>
      <c r="AH332" s="304">
        <f t="shared" ca="1" si="173"/>
        <v>-0.92984117671560151</v>
      </c>
    </row>
    <row r="333" spans="1:34" x14ac:dyDescent="0.2">
      <c r="A333" s="347">
        <f t="shared" ca="1" si="151"/>
        <v>0.1</v>
      </c>
      <c r="B333" s="304">
        <f t="shared" ca="1" si="152"/>
        <v>19.499999999999972</v>
      </c>
      <c r="D333" s="306">
        <f t="shared" ca="1" si="153"/>
        <v>-0.60898380253183604</v>
      </c>
      <c r="E333" s="307">
        <f t="shared" ca="1" si="154"/>
        <v>-9.0611688137020181</v>
      </c>
      <c r="F333" s="304">
        <f t="shared" ca="1" si="155"/>
        <v>9.0816100743288999</v>
      </c>
      <c r="G333" s="306">
        <f t="shared" ca="1" si="156"/>
        <v>22.723048103432944</v>
      </c>
      <c r="H333" s="307">
        <f t="shared" ca="1" si="157"/>
        <v>-28.922181681445892</v>
      </c>
      <c r="I333" s="304">
        <f t="shared" ca="1" si="158"/>
        <v>36.780830718262628</v>
      </c>
      <c r="J333" s="306">
        <f t="shared" ca="1" si="159"/>
        <v>575.96832591003908</v>
      </c>
      <c r="K333" s="307">
        <f t="shared" ca="1" si="160"/>
        <v>1393.5179186899352</v>
      </c>
      <c r="L333" s="304">
        <f t="shared" ca="1" si="145"/>
        <v>1507.8566583603169</v>
      </c>
      <c r="M333" s="306">
        <f t="shared" ca="1" si="161"/>
        <v>-0.90485965349851138</v>
      </c>
      <c r="N333" s="304">
        <f t="shared" ca="1" si="162"/>
        <v>-51.844639197134775</v>
      </c>
      <c r="P333" s="310">
        <f t="shared" ca="1" si="163"/>
        <v>23</v>
      </c>
      <c r="Q333" s="304">
        <f t="shared" ca="1" si="164"/>
        <v>0</v>
      </c>
      <c r="R333" s="306">
        <f t="shared" ca="1" si="165"/>
        <v>0</v>
      </c>
      <c r="S333" s="307">
        <f t="shared" ca="1" si="166"/>
        <v>2.9362999999999984</v>
      </c>
      <c r="T333" s="304">
        <f t="shared" ca="1" si="146"/>
        <v>28.805102999999985</v>
      </c>
      <c r="U333" s="311">
        <f t="shared" ca="1" si="147"/>
        <v>0</v>
      </c>
      <c r="V333" s="306">
        <f t="shared" ca="1" si="148"/>
        <v>1.0654133946662563</v>
      </c>
      <c r="W333" s="304">
        <f t="shared" ca="1" si="149"/>
        <v>2.9410633654977132</v>
      </c>
      <c r="Y333" s="314" t="str">
        <f t="shared" ca="1" si="167"/>
        <v/>
      </c>
      <c r="Z333" s="315" t="str">
        <f t="shared" ca="1" si="168"/>
        <v/>
      </c>
      <c r="AA333" s="316" t="str">
        <f t="shared" ca="1" si="169"/>
        <v/>
      </c>
      <c r="AC333" s="310" t="e">
        <f t="shared" ca="1" si="170"/>
        <v>#N/A</v>
      </c>
      <c r="AD333" s="323" t="e">
        <f t="shared" ca="1" si="171"/>
        <v>#N/A</v>
      </c>
      <c r="AE333" s="324" t="e">
        <f t="shared" ca="1" si="150"/>
        <v>#N/A</v>
      </c>
      <c r="AG333" s="306">
        <f t="shared" ca="1" si="172"/>
        <v>6.6457004834218401</v>
      </c>
      <c r="AH333" s="304">
        <f t="shared" ca="1" si="173"/>
        <v>-0.96519915940627343</v>
      </c>
    </row>
    <row r="334" spans="1:34" x14ac:dyDescent="0.2">
      <c r="A334" s="347">
        <f t="shared" ca="1" si="151"/>
        <v>0.1</v>
      </c>
      <c r="B334" s="304">
        <f t="shared" ca="1" si="152"/>
        <v>19.599999999999973</v>
      </c>
      <c r="D334" s="306">
        <f t="shared" ca="1" si="153"/>
        <v>-0.61879815541601002</v>
      </c>
      <c r="E334" s="307">
        <f t="shared" ca="1" si="154"/>
        <v>-9.0223859178742138</v>
      </c>
      <c r="F334" s="304">
        <f t="shared" ca="1" si="155"/>
        <v>9.043581083188295</v>
      </c>
      <c r="G334" s="306">
        <f t="shared" ca="1" si="156"/>
        <v>22.661168287891343</v>
      </c>
      <c r="H334" s="307">
        <f t="shared" ca="1" si="157"/>
        <v>-29.824420273233315</v>
      </c>
      <c r="I334" s="304">
        <f t="shared" ca="1" si="158"/>
        <v>37.456969882874702</v>
      </c>
      <c r="J334" s="306">
        <f t="shared" ca="1" si="159"/>
        <v>578.23753672960527</v>
      </c>
      <c r="K334" s="307">
        <f t="shared" ca="1" si="160"/>
        <v>1390.5805885922011</v>
      </c>
      <c r="L334" s="304">
        <f t="shared" ca="1" si="145"/>
        <v>1506.0122915343534</v>
      </c>
      <c r="M334" s="306">
        <f t="shared" ca="1" si="161"/>
        <v>-0.92104046769189496</v>
      </c>
      <c r="N334" s="304">
        <f t="shared" ca="1" si="162"/>
        <v>-52.771731559501035</v>
      </c>
      <c r="P334" s="310">
        <f t="shared" ca="1" si="163"/>
        <v>23</v>
      </c>
      <c r="Q334" s="304">
        <f t="shared" ca="1" si="164"/>
        <v>0</v>
      </c>
      <c r="R334" s="306">
        <f t="shared" ca="1" si="165"/>
        <v>0</v>
      </c>
      <c r="S334" s="307">
        <f t="shared" ca="1" si="166"/>
        <v>2.9362999999999984</v>
      </c>
      <c r="T334" s="304">
        <f t="shared" ca="1" si="146"/>
        <v>28.805102999999985</v>
      </c>
      <c r="U334" s="311">
        <f t="shared" ca="1" si="147"/>
        <v>0</v>
      </c>
      <c r="V334" s="306">
        <f t="shared" ca="1" si="148"/>
        <v>1.0657279116178906</v>
      </c>
      <c r="W334" s="304">
        <f t="shared" ca="1" si="149"/>
        <v>3.0510883602188912</v>
      </c>
      <c r="Y334" s="314" t="str">
        <f t="shared" ca="1" si="167"/>
        <v/>
      </c>
      <c r="Z334" s="315" t="str">
        <f t="shared" ca="1" si="168"/>
        <v/>
      </c>
      <c r="AA334" s="316" t="str">
        <f t="shared" ca="1" si="169"/>
        <v/>
      </c>
      <c r="AC334" s="310" t="e">
        <f t="shared" ca="1" si="170"/>
        <v>#N/A</v>
      </c>
      <c r="AD334" s="323" t="e">
        <f t="shared" ca="1" si="171"/>
        <v>#N/A</v>
      </c>
      <c r="AE334" s="324" t="e">
        <f t="shared" ca="1" si="150"/>
        <v>#N/A</v>
      </c>
      <c r="AG334" s="306">
        <f t="shared" ca="1" si="172"/>
        <v>6.7123580311756825</v>
      </c>
      <c r="AH334" s="304">
        <f t="shared" ca="1" si="173"/>
        <v>-1.001622233933084</v>
      </c>
    </row>
    <row r="335" spans="1:34" x14ac:dyDescent="0.2">
      <c r="A335" s="347">
        <f t="shared" ca="1" si="151"/>
        <v>0.1</v>
      </c>
      <c r="B335" s="304">
        <f t="shared" ca="1" si="152"/>
        <v>19.699999999999974</v>
      </c>
      <c r="D335" s="306">
        <f t="shared" ca="1" si="153"/>
        <v>-0.62864289891420111</v>
      </c>
      <c r="E335" s="307">
        <f t="shared" ca="1" si="154"/>
        <v>-8.9826415081159325</v>
      </c>
      <c r="F335" s="304">
        <f t="shared" ca="1" si="155"/>
        <v>9.0046121714198506</v>
      </c>
      <c r="G335" s="306">
        <f t="shared" ca="1" si="156"/>
        <v>22.598303997999924</v>
      </c>
      <c r="H335" s="307">
        <f t="shared" ca="1" si="157"/>
        <v>-30.722684424044907</v>
      </c>
      <c r="I335" s="304">
        <f t="shared" ca="1" si="158"/>
        <v>38.138781860534962</v>
      </c>
      <c r="J335" s="306">
        <f t="shared" ca="1" si="159"/>
        <v>580.5005103438998</v>
      </c>
      <c r="K335" s="307">
        <f t="shared" ca="1" si="160"/>
        <v>1387.5532333573371</v>
      </c>
      <c r="L335" s="304">
        <f t="shared" ca="1" si="145"/>
        <v>1504.0893650012717</v>
      </c>
      <c r="M335" s="306">
        <f t="shared" ca="1" si="161"/>
        <v>-0.93660260968417219</v>
      </c>
      <c r="N335" s="304">
        <f t="shared" ca="1" si="162"/>
        <v>-53.663376615841834</v>
      </c>
      <c r="P335" s="310">
        <f t="shared" ca="1" si="163"/>
        <v>23</v>
      </c>
      <c r="Q335" s="304">
        <f t="shared" ca="1" si="164"/>
        <v>0</v>
      </c>
      <c r="R335" s="306">
        <f t="shared" ca="1" si="165"/>
        <v>0</v>
      </c>
      <c r="S335" s="307">
        <f t="shared" ca="1" si="166"/>
        <v>2.9362999999999984</v>
      </c>
      <c r="T335" s="304">
        <f t="shared" ca="1" si="146"/>
        <v>28.805102999999985</v>
      </c>
      <c r="U335" s="311">
        <f t="shared" ca="1" si="147"/>
        <v>0</v>
      </c>
      <c r="V335" s="306">
        <f t="shared" ca="1" si="148"/>
        <v>1.0660521584851794</v>
      </c>
      <c r="W335" s="304">
        <f t="shared" ca="1" si="149"/>
        <v>3.1641367914941023</v>
      </c>
      <c r="Y335" s="314" t="str">
        <f t="shared" ca="1" si="167"/>
        <v/>
      </c>
      <c r="Z335" s="315" t="str">
        <f t="shared" ca="1" si="168"/>
        <v/>
      </c>
      <c r="AA335" s="316" t="str">
        <f t="shared" ca="1" si="169"/>
        <v/>
      </c>
      <c r="AC335" s="310" t="e">
        <f t="shared" ca="1" si="170"/>
        <v>#N/A</v>
      </c>
      <c r="AD335" s="323" t="e">
        <f t="shared" ca="1" si="171"/>
        <v>#N/A</v>
      </c>
      <c r="AE335" s="324" t="e">
        <f t="shared" ca="1" si="150"/>
        <v>#N/A</v>
      </c>
      <c r="AG335" s="306">
        <f t="shared" ca="1" si="172"/>
        <v>6.7719384074505378</v>
      </c>
      <c r="AH335" s="304">
        <f t="shared" ca="1" si="173"/>
        <v>-1.0390928584337067</v>
      </c>
    </row>
    <row r="336" spans="1:34" x14ac:dyDescent="0.2">
      <c r="A336" s="347">
        <f t="shared" ca="1" si="151"/>
        <v>0.1</v>
      </c>
      <c r="B336" s="304">
        <f t="shared" ca="1" si="152"/>
        <v>19.799999999999976</v>
      </c>
      <c r="D336" s="306">
        <f t="shared" ca="1" si="153"/>
        <v>-0.63850434113138399</v>
      </c>
      <c r="E336" s="307">
        <f t="shared" ca="1" si="154"/>
        <v>-8.9419451504989755</v>
      </c>
      <c r="F336" s="304">
        <f t="shared" ca="1" si="155"/>
        <v>8.964712536839972</v>
      </c>
      <c r="G336" s="306">
        <f t="shared" ca="1" si="156"/>
        <v>22.534453563886785</v>
      </c>
      <c r="H336" s="307">
        <f t="shared" ca="1" si="157"/>
        <v>-31.616878939094804</v>
      </c>
      <c r="I336" s="304">
        <f t="shared" ca="1" si="158"/>
        <v>38.825618234257988</v>
      </c>
      <c r="J336" s="306">
        <f t="shared" ca="1" si="159"/>
        <v>582.75714822199416</v>
      </c>
      <c r="K336" s="307">
        <f t="shared" ca="1" si="160"/>
        <v>1384.4362551891802</v>
      </c>
      <c r="L336" s="304">
        <f t="shared" ca="1" si="145"/>
        <v>1502.0884256547856</v>
      </c>
      <c r="M336" s="306">
        <f t="shared" ca="1" si="161"/>
        <v>-0.95157447396109118</v>
      </c>
      <c r="N336" s="304">
        <f t="shared" ca="1" si="162"/>
        <v>-54.521201250351979</v>
      </c>
      <c r="P336" s="310">
        <f t="shared" ca="1" si="163"/>
        <v>23</v>
      </c>
      <c r="Q336" s="304">
        <f t="shared" ca="1" si="164"/>
        <v>0</v>
      </c>
      <c r="R336" s="306">
        <f t="shared" ca="1" si="165"/>
        <v>0</v>
      </c>
      <c r="S336" s="307">
        <f t="shared" ca="1" si="166"/>
        <v>2.9362999999999984</v>
      </c>
      <c r="T336" s="304">
        <f t="shared" ca="1" si="146"/>
        <v>28.805102999999985</v>
      </c>
      <c r="U336" s="311">
        <f t="shared" ca="1" si="147"/>
        <v>0</v>
      </c>
      <c r="V336" s="306">
        <f t="shared" ca="1" si="148"/>
        <v>1.0663861003985824</v>
      </c>
      <c r="W336" s="304">
        <f t="shared" ca="1" si="149"/>
        <v>3.2801552304411348</v>
      </c>
      <c r="Y336" s="314" t="str">
        <f t="shared" ca="1" si="167"/>
        <v/>
      </c>
      <c r="Z336" s="315" t="str">
        <f t="shared" ca="1" si="168"/>
        <v/>
      </c>
      <c r="AA336" s="316" t="str">
        <f t="shared" ca="1" si="169"/>
        <v/>
      </c>
      <c r="AC336" s="310" t="e">
        <f t="shared" ca="1" si="170"/>
        <v>#N/A</v>
      </c>
      <c r="AD336" s="323" t="e">
        <f t="shared" ca="1" si="171"/>
        <v>#N/A</v>
      </c>
      <c r="AE336" s="324" t="e">
        <f t="shared" ca="1" si="150"/>
        <v>#N/A</v>
      </c>
      <c r="AG336" s="306">
        <f t="shared" ca="1" si="172"/>
        <v>6.8248494339120995</v>
      </c>
      <c r="AH336" s="304">
        <f t="shared" ca="1" si="173"/>
        <v>-1.0775931585648959</v>
      </c>
    </row>
    <row r="337" spans="1:34" x14ac:dyDescent="0.2">
      <c r="A337" s="347">
        <f t="shared" ca="1" si="151"/>
        <v>0.1</v>
      </c>
      <c r="B337" s="304">
        <f t="shared" ca="1" si="152"/>
        <v>19.899999999999977</v>
      </c>
      <c r="D337" s="306">
        <f t="shared" ca="1" si="153"/>
        <v>-0.64836956895508779</v>
      </c>
      <c r="E337" s="307">
        <f t="shared" ca="1" si="154"/>
        <v>-8.9003075545484709</v>
      </c>
      <c r="F337" s="304">
        <f t="shared" ca="1" si="155"/>
        <v>8.9238925174779862</v>
      </c>
      <c r="G337" s="306">
        <f t="shared" ca="1" si="156"/>
        <v>22.469616606991277</v>
      </c>
      <c r="H337" s="307">
        <f t="shared" ca="1" si="157"/>
        <v>-32.506909694549648</v>
      </c>
      <c r="I337" s="304">
        <f t="shared" ca="1" si="158"/>
        <v>39.51686789656771</v>
      </c>
      <c r="J337" s="306">
        <f t="shared" ca="1" si="159"/>
        <v>585.00735173053806</v>
      </c>
      <c r="K337" s="307">
        <f t="shared" ca="1" si="160"/>
        <v>1381.2300657574979</v>
      </c>
      <c r="L337" s="304">
        <f t="shared" ca="1" si="145"/>
        <v>1500.0100320101994</v>
      </c>
      <c r="M337" s="306">
        <f t="shared" ca="1" si="161"/>
        <v>-0.96598335220514342</v>
      </c>
      <c r="N337" s="304">
        <f t="shared" ca="1" si="162"/>
        <v>-55.346769161254045</v>
      </c>
      <c r="P337" s="310">
        <f t="shared" ca="1" si="163"/>
        <v>23</v>
      </c>
      <c r="Q337" s="304">
        <f t="shared" ca="1" si="164"/>
        <v>0</v>
      </c>
      <c r="R337" s="306">
        <f t="shared" ca="1" si="165"/>
        <v>0</v>
      </c>
      <c r="S337" s="307">
        <f t="shared" ca="1" si="166"/>
        <v>2.9362999999999984</v>
      </c>
      <c r="T337" s="304">
        <f t="shared" ca="1" si="146"/>
        <v>28.805102999999985</v>
      </c>
      <c r="U337" s="311">
        <f t="shared" ca="1" si="147"/>
        <v>0</v>
      </c>
      <c r="V337" s="306">
        <f t="shared" ca="1" si="148"/>
        <v>1.0667297016729904</v>
      </c>
      <c r="W337" s="304">
        <f t="shared" ca="1" si="149"/>
        <v>3.3990893375725739</v>
      </c>
      <c r="Y337" s="314" t="str">
        <f t="shared" ca="1" si="167"/>
        <v/>
      </c>
      <c r="Z337" s="315" t="str">
        <f t="shared" ca="1" si="168"/>
        <v/>
      </c>
      <c r="AA337" s="316" t="str">
        <f t="shared" ca="1" si="169"/>
        <v/>
      </c>
      <c r="AC337" s="310" t="e">
        <f t="shared" ca="1" si="170"/>
        <v>#N/A</v>
      </c>
      <c r="AD337" s="323" t="e">
        <f t="shared" ca="1" si="171"/>
        <v>#N/A</v>
      </c>
      <c r="AE337" s="324" t="e">
        <f t="shared" ca="1" si="150"/>
        <v>#N/A</v>
      </c>
      <c r="AG337" s="306">
        <f t="shared" ca="1" si="172"/>
        <v>6.8714757075937882</v>
      </c>
      <c r="AH337" s="304">
        <f t="shared" ca="1" si="173"/>
        <v>-1.1171049383377505</v>
      </c>
    </row>
    <row r="338" spans="1:34" x14ac:dyDescent="0.2">
      <c r="A338" s="347">
        <f t="shared" ca="1" si="151"/>
        <v>0.1</v>
      </c>
      <c r="B338" s="304">
        <f t="shared" ca="1" si="152"/>
        <v>19.999999999999979</v>
      </c>
      <c r="D338" s="306">
        <f t="shared" ca="1" si="153"/>
        <v>-0.65822640650182385</v>
      </c>
      <c r="E338" s="307">
        <f t="shared" ca="1" si="154"/>
        <v>-8.8577404786664147</v>
      </c>
      <c r="F338" s="304">
        <f t="shared" ca="1" si="155"/>
        <v>8.8821634971228622</v>
      </c>
      <c r="G338" s="306">
        <f t="shared" ca="1" si="156"/>
        <v>22.403793966341095</v>
      </c>
      <c r="H338" s="307">
        <f t="shared" ca="1" si="157"/>
        <v>-33.392683742416288</v>
      </c>
      <c r="I338" s="304">
        <f t="shared" ca="1" si="158"/>
        <v>40.211954834443134</v>
      </c>
      <c r="J338" s="306">
        <f t="shared" ca="1" si="159"/>
        <v>587.25102225920466</v>
      </c>
      <c r="K338" s="307">
        <f t="shared" ca="1" si="160"/>
        <v>1377.9350860856496</v>
      </c>
      <c r="L338" s="304">
        <f t="shared" ca="1" si="145"/>
        <v>1497.8547541769019</v>
      </c>
      <c r="M338" s="306">
        <f t="shared" ca="1" si="161"/>
        <v>-0.97985541024864953</v>
      </c>
      <c r="N338" s="304">
        <f t="shared" ca="1" si="162"/>
        <v>-56.141579540307447</v>
      </c>
      <c r="P338" s="310">
        <f t="shared" ca="1" si="163"/>
        <v>23</v>
      </c>
      <c r="Q338" s="304">
        <f t="shared" ca="1" si="164"/>
        <v>0</v>
      </c>
      <c r="R338" s="306">
        <f t="shared" ca="1" si="165"/>
        <v>0</v>
      </c>
      <c r="S338" s="307">
        <f t="shared" ca="1" si="166"/>
        <v>2.9362999999999984</v>
      </c>
      <c r="T338" s="304">
        <f t="shared" ca="1" si="146"/>
        <v>28.805102999999985</v>
      </c>
      <c r="U338" s="311">
        <f t="shared" ca="1" si="147"/>
        <v>0</v>
      </c>
      <c r="V338" s="306">
        <f t="shared" ca="1" si="148"/>
        <v>1.0670829258150778</v>
      </c>
      <c r="W338" s="304">
        <f t="shared" ca="1" si="149"/>
        <v>3.5208838984563906</v>
      </c>
      <c r="Y338" s="314" t="str">
        <f t="shared" ca="1" si="167"/>
        <v/>
      </c>
      <c r="Z338" s="315" t="str">
        <f t="shared" ca="1" si="168"/>
        <v/>
      </c>
      <c r="AA338" s="316" t="str">
        <f t="shared" ca="1" si="169"/>
        <v/>
      </c>
      <c r="AC338" s="310">
        <f t="shared" ca="1" si="170"/>
        <v>19.999999999999979</v>
      </c>
      <c r="AD338" s="323">
        <f t="shared" ca="1" si="171"/>
        <v>587.25102225920466</v>
      </c>
      <c r="AE338" s="324" t="e">
        <f t="shared" ca="1" si="150"/>
        <v>#N/A</v>
      </c>
      <c r="AG338" s="306">
        <f t="shared" ca="1" si="172"/>
        <v>6.9121792637517476</v>
      </c>
      <c r="AH338" s="304">
        <f t="shared" ca="1" si="173"/>
        <v>-1.1576096916434206</v>
      </c>
    </row>
    <row r="339" spans="1:34" x14ac:dyDescent="0.2">
      <c r="A339" s="347">
        <f t="shared" ca="1" si="151"/>
        <v>0.1</v>
      </c>
      <c r="B339" s="304">
        <f t="shared" ca="1" si="152"/>
        <v>20.09999999999998</v>
      </c>
      <c r="D339" s="306">
        <f t="shared" ca="1" si="153"/>
        <v>-0.66806337505742319</v>
      </c>
      <c r="E339" s="307">
        <f t="shared" ca="1" si="154"/>
        <v>-8.814256643464077</v>
      </c>
      <c r="F339" s="304">
        <f t="shared" ca="1" si="155"/>
        <v>8.8395378187970746</v>
      </c>
      <c r="G339" s="306">
        <f t="shared" ca="1" si="156"/>
        <v>22.336987628835352</v>
      </c>
      <c r="H339" s="307">
        <f t="shared" ca="1" si="157"/>
        <v>-34.274109406762697</v>
      </c>
      <c r="I339" s="304">
        <f t="shared" ca="1" si="158"/>
        <v>40.910336003967053</v>
      </c>
      <c r="J339" s="306">
        <f t="shared" ca="1" si="159"/>
        <v>589.48806133896346</v>
      </c>
      <c r="K339" s="307">
        <f t="shared" ca="1" si="160"/>
        <v>1374.5517464281907</v>
      </c>
      <c r="L339" s="304">
        <f t="shared" ca="1" si="145"/>
        <v>1495.6231738208519</v>
      </c>
      <c r="M339" s="306">
        <f t="shared" ca="1" si="161"/>
        <v>-0.993215681173646</v>
      </c>
      <c r="N339" s="304">
        <f t="shared" ca="1" si="162"/>
        <v>-56.907066677461088</v>
      </c>
      <c r="P339" s="310">
        <f t="shared" ca="1" si="163"/>
        <v>23</v>
      </c>
      <c r="Q339" s="304">
        <f t="shared" ca="1" si="164"/>
        <v>0</v>
      </c>
      <c r="R339" s="306">
        <f t="shared" ca="1" si="165"/>
        <v>0</v>
      </c>
      <c r="S339" s="307">
        <f t="shared" ca="1" si="166"/>
        <v>2.9362999999999984</v>
      </c>
      <c r="T339" s="304">
        <f t="shared" ca="1" si="146"/>
        <v>28.805102999999985</v>
      </c>
      <c r="U339" s="311">
        <f t="shared" ca="1" si="147"/>
        <v>0</v>
      </c>
      <c r="V339" s="306">
        <f t="shared" ca="1" si="148"/>
        <v>1.0674457355316553</v>
      </c>
      <c r="W339" s="304">
        <f t="shared" ca="1" si="149"/>
        <v>3.6454828609988348</v>
      </c>
      <c r="Y339" s="314" t="str">
        <f t="shared" ca="1" si="167"/>
        <v/>
      </c>
      <c r="Z339" s="315" t="str">
        <f t="shared" ca="1" si="168"/>
        <v/>
      </c>
      <c r="AA339" s="316" t="str">
        <f t="shared" ca="1" si="169"/>
        <v/>
      </c>
      <c r="AC339" s="310" t="e">
        <f t="shared" ca="1" si="170"/>
        <v>#N/A</v>
      </c>
      <c r="AD339" s="323" t="e">
        <f t="shared" ca="1" si="171"/>
        <v>#N/A</v>
      </c>
      <c r="AE339" s="324" t="e">
        <f t="shared" ca="1" si="150"/>
        <v>#N/A</v>
      </c>
      <c r="AG339" s="306">
        <f t="shared" ca="1" si="172"/>
        <v>6.9473004100053304</v>
      </c>
      <c r="AH339" s="304">
        <f t="shared" ca="1" si="173"/>
        <v>-1.1990886143978452</v>
      </c>
    </row>
    <row r="340" spans="1:34" x14ac:dyDescent="0.2">
      <c r="A340" s="347">
        <f t="shared" ca="1" si="151"/>
        <v>0.1</v>
      </c>
      <c r="B340" s="304">
        <f t="shared" ca="1" si="152"/>
        <v>20.199999999999982</v>
      </c>
      <c r="D340" s="306">
        <f t="shared" ca="1" si="153"/>
        <v>-0.67786965473706673</v>
      </c>
      <c r="E340" s="307">
        <f t="shared" ca="1" si="154"/>
        <v>-8.7698696522538189</v>
      </c>
      <c r="F340" s="304">
        <f t="shared" ca="1" si="155"/>
        <v>8.7960287054065418</v>
      </c>
      <c r="G340" s="306">
        <f t="shared" ca="1" si="156"/>
        <v>22.269200663361644</v>
      </c>
      <c r="H340" s="307">
        <f t="shared" ca="1" si="157"/>
        <v>-35.151096371988082</v>
      </c>
      <c r="I340" s="304">
        <f t="shared" ca="1" si="158"/>
        <v>41.611499304132991</v>
      </c>
      <c r="J340" s="306">
        <f t="shared" ca="1" si="159"/>
        <v>591.71837075357337</v>
      </c>
      <c r="K340" s="307">
        <f t="shared" ca="1" si="160"/>
        <v>1371.080486139253</v>
      </c>
      <c r="L340" s="304">
        <f t="shared" ca="1" si="145"/>
        <v>1493.3158841179966</v>
      </c>
      <c r="M340" s="306">
        <f t="shared" ca="1" si="161"/>
        <v>-1.0060880713187796</v>
      </c>
      <c r="N340" s="304">
        <f t="shared" ca="1" si="162"/>
        <v>-57.64460030502304</v>
      </c>
      <c r="P340" s="310">
        <f t="shared" ca="1" si="163"/>
        <v>23</v>
      </c>
      <c r="Q340" s="304">
        <f t="shared" ca="1" si="164"/>
        <v>0</v>
      </c>
      <c r="R340" s="306">
        <f t="shared" ca="1" si="165"/>
        <v>0</v>
      </c>
      <c r="S340" s="307">
        <f t="shared" ca="1" si="166"/>
        <v>2.9362999999999984</v>
      </c>
      <c r="T340" s="304">
        <f t="shared" ca="1" si="146"/>
        <v>28.805102999999985</v>
      </c>
      <c r="U340" s="311">
        <f t="shared" ca="1" si="147"/>
        <v>0</v>
      </c>
      <c r="V340" s="306">
        <f t="shared" ca="1" si="148"/>
        <v>1.0678180927389316</v>
      </c>
      <c r="W340" s="304">
        <f t="shared" ca="1" si="149"/>
        <v>3.7728293741674919</v>
      </c>
      <c r="Y340" s="314" t="str">
        <f t="shared" ca="1" si="167"/>
        <v/>
      </c>
      <c r="Z340" s="315" t="str">
        <f t="shared" ca="1" si="168"/>
        <v/>
      </c>
      <c r="AA340" s="316" t="str">
        <f t="shared" ca="1" si="169"/>
        <v/>
      </c>
      <c r="AC340" s="310" t="e">
        <f t="shared" ca="1" si="170"/>
        <v>#N/A</v>
      </c>
      <c r="AD340" s="323" t="e">
        <f t="shared" ca="1" si="171"/>
        <v>#N/A</v>
      </c>
      <c r="AE340" s="324" t="e">
        <f t="shared" ca="1" si="150"/>
        <v>#N/A</v>
      </c>
      <c r="AG340" s="306">
        <f t="shared" ca="1" si="172"/>
        <v>6.9771586775745824</v>
      </c>
      <c r="AH340" s="304">
        <f t="shared" ca="1" si="173"/>
        <v>-1.2415226172389868</v>
      </c>
    </row>
    <row r="341" spans="1:34" x14ac:dyDescent="0.2">
      <c r="A341" s="347">
        <f t="shared" ca="1" si="151"/>
        <v>0.1</v>
      </c>
      <c r="B341" s="304">
        <f t="shared" ca="1" si="152"/>
        <v>20.299999999999983</v>
      </c>
      <c r="D341" s="306">
        <f t="shared" ca="1" si="153"/>
        <v>-0.68763504800722386</v>
      </c>
      <c r="E341" s="307">
        <f t="shared" ca="1" si="154"/>
        <v>-8.7245939180014638</v>
      </c>
      <c r="F341" s="304">
        <f t="shared" ca="1" si="155"/>
        <v>8.7516501868662484</v>
      </c>
      <c r="G341" s="306">
        <f t="shared" ca="1" si="156"/>
        <v>22.200437158560923</v>
      </c>
      <c r="H341" s="307">
        <f t="shared" ca="1" si="157"/>
        <v>-36.023555763788231</v>
      </c>
      <c r="I341" s="304">
        <f t="shared" ca="1" si="158"/>
        <v>42.314961655400005</v>
      </c>
      <c r="J341" s="306">
        <f t="shared" ca="1" si="159"/>
        <v>593.94185264466955</v>
      </c>
      <c r="K341" s="307">
        <f t="shared" ca="1" si="160"/>
        <v>1367.5217535324641</v>
      </c>
      <c r="L341" s="304">
        <f t="shared" ca="1" si="145"/>
        <v>1490.9334896994862</v>
      </c>
      <c r="M341" s="306">
        <f t="shared" ca="1" si="161"/>
        <v>-1.0184953764497757</v>
      </c>
      <c r="N341" s="304">
        <f t="shared" ca="1" si="162"/>
        <v>-58.355486524160128</v>
      </c>
      <c r="P341" s="310">
        <f t="shared" ca="1" si="163"/>
        <v>23</v>
      </c>
      <c r="Q341" s="304">
        <f t="shared" ca="1" si="164"/>
        <v>0</v>
      </c>
      <c r="R341" s="306">
        <f t="shared" ca="1" si="165"/>
        <v>0</v>
      </c>
      <c r="S341" s="307">
        <f t="shared" ca="1" si="166"/>
        <v>2.9362999999999984</v>
      </c>
      <c r="T341" s="304">
        <f t="shared" ca="1" si="146"/>
        <v>28.805102999999985</v>
      </c>
      <c r="U341" s="311">
        <f t="shared" ca="1" si="147"/>
        <v>0</v>
      </c>
      <c r="V341" s="306">
        <f t="shared" ca="1" si="148"/>
        <v>1.0681999585726107</v>
      </c>
      <c r="W341" s="304">
        <f t="shared" ca="1" si="149"/>
        <v>3.902865827984316</v>
      </c>
      <c r="Y341" s="314" t="str">
        <f t="shared" ca="1" si="167"/>
        <v/>
      </c>
      <c r="Z341" s="315" t="str">
        <f t="shared" ca="1" si="168"/>
        <v/>
      </c>
      <c r="AA341" s="316" t="str">
        <f t="shared" ca="1" si="169"/>
        <v/>
      </c>
      <c r="AC341" s="310" t="e">
        <f t="shared" ca="1" si="170"/>
        <v>#N/A</v>
      </c>
      <c r="AD341" s="323" t="e">
        <f t="shared" ca="1" si="171"/>
        <v>#N/A</v>
      </c>
      <c r="AE341" s="324" t="e">
        <f t="shared" ca="1" si="150"/>
        <v>#N/A</v>
      </c>
      <c r="AG341" s="306">
        <f t="shared" ca="1" si="172"/>
        <v>7.0020538462539346</v>
      </c>
      <c r="AH341" s="304">
        <f t="shared" ca="1" si="173"/>
        <v>-1.2848923387145366</v>
      </c>
    </row>
    <row r="342" spans="1:34" x14ac:dyDescent="0.2">
      <c r="A342" s="347">
        <f t="shared" ca="1" si="151"/>
        <v>0.1</v>
      </c>
      <c r="B342" s="304">
        <f t="shared" ca="1" si="152"/>
        <v>20.399999999999984</v>
      </c>
      <c r="D342" s="306">
        <f t="shared" ca="1" si="153"/>
        <v>-0.6973499451457662</v>
      </c>
      <c r="E342" s="307">
        <f t="shared" ca="1" si="154"/>
        <v>-8.6784445960945416</v>
      </c>
      <c r="F342" s="304">
        <f t="shared" ca="1" si="155"/>
        <v>8.7064170330554091</v>
      </c>
      <c r="G342" s="306">
        <f t="shared" ca="1" si="156"/>
        <v>22.130702164046347</v>
      </c>
      <c r="H342" s="307">
        <f t="shared" ca="1" si="157"/>
        <v>-36.891400223397682</v>
      </c>
      <c r="I342" s="304">
        <f t="shared" ca="1" si="158"/>
        <v>43.020267185556065</v>
      </c>
      <c r="J342" s="306">
        <f t="shared" ca="1" si="159"/>
        <v>596.15840961079994</v>
      </c>
      <c r="K342" s="307">
        <f t="shared" ca="1" si="160"/>
        <v>1363.8760057331049</v>
      </c>
      <c r="L342" s="304">
        <f t="shared" ca="1" si="145"/>
        <v>1488.4766065894912</v>
      </c>
      <c r="M342" s="306">
        <f t="shared" ca="1" si="161"/>
        <v>-1.0304593057888856</v>
      </c>
      <c r="N342" s="304">
        <f t="shared" ca="1" si="162"/>
        <v>-59.040969181683863</v>
      </c>
      <c r="P342" s="310">
        <f t="shared" ca="1" si="163"/>
        <v>23</v>
      </c>
      <c r="Q342" s="304">
        <f t="shared" ca="1" si="164"/>
        <v>0</v>
      </c>
      <c r="R342" s="306">
        <f t="shared" ca="1" si="165"/>
        <v>0</v>
      </c>
      <c r="S342" s="307">
        <f t="shared" ca="1" si="166"/>
        <v>2.9362999999999984</v>
      </c>
      <c r="T342" s="304">
        <f t="shared" ca="1" si="146"/>
        <v>28.805102999999985</v>
      </c>
      <c r="U342" s="311">
        <f t="shared" ca="1" si="147"/>
        <v>0</v>
      </c>
      <c r="V342" s="306">
        <f t="shared" ca="1" si="148"/>
        <v>1.068591293398754</v>
      </c>
      <c r="W342" s="304">
        <f t="shared" ca="1" si="149"/>
        <v>4.0355338946294443</v>
      </c>
      <c r="Y342" s="314" t="str">
        <f t="shared" ca="1" si="167"/>
        <v/>
      </c>
      <c r="Z342" s="315" t="str">
        <f t="shared" ca="1" si="168"/>
        <v/>
      </c>
      <c r="AA342" s="316" t="str">
        <f t="shared" ca="1" si="169"/>
        <v/>
      </c>
      <c r="AC342" s="310" t="e">
        <f t="shared" ca="1" si="170"/>
        <v>#N/A</v>
      </c>
      <c r="AD342" s="323" t="e">
        <f t="shared" ca="1" si="171"/>
        <v>#N/A</v>
      </c>
      <c r="AE342" s="324" t="e">
        <f t="shared" ca="1" si="150"/>
        <v>#N/A</v>
      </c>
      <c r="AG342" s="306">
        <f t="shared" ca="1" si="172"/>
        <v>7.0222670089009416</v>
      </c>
      <c r="AH342" s="304">
        <f t="shared" ca="1" si="173"/>
        <v>-1.3291781589021279</v>
      </c>
    </row>
    <row r="343" spans="1:34" x14ac:dyDescent="0.2">
      <c r="A343" s="347">
        <f t="shared" ca="1" si="151"/>
        <v>0.1</v>
      </c>
      <c r="B343" s="304">
        <f t="shared" ca="1" si="152"/>
        <v>20.499999999999986</v>
      </c>
      <c r="D343" s="306">
        <f t="shared" ca="1" si="153"/>
        <v>-0.70700529166532156</v>
      </c>
      <c r="E343" s="307">
        <f t="shared" ca="1" si="154"/>
        <v>-8.6314375223367747</v>
      </c>
      <c r="F343" s="304">
        <f t="shared" ca="1" si="155"/>
        <v>8.6603446920111651</v>
      </c>
      <c r="G343" s="306">
        <f t="shared" ca="1" si="156"/>
        <v>22.060001634879814</v>
      </c>
      <c r="H343" s="307">
        <f t="shared" ca="1" si="157"/>
        <v>-37.754543975631357</v>
      </c>
      <c r="I343" s="304">
        <f t="shared" ca="1" si="158"/>
        <v>43.726985523115836</v>
      </c>
      <c r="J343" s="306">
        <f t="shared" ca="1" si="159"/>
        <v>598.36794480074627</v>
      </c>
      <c r="K343" s="307">
        <f t="shared" ca="1" si="160"/>
        <v>1360.1437085231535</v>
      </c>
      <c r="L343" s="304">
        <f t="shared" ca="1" si="145"/>
        <v>1485.9458621363653</v>
      </c>
      <c r="M343" s="306">
        <f t="shared" ca="1" si="161"/>
        <v>-1.0420005119821538</v>
      </c>
      <c r="N343" s="304">
        <f t="shared" ca="1" si="162"/>
        <v>-59.702231587048381</v>
      </c>
      <c r="P343" s="310">
        <f t="shared" ca="1" si="163"/>
        <v>23</v>
      </c>
      <c r="Q343" s="304">
        <f t="shared" ca="1" si="164"/>
        <v>0</v>
      </c>
      <c r="R343" s="306">
        <f t="shared" ca="1" si="165"/>
        <v>0</v>
      </c>
      <c r="S343" s="307">
        <f t="shared" ca="1" si="166"/>
        <v>2.9362999999999984</v>
      </c>
      <c r="T343" s="304">
        <f t="shared" ca="1" si="146"/>
        <v>28.805102999999985</v>
      </c>
      <c r="U343" s="311">
        <f t="shared" ca="1" si="147"/>
        <v>0</v>
      </c>
      <c r="V343" s="306">
        <f t="shared" ca="1" si="148"/>
        <v>1.0689920568253461</v>
      </c>
      <c r="W343" s="304">
        <f t="shared" ca="1" si="149"/>
        <v>4.1707745705066532</v>
      </c>
      <c r="Y343" s="314" t="str">
        <f t="shared" ca="1" si="167"/>
        <v/>
      </c>
      <c r="Z343" s="315" t="str">
        <f t="shared" ca="1" si="168"/>
        <v/>
      </c>
      <c r="AA343" s="316" t="str">
        <f t="shared" ca="1" si="169"/>
        <v/>
      </c>
      <c r="AC343" s="310" t="e">
        <f t="shared" ca="1" si="170"/>
        <v>#N/A</v>
      </c>
      <c r="AD343" s="323" t="e">
        <f t="shared" ca="1" si="171"/>
        <v>#N/A</v>
      </c>
      <c r="AE343" s="324" t="e">
        <f t="shared" ca="1" si="150"/>
        <v>#N/A</v>
      </c>
      <c r="AG343" s="306">
        <f t="shared" ca="1" si="172"/>
        <v>7.0380616488403724</v>
      </c>
      <c r="AH343" s="304">
        <f t="shared" ca="1" si="173"/>
        <v>-1.3743602134078421</v>
      </c>
    </row>
    <row r="344" spans="1:34" x14ac:dyDescent="0.2">
      <c r="A344" s="347">
        <f t="shared" ca="1" si="151"/>
        <v>0.1</v>
      </c>
      <c r="B344" s="304">
        <f t="shared" ca="1" si="152"/>
        <v>20.599999999999987</v>
      </c>
      <c r="D344" s="306">
        <f t="shared" ca="1" si="153"/>
        <v>-0.71659255768589514</v>
      </c>
      <c r="E344" s="307">
        <f t="shared" ca="1" si="154"/>
        <v>-8.5835891556333674</v>
      </c>
      <c r="F344" s="304">
        <f t="shared" ca="1" si="155"/>
        <v>8.6134492328240704</v>
      </c>
      <c r="G344" s="306">
        <f t="shared" ca="1" si="156"/>
        <v>21.988342379111224</v>
      </c>
      <c r="H344" s="307">
        <f t="shared" ca="1" si="157"/>
        <v>-38.612902891194693</v>
      </c>
      <c r="I344" s="304">
        <f t="shared" ca="1" si="158"/>
        <v>44.434710196712771</v>
      </c>
      <c r="J344" s="306">
        <f t="shared" ca="1" si="159"/>
        <v>600.5703620014458</v>
      </c>
      <c r="K344" s="307">
        <f t="shared" ca="1" si="160"/>
        <v>1356.3253361798122</v>
      </c>
      <c r="L344" s="304">
        <f t="shared" ca="1" si="145"/>
        <v>1483.3418949378556</v>
      </c>
      <c r="M344" s="306">
        <f t="shared" ca="1" si="161"/>
        <v>-1.0531386254150692</v>
      </c>
      <c r="N344" s="304">
        <f t="shared" ca="1" si="162"/>
        <v>-60.340398478492403</v>
      </c>
      <c r="P344" s="310">
        <f t="shared" ca="1" si="163"/>
        <v>23</v>
      </c>
      <c r="Q344" s="304">
        <f t="shared" ca="1" si="164"/>
        <v>0</v>
      </c>
      <c r="R344" s="306">
        <f t="shared" ca="1" si="165"/>
        <v>0</v>
      </c>
      <c r="S344" s="307">
        <f t="shared" ca="1" si="166"/>
        <v>2.9362999999999984</v>
      </c>
      <c r="T344" s="304">
        <f t="shared" ca="1" si="146"/>
        <v>28.805102999999985</v>
      </c>
      <c r="U344" s="311">
        <f t="shared" ca="1" si="147"/>
        <v>0</v>
      </c>
      <c r="V344" s="306">
        <f t="shared" ca="1" si="148"/>
        <v>1.0694022077144967</v>
      </c>
      <c r="W344" s="304">
        <f t="shared" ca="1" si="149"/>
        <v>4.3085282191303307</v>
      </c>
      <c r="Y344" s="314" t="str">
        <f t="shared" ca="1" si="167"/>
        <v/>
      </c>
      <c r="Z344" s="315" t="str">
        <f t="shared" ca="1" si="168"/>
        <v/>
      </c>
      <c r="AA344" s="316" t="str">
        <f t="shared" ca="1" si="169"/>
        <v/>
      </c>
      <c r="AC344" s="310" t="e">
        <f t="shared" ca="1" si="170"/>
        <v>#N/A</v>
      </c>
      <c r="AD344" s="323" t="e">
        <f t="shared" ca="1" si="171"/>
        <v>#N/A</v>
      </c>
      <c r="AE344" s="324" t="e">
        <f t="shared" ca="1" si="150"/>
        <v>#N/A</v>
      </c>
      <c r="AG344" s="306">
        <f t="shared" ca="1" si="172"/>
        <v>7.0496847098700508</v>
      </c>
      <c r="AH344" s="304">
        <f t="shared" ca="1" si="173"/>
        <v>-1.4204184076922166</v>
      </c>
    </row>
    <row r="345" spans="1:34" x14ac:dyDescent="0.2">
      <c r="A345" s="347">
        <f t="shared" ca="1" si="151"/>
        <v>0.1</v>
      </c>
      <c r="B345" s="304">
        <f t="shared" ca="1" si="152"/>
        <v>20.699999999999989</v>
      </c>
      <c r="D345" s="306">
        <f t="shared" ca="1" si="153"/>
        <v>-0.72610370921364276</v>
      </c>
      <c r="E345" s="307">
        <f t="shared" ca="1" si="154"/>
        <v>-8.5349165248837675</v>
      </c>
      <c r="F345" s="304">
        <f t="shared" ca="1" si="155"/>
        <v>8.5657472927508085</v>
      </c>
      <c r="G345" s="306">
        <f t="shared" ca="1" si="156"/>
        <v>21.91573200818986</v>
      </c>
      <c r="H345" s="307">
        <f t="shared" ca="1" si="157"/>
        <v>-39.466394543683073</v>
      </c>
      <c r="I345" s="304">
        <f t="shared" ca="1" si="158"/>
        <v>45.143057137642494</v>
      </c>
      <c r="J345" s="306">
        <f t="shared" ca="1" si="159"/>
        <v>602.76556572081086</v>
      </c>
      <c r="K345" s="307">
        <f t="shared" ca="1" si="160"/>
        <v>1352.4213713080683</v>
      </c>
      <c r="L345" s="304">
        <f t="shared" ca="1" si="145"/>
        <v>1480.6653547610024</v>
      </c>
      <c r="M345" s="306">
        <f t="shared" ca="1" si="161"/>
        <v>-1.06389229157168</v>
      </c>
      <c r="N345" s="304">
        <f t="shared" ca="1" si="162"/>
        <v>-60.956538163558868</v>
      </c>
      <c r="P345" s="310">
        <f t="shared" ca="1" si="163"/>
        <v>23</v>
      </c>
      <c r="Q345" s="304">
        <f t="shared" ca="1" si="164"/>
        <v>0</v>
      </c>
      <c r="R345" s="306">
        <f t="shared" ca="1" si="165"/>
        <v>0</v>
      </c>
      <c r="S345" s="307">
        <f t="shared" ca="1" si="166"/>
        <v>2.9362999999999984</v>
      </c>
      <c r="T345" s="304">
        <f t="shared" ca="1" si="146"/>
        <v>28.805102999999985</v>
      </c>
      <c r="U345" s="311">
        <f t="shared" ca="1" si="147"/>
        <v>0</v>
      </c>
      <c r="V345" s="306">
        <f t="shared" ca="1" si="148"/>
        <v>1.069821704195238</v>
      </c>
      <c r="W345" s="304">
        <f t="shared" ca="1" si="149"/>
        <v>4.4487346147024009</v>
      </c>
      <c r="Y345" s="314" t="str">
        <f t="shared" ca="1" si="167"/>
        <v/>
      </c>
      <c r="Z345" s="315" t="str">
        <f t="shared" ca="1" si="168"/>
        <v/>
      </c>
      <c r="AA345" s="316" t="str">
        <f t="shared" ca="1" si="169"/>
        <v/>
      </c>
      <c r="AC345" s="310" t="e">
        <f t="shared" ca="1" si="170"/>
        <v>#N/A</v>
      </c>
      <c r="AD345" s="323" t="e">
        <f t="shared" ca="1" si="171"/>
        <v>#N/A</v>
      </c>
      <c r="AE345" s="324" t="e">
        <f t="shared" ca="1" si="150"/>
        <v>#N/A</v>
      </c>
      <c r="AG345" s="306">
        <f t="shared" ca="1" si="172"/>
        <v>7.0573676436862822</v>
      </c>
      <c r="AH345" s="304">
        <f t="shared" ca="1" si="173"/>
        <v>-1.4673324316760321</v>
      </c>
    </row>
    <row r="346" spans="1:34" x14ac:dyDescent="0.2">
      <c r="A346" s="347">
        <f t="shared" ca="1" si="151"/>
        <v>0.1</v>
      </c>
      <c r="B346" s="304">
        <f t="shared" ca="1" si="152"/>
        <v>20.79999999999999</v>
      </c>
      <c r="D346" s="306">
        <f t="shared" ca="1" si="153"/>
        <v>-0.73553118126163142</v>
      </c>
      <c r="E346" s="307">
        <f t="shared" ca="1" si="154"/>
        <v>-8.4854371796477146</v>
      </c>
      <c r="F346" s="304">
        <f t="shared" ca="1" si="155"/>
        <v>8.5172560281088128</v>
      </c>
      <c r="G346" s="306">
        <f t="shared" ca="1" si="156"/>
        <v>21.842178890063696</v>
      </c>
      <c r="H346" s="307">
        <f t="shared" ca="1" si="157"/>
        <v>-40.314938261647846</v>
      </c>
      <c r="I346" s="304">
        <f t="shared" ca="1" si="158"/>
        <v>45.851663281783161</v>
      </c>
      <c r="J346" s="306">
        <f t="shared" ca="1" si="159"/>
        <v>604.95346126572349</v>
      </c>
      <c r="K346" s="307">
        <f t="shared" ca="1" si="160"/>
        <v>1348.4323046678016</v>
      </c>
      <c r="L346" s="304">
        <f t="shared" ca="1" si="145"/>
        <v>1477.9169024573398</v>
      </c>
      <c r="M346" s="306">
        <f t="shared" ca="1" si="161"/>
        <v>-1.0742792103744736</v>
      </c>
      <c r="N346" s="304">
        <f t="shared" ca="1" si="162"/>
        <v>-61.551664773104022</v>
      </c>
      <c r="P346" s="310">
        <f t="shared" ca="1" si="163"/>
        <v>23</v>
      </c>
      <c r="Q346" s="304">
        <f t="shared" ca="1" si="164"/>
        <v>0</v>
      </c>
      <c r="R346" s="306">
        <f t="shared" ca="1" si="165"/>
        <v>0</v>
      </c>
      <c r="S346" s="307">
        <f t="shared" ca="1" si="166"/>
        <v>2.9362999999999984</v>
      </c>
      <c r="T346" s="304">
        <f t="shared" ca="1" si="146"/>
        <v>28.805102999999985</v>
      </c>
      <c r="U346" s="311">
        <f t="shared" ca="1" si="147"/>
        <v>0</v>
      </c>
      <c r="V346" s="306">
        <f t="shared" ca="1" si="148"/>
        <v>1.0702505036768546</v>
      </c>
      <c r="W346" s="304">
        <f t="shared" ca="1" si="149"/>
        <v>4.5913329862550993</v>
      </c>
      <c r="Y346" s="314" t="str">
        <f t="shared" ca="1" si="167"/>
        <v/>
      </c>
      <c r="Z346" s="315" t="str">
        <f t="shared" ca="1" si="168"/>
        <v/>
      </c>
      <c r="AA346" s="316" t="str">
        <f t="shared" ca="1" si="169"/>
        <v/>
      </c>
      <c r="AC346" s="310" t="e">
        <f t="shared" ca="1" si="170"/>
        <v>#N/A</v>
      </c>
      <c r="AD346" s="323" t="e">
        <f t="shared" ca="1" si="171"/>
        <v>#N/A</v>
      </c>
      <c r="AE346" s="324" t="e">
        <f t="shared" ca="1" si="150"/>
        <v>#N/A</v>
      </c>
      <c r="AG346" s="306">
        <f t="shared" ca="1" si="172"/>
        <v>7.0613274236939274</v>
      </c>
      <c r="AH346" s="304">
        <f t="shared" ca="1" si="173"/>
        <v>-1.5150817745810725</v>
      </c>
    </row>
    <row r="347" spans="1:34" x14ac:dyDescent="0.2">
      <c r="A347" s="347">
        <f t="shared" ca="1" si="151"/>
        <v>0.1</v>
      </c>
      <c r="B347" s="304">
        <f t="shared" ca="1" si="152"/>
        <v>20.899999999999991</v>
      </c>
      <c r="D347" s="306">
        <f t="shared" ca="1" si="153"/>
        <v>-0.74486785273370848</v>
      </c>
      <c r="E347" s="307">
        <f t="shared" ca="1" si="154"/>
        <v>-8.4351691441962142</v>
      </c>
      <c r="F347" s="304">
        <f t="shared" ca="1" si="155"/>
        <v>8.4679930685632954</v>
      </c>
      <c r="G347" s="306">
        <f t="shared" ca="1" si="156"/>
        <v>21.767692104790324</v>
      </c>
      <c r="H347" s="307">
        <f t="shared" ca="1" si="157"/>
        <v>-41.15845517606747</v>
      </c>
      <c r="I347" s="304">
        <f t="shared" ca="1" si="158"/>
        <v>46.56018526648392</v>
      </c>
      <c r="J347" s="306">
        <f t="shared" ca="1" si="159"/>
        <v>607.13395481546615</v>
      </c>
      <c r="K347" s="307">
        <f t="shared" ca="1" si="160"/>
        <v>1344.358634995916</v>
      </c>
      <c r="L347" s="304">
        <f t="shared" ca="1" si="145"/>
        <v>1475.097209873963</v>
      </c>
      <c r="M347" s="306">
        <f t="shared" ca="1" si="161"/>
        <v>-1.0843161766471048</v>
      </c>
      <c r="N347" s="304">
        <f t="shared" ca="1" si="162"/>
        <v>-62.126740579640938</v>
      </c>
      <c r="P347" s="310">
        <f t="shared" ca="1" si="163"/>
        <v>23</v>
      </c>
      <c r="Q347" s="304">
        <f t="shared" ca="1" si="164"/>
        <v>0</v>
      </c>
      <c r="R347" s="306">
        <f t="shared" ca="1" si="165"/>
        <v>0</v>
      </c>
      <c r="S347" s="307">
        <f t="shared" ca="1" si="166"/>
        <v>2.9362999999999984</v>
      </c>
      <c r="T347" s="304">
        <f t="shared" ca="1" si="146"/>
        <v>28.805102999999985</v>
      </c>
      <c r="U347" s="311">
        <f t="shared" ca="1" si="147"/>
        <v>0</v>
      </c>
      <c r="V347" s="306">
        <f t="shared" ca="1" si="148"/>
        <v>1.0706885628627079</v>
      </c>
      <c r="W347" s="304">
        <f t="shared" ca="1" si="149"/>
        <v>4.736262062242754</v>
      </c>
      <c r="Y347" s="314" t="str">
        <f t="shared" ca="1" si="167"/>
        <v/>
      </c>
      <c r="Z347" s="315" t="str">
        <f t="shared" ca="1" si="168"/>
        <v/>
      </c>
      <c r="AA347" s="316" t="str">
        <f t="shared" ca="1" si="169"/>
        <v/>
      </c>
      <c r="AC347" s="310" t="e">
        <f t="shared" ca="1" si="170"/>
        <v>#N/A</v>
      </c>
      <c r="AD347" s="323" t="e">
        <f t="shared" ca="1" si="171"/>
        <v>#N/A</v>
      </c>
      <c r="AE347" s="324" t="e">
        <f t="shared" ca="1" si="150"/>
        <v>#N/A</v>
      </c>
      <c r="AG347" s="306">
        <f t="shared" ca="1" si="172"/>
        <v>7.0617675174850882</v>
      </c>
      <c r="AH347" s="304">
        <f t="shared" ca="1" si="173"/>
        <v>-1.5636457399635943</v>
      </c>
    </row>
    <row r="348" spans="1:34" x14ac:dyDescent="0.2">
      <c r="A348" s="347">
        <f t="shared" ca="1" si="151"/>
        <v>0.1</v>
      </c>
      <c r="B348" s="304">
        <f t="shared" ca="1" si="152"/>
        <v>20.999999999999993</v>
      </c>
      <c r="D348" s="306">
        <f t="shared" ca="1" si="153"/>
        <v>-0.75410702298305876</v>
      </c>
      <c r="E348" s="307">
        <f t="shared" ca="1" si="154"/>
        <v>-8.3841308746012846</v>
      </c>
      <c r="F348" s="304">
        <f t="shared" ca="1" si="155"/>
        <v>8.4179764744595769</v>
      </c>
      <c r="G348" s="306">
        <f t="shared" ca="1" si="156"/>
        <v>21.692281402492018</v>
      </c>
      <c r="H348" s="307">
        <f t="shared" ca="1" si="157"/>
        <v>-41.996868263527595</v>
      </c>
      <c r="I348" s="304">
        <f t="shared" ca="1" si="158"/>
        <v>47.268298217610841</v>
      </c>
      <c r="J348" s="306">
        <f t="shared" ca="1" si="159"/>
        <v>609.30695349083032</v>
      </c>
      <c r="K348" s="307">
        <f t="shared" ca="1" si="160"/>
        <v>1340.2008688239362</v>
      </c>
      <c r="L348" s="304">
        <f t="shared" ca="1" si="145"/>
        <v>1472.2069597609943</v>
      </c>
      <c r="M348" s="306">
        <f t="shared" ca="1" si="161"/>
        <v>-1.0940191210141534</v>
      </c>
      <c r="N348" s="304">
        <f t="shared" ca="1" si="162"/>
        <v>-62.682678340723065</v>
      </c>
      <c r="P348" s="310">
        <f t="shared" ca="1" si="163"/>
        <v>23</v>
      </c>
      <c r="Q348" s="304">
        <f t="shared" ca="1" si="164"/>
        <v>0</v>
      </c>
      <c r="R348" s="306">
        <f t="shared" ca="1" si="165"/>
        <v>0</v>
      </c>
      <c r="S348" s="307">
        <f t="shared" ca="1" si="166"/>
        <v>2.9362999999999984</v>
      </c>
      <c r="T348" s="304">
        <f t="shared" ca="1" si="146"/>
        <v>28.805102999999985</v>
      </c>
      <c r="U348" s="311">
        <f t="shared" ca="1" si="147"/>
        <v>0</v>
      </c>
      <c r="V348" s="306">
        <f t="shared" ca="1" si="148"/>
        <v>1.0711358377645113</v>
      </c>
      <c r="W348" s="304">
        <f t="shared" ca="1" si="149"/>
        <v>4.8834601154720954</v>
      </c>
      <c r="Y348" s="314" t="str">
        <f t="shared" ca="1" si="167"/>
        <v/>
      </c>
      <c r="Z348" s="315" t="str">
        <f t="shared" ca="1" si="168"/>
        <v/>
      </c>
      <c r="AA348" s="316" t="str">
        <f t="shared" ca="1" si="169"/>
        <v/>
      </c>
      <c r="AC348" s="310">
        <f t="shared" ca="1" si="170"/>
        <v>20.999999999999993</v>
      </c>
      <c r="AD348" s="323">
        <f t="shared" ca="1" si="171"/>
        <v>609.30695349083032</v>
      </c>
      <c r="AE348" s="324" t="e">
        <f t="shared" ca="1" si="150"/>
        <v>#N/A</v>
      </c>
      <c r="AG348" s="306">
        <f t="shared" ca="1" si="172"/>
        <v>7.058878812898346</v>
      </c>
      <c r="AH348" s="304">
        <f t="shared" ca="1" si="173"/>
        <v>-1.6130034609007107</v>
      </c>
    </row>
    <row r="349" spans="1:34" x14ac:dyDescent="0.2">
      <c r="A349" s="347">
        <f t="shared" ca="1" si="151"/>
        <v>0.1</v>
      </c>
      <c r="B349" s="304">
        <f t="shared" ca="1" si="152"/>
        <v>21.099999999999994</v>
      </c>
      <c r="D349" s="306">
        <f t="shared" ca="1" si="153"/>
        <v>-0.76324238995138016</v>
      </c>
      <c r="E349" s="307">
        <f t="shared" ca="1" si="154"/>
        <v>-8.3323412185568593</v>
      </c>
      <c r="F349" s="304">
        <f t="shared" ca="1" si="155"/>
        <v>8.3672246968920518</v>
      </c>
      <c r="G349" s="306">
        <f t="shared" ca="1" si="156"/>
        <v>21.61595716349688</v>
      </c>
      <c r="H349" s="307">
        <f t="shared" ca="1" si="157"/>
        <v>-42.830102385383285</v>
      </c>
      <c r="I349" s="304">
        <f t="shared" ca="1" si="158"/>
        <v>47.975694621720145</v>
      </c>
      <c r="J349" s="306">
        <f t="shared" ca="1" si="159"/>
        <v>611.4723654191298</v>
      </c>
      <c r="K349" s="307">
        <f t="shared" ca="1" si="160"/>
        <v>1335.9595202914907</v>
      </c>
      <c r="L349" s="304">
        <f t="shared" ca="1" si="145"/>
        <v>1469.2468456759523</v>
      </c>
      <c r="M349" s="306">
        <f t="shared" ca="1" si="161"/>
        <v>-1.1034031506958584</v>
      </c>
      <c r="N349" s="304">
        <f t="shared" ca="1" si="162"/>
        <v>-63.220343636310247</v>
      </c>
      <c r="P349" s="310">
        <f t="shared" ca="1" si="163"/>
        <v>23</v>
      </c>
      <c r="Q349" s="304">
        <f t="shared" ca="1" si="164"/>
        <v>0</v>
      </c>
      <c r="R349" s="306">
        <f t="shared" ca="1" si="165"/>
        <v>0</v>
      </c>
      <c r="S349" s="307">
        <f t="shared" ca="1" si="166"/>
        <v>2.9362999999999984</v>
      </c>
      <c r="T349" s="304">
        <f t="shared" ca="1" si="146"/>
        <v>28.805102999999985</v>
      </c>
      <c r="U349" s="311">
        <f t="shared" ca="1" si="147"/>
        <v>0</v>
      </c>
      <c r="V349" s="306">
        <f t="shared" ca="1" si="148"/>
        <v>1.0715922837170142</v>
      </c>
      <c r="W349" s="304">
        <f t="shared" ca="1" si="149"/>
        <v>5.0328650082667608</v>
      </c>
      <c r="Y349" s="314" t="str">
        <f t="shared" ca="1" si="167"/>
        <v/>
      </c>
      <c r="Z349" s="315" t="str">
        <f t="shared" ca="1" si="168"/>
        <v/>
      </c>
      <c r="AA349" s="316" t="str">
        <f t="shared" ca="1" si="169"/>
        <v/>
      </c>
      <c r="AC349" s="310" t="e">
        <f t="shared" ca="1" si="170"/>
        <v>#N/A</v>
      </c>
      <c r="AD349" s="323" t="e">
        <f t="shared" ca="1" si="171"/>
        <v>#N/A</v>
      </c>
      <c r="AE349" s="324" t="e">
        <f t="shared" ca="1" si="150"/>
        <v>#N/A</v>
      </c>
      <c r="AG349" s="306">
        <f t="shared" ca="1" si="172"/>
        <v>7.0528404946288301</v>
      </c>
      <c r="AH349" s="304">
        <f t="shared" ca="1" si="173"/>
        <v>-1.6631339152920677</v>
      </c>
    </row>
    <row r="350" spans="1:34" x14ac:dyDescent="0.2">
      <c r="A350" s="347">
        <f t="shared" ca="1" si="151"/>
        <v>0.1</v>
      </c>
      <c r="B350" s="304">
        <f t="shared" ca="1" si="152"/>
        <v>21.199999999999996</v>
      </c>
      <c r="D350" s="306">
        <f t="shared" ca="1" si="153"/>
        <v>-0.77226802979207887</v>
      </c>
      <c r="E350" s="307">
        <f t="shared" ca="1" si="154"/>
        <v>-8.2798193776582174</v>
      </c>
      <c r="F350" s="304">
        <f t="shared" ca="1" si="155"/>
        <v>8.3157565402363396</v>
      </c>
      <c r="G350" s="306">
        <f t="shared" ca="1" si="156"/>
        <v>21.538730360517672</v>
      </c>
      <c r="H350" s="307">
        <f t="shared" ca="1" si="157"/>
        <v>-43.658084323149104</v>
      </c>
      <c r="I350" s="304">
        <f t="shared" ca="1" si="158"/>
        <v>48.682083278248101</v>
      </c>
      <c r="J350" s="306">
        <f t="shared" ca="1" si="159"/>
        <v>613.63009979533058</v>
      </c>
      <c r="K350" s="307">
        <f t="shared" ca="1" si="160"/>
        <v>1331.635110956064</v>
      </c>
      <c r="L350" s="304">
        <f t="shared" ca="1" si="145"/>
        <v>1466.2175718854949</v>
      </c>
      <c r="M350" s="306">
        <f t="shared" ca="1" si="161"/>
        <v>-1.1124825897752033</v>
      </c>
      <c r="N350" s="304">
        <f t="shared" ca="1" si="162"/>
        <v>-63.740557175902858</v>
      </c>
      <c r="P350" s="310">
        <f t="shared" ca="1" si="163"/>
        <v>23</v>
      </c>
      <c r="Q350" s="304">
        <f t="shared" ca="1" si="164"/>
        <v>0</v>
      </c>
      <c r="R350" s="306">
        <f t="shared" ca="1" si="165"/>
        <v>0</v>
      </c>
      <c r="S350" s="307">
        <f t="shared" ca="1" si="166"/>
        <v>2.9362999999999984</v>
      </c>
      <c r="T350" s="304">
        <f t="shared" ca="1" si="146"/>
        <v>28.805102999999985</v>
      </c>
      <c r="U350" s="311">
        <f t="shared" ca="1" si="147"/>
        <v>0</v>
      </c>
      <c r="V350" s="306">
        <f t="shared" ca="1" si="148"/>
        <v>1.0720578553930584</v>
      </c>
      <c r="W350" s="304">
        <f t="shared" ca="1" si="149"/>
        <v>5.1844142377671805</v>
      </c>
      <c r="Y350" s="314" t="str">
        <f t="shared" ca="1" si="167"/>
        <v/>
      </c>
      <c r="Z350" s="315" t="str">
        <f t="shared" ca="1" si="168"/>
        <v/>
      </c>
      <c r="AA350" s="316" t="str">
        <f t="shared" ca="1" si="169"/>
        <v/>
      </c>
      <c r="AC350" s="310" t="e">
        <f t="shared" ca="1" si="170"/>
        <v>#N/A</v>
      </c>
      <c r="AD350" s="323" t="e">
        <f t="shared" ca="1" si="171"/>
        <v>#N/A</v>
      </c>
      <c r="AE350" s="324" t="e">
        <f t="shared" ca="1" si="150"/>
        <v>#N/A</v>
      </c>
      <c r="AG350" s="306">
        <f t="shared" ca="1" si="172"/>
        <v>7.0438208699507916</v>
      </c>
      <c r="AH350" s="304">
        <f t="shared" ca="1" si="173"/>
        <v>-1.7140159412412777</v>
      </c>
    </row>
    <row r="351" spans="1:34" x14ac:dyDescent="0.2">
      <c r="A351" s="347">
        <f t="shared" ca="1" si="151"/>
        <v>0.1</v>
      </c>
      <c r="B351" s="304">
        <f t="shared" ca="1" si="152"/>
        <v>21.299999999999997</v>
      </c>
      <c r="D351" s="306">
        <f t="shared" ca="1" si="153"/>
        <v>-0.78117837788066435</v>
      </c>
      <c r="E351" s="307">
        <f t="shared" ca="1" si="154"/>
        <v>-8.2265848718988668</v>
      </c>
      <c r="F351" s="304">
        <f t="shared" ca="1" si="155"/>
        <v>8.263591126902611</v>
      </c>
      <c r="G351" s="306">
        <f t="shared" ca="1" si="156"/>
        <v>21.460612522729605</v>
      </c>
      <c r="H351" s="307">
        <f t="shared" ca="1" si="157"/>
        <v>-44.480742810338988</v>
      </c>
      <c r="I351" s="304">
        <f t="shared" ca="1" si="158"/>
        <v>49.387188326632469</v>
      </c>
      <c r="J351" s="306">
        <f t="shared" ca="1" si="159"/>
        <v>615.78006693949294</v>
      </c>
      <c r="K351" s="307">
        <f t="shared" ca="1" si="160"/>
        <v>1327.2281695993895</v>
      </c>
      <c r="L351" s="304">
        <f t="shared" ca="1" si="145"/>
        <v>1463.1198532649853</v>
      </c>
      <c r="M351" s="306">
        <f t="shared" ca="1" si="161"/>
        <v>-1.1212710186134165</v>
      </c>
      <c r="N351" s="304">
        <f t="shared" ca="1" si="162"/>
        <v>-64.244097056883533</v>
      </c>
      <c r="P351" s="310">
        <f t="shared" ca="1" si="163"/>
        <v>23</v>
      </c>
      <c r="Q351" s="304">
        <f t="shared" ca="1" si="164"/>
        <v>0</v>
      </c>
      <c r="R351" s="306">
        <f t="shared" ca="1" si="165"/>
        <v>0</v>
      </c>
      <c r="S351" s="307">
        <f t="shared" ca="1" si="166"/>
        <v>2.9362999999999984</v>
      </c>
      <c r="T351" s="304">
        <f t="shared" ca="1" si="146"/>
        <v>28.805102999999985</v>
      </c>
      <c r="U351" s="311">
        <f t="shared" ca="1" si="147"/>
        <v>0</v>
      </c>
      <c r="V351" s="306">
        <f t="shared" ca="1" si="148"/>
        <v>1.0725325068189777</v>
      </c>
      <c r="W351" s="304">
        <f t="shared" ca="1" si="149"/>
        <v>5.3380449812724482</v>
      </c>
      <c r="Y351" s="314" t="str">
        <f t="shared" ca="1" si="167"/>
        <v/>
      </c>
      <c r="Z351" s="315" t="str">
        <f t="shared" ca="1" si="168"/>
        <v/>
      </c>
      <c r="AA351" s="316" t="str">
        <f t="shared" ca="1" si="169"/>
        <v/>
      </c>
      <c r="AC351" s="310" t="e">
        <f t="shared" ca="1" si="170"/>
        <v>#N/A</v>
      </c>
      <c r="AD351" s="323" t="e">
        <f t="shared" ca="1" si="171"/>
        <v>#N/A</v>
      </c>
      <c r="AE351" s="324" t="e">
        <f t="shared" ca="1" si="150"/>
        <v>#N/A</v>
      </c>
      <c r="AG351" s="306">
        <f t="shared" ca="1" si="172"/>
        <v>7.0319781433269952</v>
      </c>
      <c r="AH351" s="304">
        <f t="shared" ca="1" si="173"/>
        <v>-1.7656282524834599</v>
      </c>
    </row>
    <row r="352" spans="1:34" x14ac:dyDescent="0.2">
      <c r="A352" s="347">
        <f t="shared" ca="1" si="151"/>
        <v>0.1</v>
      </c>
      <c r="B352" s="304">
        <f t="shared" ca="1" si="152"/>
        <v>21.4</v>
      </c>
      <c r="D352" s="306">
        <f t="shared" ca="1" si="153"/>
        <v>-0.78996821111705295</v>
      </c>
      <c r="E352" s="307">
        <f t="shared" ca="1" si="154"/>
        <v>-8.1726575061720617</v>
      </c>
      <c r="F352" s="304">
        <f t="shared" ca="1" si="155"/>
        <v>8.2107478640965486</v>
      </c>
      <c r="G352" s="306">
        <f t="shared" ca="1" si="156"/>
        <v>21.3816157016179</v>
      </c>
      <c r="H352" s="307">
        <f t="shared" ca="1" si="157"/>
        <v>-45.298008560956191</v>
      </c>
      <c r="I352" s="304">
        <f t="shared" ca="1" si="158"/>
        <v>50.090748343383069</v>
      </c>
      <c r="J352" s="306">
        <f t="shared" ca="1" si="159"/>
        <v>617.92217835071028</v>
      </c>
      <c r="K352" s="307">
        <f t="shared" ca="1" si="160"/>
        <v>1322.7392320308247</v>
      </c>
      <c r="L352" s="304">
        <f t="shared" ca="1" si="145"/>
        <v>1459.9544151963044</v>
      </c>
      <c r="M352" s="306">
        <f t="shared" ca="1" si="161"/>
        <v>-1.129781312171003</v>
      </c>
      <c r="N352" s="304">
        <f t="shared" ca="1" si="162"/>
        <v>-64.731700960150619</v>
      </c>
      <c r="P352" s="310">
        <f t="shared" ca="1" si="163"/>
        <v>23</v>
      </c>
      <c r="Q352" s="304">
        <f t="shared" ca="1" si="164"/>
        <v>0</v>
      </c>
      <c r="R352" s="306">
        <f t="shared" ca="1" si="165"/>
        <v>0</v>
      </c>
      <c r="S352" s="307">
        <f t="shared" ca="1" si="166"/>
        <v>2.9362999999999984</v>
      </c>
      <c r="T352" s="304">
        <f t="shared" ca="1" si="146"/>
        <v>28.805102999999985</v>
      </c>
      <c r="U352" s="311">
        <f t="shared" ca="1" si="147"/>
        <v>0</v>
      </c>
      <c r="V352" s="306">
        <f t="shared" ca="1" si="148"/>
        <v>1.0730161913902998</v>
      </c>
      <c r="W352" s="304">
        <f t="shared" ca="1" si="149"/>
        <v>5.4936941415354585</v>
      </c>
      <c r="Y352" s="314" t="str">
        <f t="shared" ca="1" si="167"/>
        <v/>
      </c>
      <c r="Z352" s="315" t="str">
        <f t="shared" ca="1" si="168"/>
        <v/>
      </c>
      <c r="AA352" s="316" t="str">
        <f t="shared" ca="1" si="169"/>
        <v/>
      </c>
      <c r="AC352" s="310" t="e">
        <f t="shared" ca="1" si="170"/>
        <v>#N/A</v>
      </c>
      <c r="AD352" s="323" t="e">
        <f t="shared" ca="1" si="171"/>
        <v>#N/A</v>
      </c>
      <c r="AE352" s="324" t="e">
        <f t="shared" ca="1" si="150"/>
        <v>#N/A</v>
      </c>
      <c r="AG352" s="306">
        <f t="shared" ca="1" si="172"/>
        <v>7.0174611405864669</v>
      </c>
      <c r="AH352" s="304">
        <f t="shared" ca="1" si="173"/>
        <v>-1.8179494538270786</v>
      </c>
    </row>
    <row r="353" spans="1:34" x14ac:dyDescent="0.2">
      <c r="A353" s="347">
        <f t="shared" ca="1" si="151"/>
        <v>0.1</v>
      </c>
      <c r="B353" s="304">
        <f t="shared" ca="1" si="152"/>
        <v>21.5</v>
      </c>
      <c r="D353" s="306">
        <f t="shared" ca="1" si="153"/>
        <v>-0.79863263142725804</v>
      </c>
      <c r="E353" s="307">
        <f t="shared" ca="1" si="154"/>
        <v>-8.1180573385895478</v>
      </c>
      <c r="F353" s="304">
        <f t="shared" ca="1" si="155"/>
        <v>8.1572464123997168</v>
      </c>
      <c r="G353" s="306">
        <f t="shared" ca="1" si="156"/>
        <v>21.301752438475173</v>
      </c>
      <c r="H353" s="307">
        <f t="shared" ca="1" si="157"/>
        <v>-46.109814294815145</v>
      </c>
      <c r="I353" s="304">
        <f t="shared" ca="1" si="158"/>
        <v>50.792515504278995</v>
      </c>
      <c r="J353" s="306">
        <f t="shared" ca="1" si="159"/>
        <v>620.05634675771489</v>
      </c>
      <c r="K353" s="307">
        <f t="shared" ca="1" si="160"/>
        <v>1318.1688408880361</v>
      </c>
      <c r="L353" s="304">
        <f t="shared" ca="1" si="145"/>
        <v>1456.7219934643097</v>
      </c>
      <c r="M353" s="306">
        <f t="shared" ca="1" si="161"/>
        <v>-1.1380256770576518</v>
      </c>
      <c r="N353" s="304">
        <f t="shared" ca="1" si="162"/>
        <v>-65.204068272921447</v>
      </c>
      <c r="P353" s="310">
        <f t="shared" ca="1" si="163"/>
        <v>23</v>
      </c>
      <c r="Q353" s="304">
        <f t="shared" ca="1" si="164"/>
        <v>0</v>
      </c>
      <c r="R353" s="306">
        <f t="shared" ca="1" si="165"/>
        <v>0</v>
      </c>
      <c r="S353" s="307">
        <f t="shared" ca="1" si="166"/>
        <v>2.9362999999999984</v>
      </c>
      <c r="T353" s="304">
        <f t="shared" ca="1" si="146"/>
        <v>28.805102999999985</v>
      </c>
      <c r="U353" s="311">
        <f t="shared" ca="1" si="147"/>
        <v>0</v>
      </c>
      <c r="V353" s="306">
        <f t="shared" ca="1" si="148"/>
        <v>1.0735088618877289</v>
      </c>
      <c r="W353" s="304">
        <f t="shared" ca="1" si="149"/>
        <v>5.6512983919275079</v>
      </c>
      <c r="Y353" s="314" t="str">
        <f t="shared" ca="1" si="167"/>
        <v/>
      </c>
      <c r="Z353" s="315" t="str">
        <f t="shared" ca="1" si="168"/>
        <v/>
      </c>
      <c r="AA353" s="316" t="str">
        <f t="shared" ca="1" si="169"/>
        <v/>
      </c>
      <c r="AC353" s="310" t="e">
        <f t="shared" ca="1" si="170"/>
        <v>#N/A</v>
      </c>
      <c r="AD353" s="323" t="e">
        <f t="shared" ca="1" si="171"/>
        <v>#N/A</v>
      </c>
      <c r="AE353" s="324" t="e">
        <f t="shared" ca="1" si="150"/>
        <v>#N/A</v>
      </c>
      <c r="AG353" s="306">
        <f t="shared" ca="1" si="172"/>
        <v>7.0004099840152296</v>
      </c>
      <c r="AH353" s="304">
        <f t="shared" ca="1" si="173"/>
        <v>-1.8709580565798665</v>
      </c>
    </row>
    <row r="354" spans="1:34" x14ac:dyDescent="0.2">
      <c r="A354" s="347">
        <f t="shared" ca="1" si="151"/>
        <v>0.1</v>
      </c>
      <c r="B354" s="304">
        <f t="shared" ca="1" si="152"/>
        <v>21.6</v>
      </c>
      <c r="D354" s="306">
        <f t="shared" ca="1" si="153"/>
        <v>-0.80716705037564518</v>
      </c>
      <c r="E354" s="307">
        <f t="shared" ca="1" si="154"/>
        <v>-8.0628046504525592</v>
      </c>
      <c r="F354" s="304">
        <f t="shared" ca="1" si="155"/>
        <v>8.1031066560037051</v>
      </c>
      <c r="G354" s="306">
        <f t="shared" ca="1" si="156"/>
        <v>21.22103573343761</v>
      </c>
      <c r="H354" s="307">
        <f t="shared" ca="1" si="157"/>
        <v>-46.9160947598604</v>
      </c>
      <c r="I354" s="304">
        <f t="shared" ca="1" si="158"/>
        <v>51.492254807068186</v>
      </c>
      <c r="J354" s="306">
        <f t="shared" ca="1" si="159"/>
        <v>622.18248616631058</v>
      </c>
      <c r="K354" s="307">
        <f t="shared" ca="1" si="160"/>
        <v>1313.5175454353023</v>
      </c>
      <c r="L354" s="304">
        <f t="shared" ca="1" si="145"/>
        <v>1453.4233341523291</v>
      </c>
      <c r="M354" s="306">
        <f t="shared" ca="1" si="161"/>
        <v>-1.1460156871881026</v>
      </c>
      <c r="N354" s="304">
        <f t="shared" ca="1" si="162"/>
        <v>-65.661862131663057</v>
      </c>
      <c r="P354" s="310">
        <f t="shared" ca="1" si="163"/>
        <v>23</v>
      </c>
      <c r="Q354" s="304">
        <f t="shared" ca="1" si="164"/>
        <v>0</v>
      </c>
      <c r="R354" s="306">
        <f t="shared" ca="1" si="165"/>
        <v>0</v>
      </c>
      <c r="S354" s="307">
        <f t="shared" ca="1" si="166"/>
        <v>2.9362999999999984</v>
      </c>
      <c r="T354" s="304">
        <f t="shared" ca="1" si="146"/>
        <v>28.805102999999985</v>
      </c>
      <c r="U354" s="311">
        <f t="shared" ca="1" si="147"/>
        <v>0</v>
      </c>
      <c r="V354" s="306">
        <f t="shared" ca="1" si="148"/>
        <v>1.0740104704933744</v>
      </c>
      <c r="W354" s="304">
        <f t="shared" ca="1" si="149"/>
        <v>5.8107942213927375</v>
      </c>
      <c r="Y354" s="314" t="str">
        <f t="shared" ca="1" si="167"/>
        <v/>
      </c>
      <c r="Z354" s="315" t="str">
        <f t="shared" ca="1" si="168"/>
        <v/>
      </c>
      <c r="AA354" s="316" t="str">
        <f t="shared" ca="1" si="169"/>
        <v/>
      </c>
      <c r="AC354" s="310" t="e">
        <f t="shared" ca="1" si="170"/>
        <v>#N/A</v>
      </c>
      <c r="AD354" s="323" t="e">
        <f t="shared" ca="1" si="171"/>
        <v>#N/A</v>
      </c>
      <c r="AE354" s="324" t="e">
        <f t="shared" ca="1" si="150"/>
        <v>#N/A</v>
      </c>
      <c r="AG354" s="306">
        <f t="shared" ca="1" si="172"/>
        <v>6.980956720174091</v>
      </c>
      <c r="AH354" s="304">
        <f t="shared" ca="1" si="173"/>
        <v>-1.9246324939302901</v>
      </c>
    </row>
    <row r="355" spans="1:34" x14ac:dyDescent="0.2">
      <c r="A355" s="347">
        <f t="shared" ca="1" si="151"/>
        <v>0.1</v>
      </c>
      <c r="B355" s="304">
        <f t="shared" ca="1" si="152"/>
        <v>21.700000000000003</v>
      </c>
      <c r="D355" s="306">
        <f t="shared" ca="1" si="153"/>
        <v>-0.81556717480318353</v>
      </c>
      <c r="E355" s="307">
        <f t="shared" ca="1" si="154"/>
        <v>-8.0069199177301655</v>
      </c>
      <c r="F355" s="304">
        <f t="shared" ca="1" si="155"/>
        <v>8.0483486744524484</v>
      </c>
      <c r="G355" s="306">
        <f t="shared" ca="1" si="156"/>
        <v>21.139479015957292</v>
      </c>
      <c r="H355" s="307">
        <f t="shared" ca="1" si="157"/>
        <v>-47.716786751633414</v>
      </c>
      <c r="I355" s="304">
        <f t="shared" ca="1" si="158"/>
        <v>52.18974335026909</v>
      </c>
      <c r="J355" s="306">
        <f t="shared" ca="1" si="159"/>
        <v>624.30051190378038</v>
      </c>
      <c r="K355" s="307">
        <f t="shared" ca="1" si="160"/>
        <v>1308.7859013597276</v>
      </c>
      <c r="L355" s="304">
        <f t="shared" ca="1" si="145"/>
        <v>1450.0591935370489</v>
      </c>
      <c r="M355" s="306">
        <f t="shared" ca="1" si="161"/>
        <v>-1.1537623179643905</v>
      </c>
      <c r="N355" s="304">
        <f t="shared" ca="1" si="162"/>
        <v>-66.105711380590506</v>
      </c>
      <c r="P355" s="310">
        <f t="shared" ca="1" si="163"/>
        <v>23</v>
      </c>
      <c r="Q355" s="304">
        <f t="shared" ca="1" si="164"/>
        <v>0</v>
      </c>
      <c r="R355" s="306">
        <f t="shared" ca="1" si="165"/>
        <v>0</v>
      </c>
      <c r="S355" s="307">
        <f t="shared" ca="1" si="166"/>
        <v>2.9362999999999984</v>
      </c>
      <c r="T355" s="304">
        <f t="shared" ca="1" si="146"/>
        <v>28.805102999999985</v>
      </c>
      <c r="U355" s="311">
        <f t="shared" ca="1" si="147"/>
        <v>0</v>
      </c>
      <c r="V355" s="306">
        <f t="shared" ca="1" si="148"/>
        <v>1.0745209688072037</v>
      </c>
      <c r="W355" s="304">
        <f t="shared" ca="1" si="149"/>
        <v>5.9721179791171366</v>
      </c>
      <c r="Y355" s="314" t="str">
        <f t="shared" ca="1" si="167"/>
        <v/>
      </c>
      <c r="Z355" s="315" t="str">
        <f t="shared" ca="1" si="168"/>
        <v/>
      </c>
      <c r="AA355" s="316" t="str">
        <f t="shared" ca="1" si="169"/>
        <v/>
      </c>
      <c r="AC355" s="310" t="e">
        <f t="shared" ca="1" si="170"/>
        <v>#N/A</v>
      </c>
      <c r="AD355" s="323" t="e">
        <f t="shared" ca="1" si="171"/>
        <v>#N/A</v>
      </c>
      <c r="AE355" s="324" t="e">
        <f t="shared" ca="1" si="150"/>
        <v>#N/A</v>
      </c>
      <c r="AG355" s="306">
        <f t="shared" ca="1" si="172"/>
        <v>6.9592259025746905</v>
      </c>
      <c r="AH355" s="304">
        <f t="shared" ca="1" si="173"/>
        <v>-1.9789511362574468</v>
      </c>
    </row>
    <row r="356" spans="1:34" x14ac:dyDescent="0.2">
      <c r="A356" s="347">
        <f t="shared" ca="1" si="151"/>
        <v>0.1</v>
      </c>
      <c r="B356" s="304">
        <f t="shared" ca="1" si="152"/>
        <v>21.800000000000004</v>
      </c>
      <c r="D356" s="306">
        <f t="shared" ca="1" si="153"/>
        <v>-0.82382899341176608</v>
      </c>
      <c r="E356" s="307">
        <f t="shared" ca="1" si="154"/>
        <v>-7.9504237839178424</v>
      </c>
      <c r="F356" s="304">
        <f t="shared" ca="1" si="155"/>
        <v>7.9929927157649994</v>
      </c>
      <c r="G356" s="306">
        <f t="shared" ca="1" si="156"/>
        <v>21.057096116616115</v>
      </c>
      <c r="H356" s="307">
        <f t="shared" ca="1" si="157"/>
        <v>-48.511829130025198</v>
      </c>
      <c r="I356" s="304">
        <f t="shared" ca="1" si="158"/>
        <v>52.88476966391336</v>
      </c>
      <c r="J356" s="306">
        <f t="shared" ca="1" si="159"/>
        <v>626.41034066040902</v>
      </c>
      <c r="K356" s="307">
        <f t="shared" ca="1" si="160"/>
        <v>1303.9744705656447</v>
      </c>
      <c r="L356" s="304">
        <f t="shared" ca="1" si="145"/>
        <v>1446.63033798315</v>
      </c>
      <c r="M356" s="306">
        <f t="shared" ca="1" si="161"/>
        <v>-1.1612759789395319</v>
      </c>
      <c r="N356" s="304">
        <f t="shared" ca="1" si="162"/>
        <v>-66.536212443158249</v>
      </c>
      <c r="P356" s="310">
        <f t="shared" ca="1" si="163"/>
        <v>23</v>
      </c>
      <c r="Q356" s="304">
        <f t="shared" ca="1" si="164"/>
        <v>0</v>
      </c>
      <c r="R356" s="306">
        <f t="shared" ca="1" si="165"/>
        <v>0</v>
      </c>
      <c r="S356" s="307">
        <f t="shared" ca="1" si="166"/>
        <v>2.9362999999999984</v>
      </c>
      <c r="T356" s="304">
        <f t="shared" ca="1" si="146"/>
        <v>28.805102999999985</v>
      </c>
      <c r="U356" s="311">
        <f t="shared" ca="1" si="147"/>
        <v>0</v>
      </c>
      <c r="V356" s="306">
        <f t="shared" ca="1" si="148"/>
        <v>1.0750403078636901</v>
      </c>
      <c r="W356" s="304">
        <f t="shared" ca="1" si="149"/>
        <v>6.1352059188407173</v>
      </c>
      <c r="Y356" s="314" t="str">
        <f t="shared" ca="1" si="167"/>
        <v/>
      </c>
      <c r="Z356" s="315" t="str">
        <f t="shared" ca="1" si="168"/>
        <v/>
      </c>
      <c r="AA356" s="316" t="str">
        <f t="shared" ca="1" si="169"/>
        <v/>
      </c>
      <c r="AC356" s="310" t="e">
        <f t="shared" ca="1" si="170"/>
        <v>#N/A</v>
      </c>
      <c r="AD356" s="323" t="e">
        <f t="shared" ca="1" si="171"/>
        <v>#N/A</v>
      </c>
      <c r="AE356" s="324" t="e">
        <f t="shared" ca="1" si="150"/>
        <v>#N/A</v>
      </c>
      <c r="AG356" s="306">
        <f t="shared" ca="1" si="172"/>
        <v>6.9353351315434395</v>
      </c>
      <c r="AH356" s="304">
        <f t="shared" ca="1" si="173"/>
        <v>-2.0338923063437453</v>
      </c>
    </row>
    <row r="357" spans="1:34" x14ac:dyDescent="0.2">
      <c r="A357" s="347">
        <f t="shared" ca="1" si="151"/>
        <v>0.1</v>
      </c>
      <c r="B357" s="304">
        <f t="shared" ca="1" si="152"/>
        <v>21.900000000000006</v>
      </c>
      <c r="D357" s="306">
        <f t="shared" ca="1" si="153"/>
        <v>-0.83194876421950725</v>
      </c>
      <c r="E357" s="307">
        <f t="shared" ca="1" si="154"/>
        <v>-7.8933370341647029</v>
      </c>
      <c r="F357" s="304">
        <f t="shared" ca="1" si="155"/>
        <v>7.9370591708265845</v>
      </c>
      <c r="G357" s="306">
        <f t="shared" ca="1" si="156"/>
        <v>20.973901240194166</v>
      </c>
      <c r="H357" s="307">
        <f t="shared" ca="1" si="157"/>
        <v>-49.301162833441666</v>
      </c>
      <c r="I357" s="304">
        <f t="shared" ca="1" si="158"/>
        <v>53.577133088314348</v>
      </c>
      <c r="J357" s="306">
        <f t="shared" ca="1" si="159"/>
        <v>628.51189052824952</v>
      </c>
      <c r="K357" s="307">
        <f t="shared" ca="1" si="160"/>
        <v>1299.0838209674714</v>
      </c>
      <c r="L357" s="304">
        <f t="shared" ca="1" si="145"/>
        <v>1443.1375438380223</v>
      </c>
      <c r="M357" s="306">
        <f t="shared" ca="1" si="161"/>
        <v>-1.1685665449451959</v>
      </c>
      <c r="N357" s="304">
        <f t="shared" ca="1" si="162"/>
        <v>-66.953931105544342</v>
      </c>
      <c r="P357" s="310">
        <f t="shared" ca="1" si="163"/>
        <v>23</v>
      </c>
      <c r="Q357" s="304">
        <f t="shared" ca="1" si="164"/>
        <v>0</v>
      </c>
      <c r="R357" s="306">
        <f t="shared" ca="1" si="165"/>
        <v>0</v>
      </c>
      <c r="S357" s="307">
        <f t="shared" ca="1" si="166"/>
        <v>2.9362999999999984</v>
      </c>
      <c r="T357" s="304">
        <f t="shared" ca="1" si="146"/>
        <v>28.805102999999985</v>
      </c>
      <c r="U357" s="311">
        <f t="shared" ca="1" si="147"/>
        <v>0</v>
      </c>
      <c r="V357" s="306">
        <f t="shared" ca="1" si="148"/>
        <v>1.075568438148635</v>
      </c>
      <c r="W357" s="304">
        <f t="shared" ca="1" si="149"/>
        <v>6.2999942427453579</v>
      </c>
      <c r="Y357" s="314" t="str">
        <f t="shared" ca="1" si="167"/>
        <v/>
      </c>
      <c r="Z357" s="315" t="str">
        <f t="shared" ca="1" si="168"/>
        <v/>
      </c>
      <c r="AA357" s="316" t="str">
        <f t="shared" ca="1" si="169"/>
        <v/>
      </c>
      <c r="AC357" s="310" t="e">
        <f t="shared" ca="1" si="170"/>
        <v>#N/A</v>
      </c>
      <c r="AD357" s="323" t="e">
        <f t="shared" ca="1" si="171"/>
        <v>#N/A</v>
      </c>
      <c r="AE357" s="324" t="e">
        <f t="shared" ca="1" si="150"/>
        <v>#N/A</v>
      </c>
      <c r="AG357" s="306">
        <f t="shared" ca="1" si="172"/>
        <v>6.909395553710139</v>
      </c>
      <c r="AH357" s="304">
        <f t="shared" ca="1" si="173"/>
        <v>-2.08943429446607</v>
      </c>
    </row>
    <row r="358" spans="1:34" x14ac:dyDescent="0.2">
      <c r="A358" s="347">
        <f t="shared" ca="1" si="151"/>
        <v>0.1</v>
      </c>
      <c r="B358" s="304">
        <f t="shared" ca="1" si="152"/>
        <v>22.000000000000007</v>
      </c>
      <c r="D358" s="306">
        <f t="shared" ca="1" si="153"/>
        <v>-0.83992300281679255</v>
      </c>
      <c r="E358" s="307">
        <f t="shared" ca="1" si="154"/>
        <v>-7.83568057057178</v>
      </c>
      <c r="F358" s="304">
        <f t="shared" ca="1" si="155"/>
        <v>7.8805685489498076</v>
      </c>
      <c r="G358" s="306">
        <f t="shared" ca="1" si="156"/>
        <v>20.889908939912488</v>
      </c>
      <c r="H358" s="307">
        <f t="shared" ca="1" si="157"/>
        <v>-50.084730890498847</v>
      </c>
      <c r="I358" s="304">
        <f t="shared" ca="1" si="158"/>
        <v>54.266643197193659</v>
      </c>
      <c r="J358" s="306">
        <f t="shared" ca="1" si="159"/>
        <v>630.60508103725488</v>
      </c>
      <c r="K358" s="307">
        <f t="shared" ca="1" si="160"/>
        <v>1294.1145262812745</v>
      </c>
      <c r="L358" s="304">
        <f t="shared" ca="1" si="145"/>
        <v>1439.5815973268795</v>
      </c>
      <c r="M358" s="306">
        <f t="shared" ca="1" si="161"/>
        <v>-1.1756433856874364</v>
      </c>
      <c r="N358" s="304">
        <f t="shared" ca="1" si="162"/>
        <v>-67.359404212360957</v>
      </c>
      <c r="P358" s="310">
        <f t="shared" ca="1" si="163"/>
        <v>23</v>
      </c>
      <c r="Q358" s="304">
        <f t="shared" ca="1" si="164"/>
        <v>0</v>
      </c>
      <c r="R358" s="306">
        <f t="shared" ca="1" si="165"/>
        <v>0</v>
      </c>
      <c r="S358" s="307">
        <f t="shared" ca="1" si="166"/>
        <v>2.9362999999999984</v>
      </c>
      <c r="T358" s="304">
        <f t="shared" ca="1" si="146"/>
        <v>28.805102999999985</v>
      </c>
      <c r="U358" s="311">
        <f t="shared" ca="1" si="147"/>
        <v>0</v>
      </c>
      <c r="V358" s="306">
        <f t="shared" ca="1" si="148"/>
        <v>1.0761053096161393</v>
      </c>
      <c r="W358" s="304">
        <f t="shared" ca="1" si="149"/>
        <v>6.4664191448544779</v>
      </c>
      <c r="Y358" s="314" t="str">
        <f t="shared" ca="1" si="167"/>
        <v/>
      </c>
      <c r="Z358" s="315" t="str">
        <f t="shared" ca="1" si="168"/>
        <v/>
      </c>
      <c r="AA358" s="316" t="str">
        <f t="shared" ca="1" si="169"/>
        <v/>
      </c>
      <c r="AC358" s="310">
        <f t="shared" ca="1" si="170"/>
        <v>22.000000000000007</v>
      </c>
      <c r="AD358" s="323">
        <f t="shared" ca="1" si="171"/>
        <v>630.60508103725488</v>
      </c>
      <c r="AE358" s="324" t="e">
        <f t="shared" ca="1" si="150"/>
        <v>#N/A</v>
      </c>
      <c r="AG358" s="306">
        <f t="shared" ca="1" si="172"/>
        <v>6.8815123235954312</v>
      </c>
      <c r="AH358" s="304">
        <f t="shared" ca="1" si="173"/>
        <v>-2.1455553733424244</v>
      </c>
    </row>
    <row r="359" spans="1:34" x14ac:dyDescent="0.2">
      <c r="A359" s="347">
        <f t="shared" ca="1" si="151"/>
        <v>0.1</v>
      </c>
      <c r="B359" s="304">
        <f t="shared" ca="1" si="152"/>
        <v>22.100000000000009</v>
      </c>
      <c r="D359" s="306">
        <f t="shared" ca="1" si="153"/>
        <v>-0.84774847135770437</v>
      </c>
      <c r="E359" s="307">
        <f t="shared" ca="1" si="154"/>
        <v>-7.7774753885758079</v>
      </c>
      <c r="F359" s="304">
        <f t="shared" ca="1" si="155"/>
        <v>7.8235414545199244</v>
      </c>
      <c r="G359" s="306">
        <f t="shared" ca="1" si="156"/>
        <v>20.805134092776719</v>
      </c>
      <c r="H359" s="307">
        <f t="shared" ca="1" si="157"/>
        <v>-50.862478429356429</v>
      </c>
      <c r="I359" s="304">
        <f t="shared" ca="1" si="158"/>
        <v>54.95311926174135</v>
      </c>
      <c r="J359" s="306">
        <f t="shared" ca="1" si="159"/>
        <v>632.68983318888934</v>
      </c>
      <c r="K359" s="307">
        <f t="shared" ca="1" si="160"/>
        <v>1289.0671658152817</v>
      </c>
      <c r="L359" s="304">
        <f t="shared" ca="1" si="145"/>
        <v>1435.9632944485829</v>
      </c>
      <c r="M359" s="306">
        <f t="shared" ca="1" si="161"/>
        <v>-1.1825153938312218</v>
      </c>
      <c r="N359" s="304">
        <f t="shared" ca="1" si="162"/>
        <v>-67.753141275779399</v>
      </c>
      <c r="P359" s="310">
        <f t="shared" ca="1" si="163"/>
        <v>23</v>
      </c>
      <c r="Q359" s="304">
        <f t="shared" ca="1" si="164"/>
        <v>0</v>
      </c>
      <c r="R359" s="306">
        <f t="shared" ca="1" si="165"/>
        <v>0</v>
      </c>
      <c r="S359" s="307">
        <f t="shared" ca="1" si="166"/>
        <v>2.9362999999999984</v>
      </c>
      <c r="T359" s="304">
        <f t="shared" ca="1" si="146"/>
        <v>28.805102999999985</v>
      </c>
      <c r="U359" s="311">
        <f t="shared" ca="1" si="147"/>
        <v>0</v>
      </c>
      <c r="V359" s="306">
        <f t="shared" ca="1" si="148"/>
        <v>1.0766508717057028</v>
      </c>
      <c r="W359" s="304">
        <f t="shared" ca="1" si="149"/>
        <v>6.6344168538842654</v>
      </c>
      <c r="Y359" s="314" t="str">
        <f t="shared" ca="1" si="167"/>
        <v/>
      </c>
      <c r="Z359" s="315" t="str">
        <f t="shared" ca="1" si="168"/>
        <v/>
      </c>
      <c r="AA359" s="316" t="str">
        <f t="shared" ca="1" si="169"/>
        <v/>
      </c>
      <c r="AC359" s="310" t="e">
        <f t="shared" ca="1" si="170"/>
        <v>#N/A</v>
      </c>
      <c r="AD359" s="323" t="e">
        <f t="shared" ca="1" si="171"/>
        <v>#N/A</v>
      </c>
      <c r="AE359" s="324" t="e">
        <f t="shared" ca="1" si="150"/>
        <v>#N/A</v>
      </c>
      <c r="AG359" s="306">
        <f t="shared" ca="1" si="172"/>
        <v>6.8517850297567922</v>
      </c>
      <c r="AH359" s="304">
        <f t="shared" ca="1" si="173"/>
        <v>-2.2022338129123322</v>
      </c>
    </row>
    <row r="360" spans="1:34" x14ac:dyDescent="0.2">
      <c r="A360" s="347">
        <f t="shared" ca="1" si="151"/>
        <v>0.1</v>
      </c>
      <c r="B360" s="304">
        <f t="shared" ca="1" si="152"/>
        <v>22.20000000000001</v>
      </c>
      <c r="D360" s="306">
        <f t="shared" ca="1" si="153"/>
        <v>-0.85542216822616846</v>
      </c>
      <c r="E360" s="307">
        <f t="shared" ca="1" si="154"/>
        <v>-7.718742554343712</v>
      </c>
      <c r="F360" s="304">
        <f t="shared" ca="1" si="155"/>
        <v>7.7659985646489309</v>
      </c>
      <c r="G360" s="306">
        <f t="shared" ca="1" si="156"/>
        <v>20.719591875954102</v>
      </c>
      <c r="H360" s="307">
        <f t="shared" ca="1" si="157"/>
        <v>-51.634352684790798</v>
      </c>
      <c r="I360" s="304">
        <f t="shared" ca="1" si="158"/>
        <v>55.636389752422524</v>
      </c>
      <c r="J360" s="306">
        <f t="shared" ca="1" si="159"/>
        <v>634.76606948732592</v>
      </c>
      <c r="K360" s="307">
        <f t="shared" ca="1" si="160"/>
        <v>1283.9423242595742</v>
      </c>
      <c r="L360" s="304">
        <f t="shared" ca="1" si="145"/>
        <v>1432.2834408724643</v>
      </c>
      <c r="M360" s="306">
        <f t="shared" ca="1" si="161"/>
        <v>-1.1891910116071722</v>
      </c>
      <c r="N360" s="304">
        <f t="shared" ca="1" si="162"/>
        <v>-68.135625999983858</v>
      </c>
      <c r="P360" s="310">
        <f t="shared" ca="1" si="163"/>
        <v>23</v>
      </c>
      <c r="Q360" s="304">
        <f t="shared" ca="1" si="164"/>
        <v>0</v>
      </c>
      <c r="R360" s="306">
        <f t="shared" ca="1" si="165"/>
        <v>0</v>
      </c>
      <c r="S360" s="307">
        <f t="shared" ca="1" si="166"/>
        <v>2.9362999999999984</v>
      </c>
      <c r="T360" s="304">
        <f t="shared" ca="1" si="146"/>
        <v>28.805102999999985</v>
      </c>
      <c r="U360" s="311">
        <f t="shared" ca="1" si="147"/>
        <v>0</v>
      </c>
      <c r="V360" s="306">
        <f t="shared" ca="1" si="148"/>
        <v>1.0772050733594354</v>
      </c>
      <c r="W360" s="304">
        <f t="shared" ca="1" si="149"/>
        <v>6.8039236754896413</v>
      </c>
      <c r="Y360" s="314" t="str">
        <f t="shared" ca="1" si="167"/>
        <v/>
      </c>
      <c r="Z360" s="315" t="str">
        <f t="shared" ca="1" si="168"/>
        <v/>
      </c>
      <c r="AA360" s="316" t="str">
        <f t="shared" ca="1" si="169"/>
        <v/>
      </c>
      <c r="AC360" s="310" t="e">
        <f t="shared" ca="1" si="170"/>
        <v>#N/A</v>
      </c>
      <c r="AD360" s="323" t="e">
        <f t="shared" ca="1" si="171"/>
        <v>#N/A</v>
      </c>
      <c r="AE360" s="324" t="e">
        <f t="shared" ca="1" si="150"/>
        <v>#N/A</v>
      </c>
      <c r="AG360" s="306">
        <f t="shared" ca="1" si="172"/>
        <v>6.8203080878999192</v>
      </c>
      <c r="AH360" s="304">
        <f t="shared" ca="1" si="173"/>
        <v>-2.259447894930446</v>
      </c>
    </row>
    <row r="361" spans="1:34" x14ac:dyDescent="0.2">
      <c r="A361" s="347">
        <f t="shared" ca="1" si="151"/>
        <v>0.1</v>
      </c>
      <c r="B361" s="304">
        <f t="shared" ca="1" si="152"/>
        <v>22.300000000000011</v>
      </c>
      <c r="D361" s="306">
        <f t="shared" ca="1" si="153"/>
        <v>-0.86294131832072252</v>
      </c>
      <c r="E361" s="307">
        <f t="shared" ca="1" si="154"/>
        <v>-7.659503183112351</v>
      </c>
      <c r="F361" s="304">
        <f t="shared" ca="1" si="155"/>
        <v>7.7079606077725478</v>
      </c>
      <c r="G361" s="306">
        <f t="shared" ca="1" si="156"/>
        <v>20.633297744122029</v>
      </c>
      <c r="H361" s="307">
        <f t="shared" ca="1" si="157"/>
        <v>-52.400303003102032</v>
      </c>
      <c r="I361" s="304">
        <f t="shared" ca="1" si="158"/>
        <v>56.316291875570919</v>
      </c>
      <c r="J361" s="306">
        <f t="shared" ca="1" si="159"/>
        <v>636.83371396832968</v>
      </c>
      <c r="K361" s="307">
        <f t="shared" ca="1" si="160"/>
        <v>1278.7405914751796</v>
      </c>
      <c r="L361" s="304">
        <f t="shared" ca="1" si="145"/>
        <v>1428.5428518364399</v>
      </c>
      <c r="M361" s="306">
        <f t="shared" ca="1" si="161"/>
        <v>-1.1956782559833372</v>
      </c>
      <c r="N361" s="304">
        <f t="shared" ca="1" si="162"/>
        <v>-68.507317723408093</v>
      </c>
      <c r="P361" s="310">
        <f t="shared" ca="1" si="163"/>
        <v>23</v>
      </c>
      <c r="Q361" s="304">
        <f t="shared" ca="1" si="164"/>
        <v>0</v>
      </c>
      <c r="R361" s="306">
        <f t="shared" ca="1" si="165"/>
        <v>0</v>
      </c>
      <c r="S361" s="307">
        <f t="shared" ca="1" si="166"/>
        <v>2.9362999999999984</v>
      </c>
      <c r="T361" s="304">
        <f t="shared" ca="1" si="146"/>
        <v>28.805102999999985</v>
      </c>
      <c r="U361" s="311">
        <f t="shared" ca="1" si="147"/>
        <v>0</v>
      </c>
      <c r="V361" s="306">
        <f t="shared" ca="1" si="148"/>
        <v>1.0777678630393512</v>
      </c>
      <c r="W361" s="304">
        <f t="shared" ca="1" si="149"/>
        <v>6.9748760338514275</v>
      </c>
      <c r="Y361" s="314" t="str">
        <f t="shared" ca="1" si="167"/>
        <v/>
      </c>
      <c r="Z361" s="315" t="str">
        <f t="shared" ca="1" si="168"/>
        <v/>
      </c>
      <c r="AA361" s="316" t="str">
        <f t="shared" ca="1" si="169"/>
        <v/>
      </c>
      <c r="AC361" s="310" t="e">
        <f t="shared" ca="1" si="170"/>
        <v>#N/A</v>
      </c>
      <c r="AD361" s="323" t="e">
        <f t="shared" ca="1" si="171"/>
        <v>#N/A</v>
      </c>
      <c r="AE361" s="324" t="e">
        <f t="shared" ca="1" si="150"/>
        <v>#N/A</v>
      </c>
      <c r="AG361" s="306">
        <f t="shared" ca="1" si="172"/>
        <v>6.7871711032823736</v>
      </c>
      <c r="AH361" s="304">
        <f t="shared" ca="1" si="173"/>
        <v>-2.3171759273540324</v>
      </c>
    </row>
    <row r="362" spans="1:34" x14ac:dyDescent="0.2">
      <c r="A362" s="347">
        <f t="shared" ca="1" si="151"/>
        <v>0.1</v>
      </c>
      <c r="B362" s="304">
        <f t="shared" ca="1" si="152"/>
        <v>22.400000000000013</v>
      </c>
      <c r="D362" s="306">
        <f t="shared" ca="1" si="153"/>
        <v>-0.87030336390614393</v>
      </c>
      <c r="E362" s="307">
        <f t="shared" ca="1" si="154"/>
        <v>-7.5997784184162942</v>
      </c>
      <c r="F362" s="304">
        <f t="shared" ca="1" si="155"/>
        <v>7.6494483431324918</v>
      </c>
      <c r="G362" s="306">
        <f t="shared" ca="1" si="156"/>
        <v>20.546267407731413</v>
      </c>
      <c r="H362" s="307">
        <f t="shared" ca="1" si="157"/>
        <v>-53.160280844943664</v>
      </c>
      <c r="I362" s="304">
        <f t="shared" ca="1" si="158"/>
        <v>56.992671142027461</v>
      </c>
      <c r="J362" s="306">
        <f t="shared" ca="1" si="159"/>
        <v>638.89269222592236</v>
      </c>
      <c r="K362" s="307">
        <f t="shared" ca="1" si="160"/>
        <v>1273.4625622827773</v>
      </c>
      <c r="L362" s="304">
        <f t="shared" ca="1" si="145"/>
        <v>1424.7423520466793</v>
      </c>
      <c r="M362" s="306">
        <f t="shared" ca="1" si="161"/>
        <v>-1.2019847424516275</v>
      </c>
      <c r="N362" s="304">
        <f t="shared" ca="1" si="162"/>
        <v>-68.86865278159749</v>
      </c>
      <c r="P362" s="310">
        <f t="shared" ca="1" si="163"/>
        <v>23</v>
      </c>
      <c r="Q362" s="304">
        <f t="shared" ca="1" si="164"/>
        <v>0</v>
      </c>
      <c r="R362" s="306">
        <f t="shared" ca="1" si="165"/>
        <v>0</v>
      </c>
      <c r="S362" s="307">
        <f t="shared" ca="1" si="166"/>
        <v>2.9362999999999984</v>
      </c>
      <c r="T362" s="304">
        <f t="shared" ca="1" si="146"/>
        <v>28.805102999999985</v>
      </c>
      <c r="U362" s="311">
        <f t="shared" ca="1" si="147"/>
        <v>0</v>
      </c>
      <c r="V362" s="306">
        <f t="shared" ca="1" si="148"/>
        <v>1.0783391887447396</v>
      </c>
      <c r="W362" s="304">
        <f t="shared" ca="1" si="149"/>
        <v>7.1472105125545227</v>
      </c>
      <c r="Y362" s="314" t="str">
        <f t="shared" ca="1" si="167"/>
        <v/>
      </c>
      <c r="Z362" s="315" t="str">
        <f t="shared" ca="1" si="168"/>
        <v/>
      </c>
      <c r="AA362" s="316" t="str">
        <f t="shared" ca="1" si="169"/>
        <v/>
      </c>
      <c r="AC362" s="310" t="e">
        <f t="shared" ca="1" si="170"/>
        <v>#N/A</v>
      </c>
      <c r="AD362" s="323" t="e">
        <f t="shared" ca="1" si="171"/>
        <v>#N/A</v>
      </c>
      <c r="AE362" s="324" t="e">
        <f t="shared" ca="1" si="150"/>
        <v>#N/A</v>
      </c>
      <c r="AG362" s="306">
        <f t="shared" ca="1" si="172"/>
        <v>6.752459204637713</v>
      </c>
      <c r="AH362" s="304">
        <f t="shared" ca="1" si="173"/>
        <v>-2.3753962585060897</v>
      </c>
    </row>
    <row r="363" spans="1:34" x14ac:dyDescent="0.2">
      <c r="A363" s="347">
        <f t="shared" ca="1" si="151"/>
        <v>0.1</v>
      </c>
      <c r="B363" s="304">
        <f t="shared" ca="1" si="152"/>
        <v>22.500000000000014</v>
      </c>
      <c r="D363" s="306">
        <f t="shared" ca="1" si="153"/>
        <v>-0.87750595598432646</v>
      </c>
      <c r="E363" s="307">
        <f t="shared" ca="1" si="154"/>
        <v>-7.5395894121535632</v>
      </c>
      <c r="F363" s="304">
        <f t="shared" ca="1" si="155"/>
        <v>7.5904825410935555</v>
      </c>
      <c r="G363" s="306">
        <f t="shared" ca="1" si="156"/>
        <v>20.458516812132981</v>
      </c>
      <c r="H363" s="307">
        <f t="shared" ca="1" si="157"/>
        <v>-53.914239786159023</v>
      </c>
      <c r="I363" s="304">
        <f t="shared" ca="1" si="158"/>
        <v>57.665380965287831</v>
      </c>
      <c r="J363" s="306">
        <f t="shared" ca="1" si="159"/>
        <v>640.94293143691561</v>
      </c>
      <c r="K363" s="307">
        <f t="shared" ca="1" si="160"/>
        <v>1268.1088362512221</v>
      </c>
      <c r="L363" s="304">
        <f t="shared" ca="1" si="145"/>
        <v>1420.8827755791031</v>
      </c>
      <c r="M363" s="306">
        <f t="shared" ca="1" si="161"/>
        <v>-1.208117707483181</v>
      </c>
      <c r="N363" s="304">
        <f t="shared" ca="1" si="162"/>
        <v>-69.220045793806833</v>
      </c>
      <c r="P363" s="310">
        <f t="shared" ca="1" si="163"/>
        <v>23</v>
      </c>
      <c r="Q363" s="304">
        <f t="shared" ca="1" si="164"/>
        <v>0</v>
      </c>
      <c r="R363" s="306">
        <f t="shared" ca="1" si="165"/>
        <v>0</v>
      </c>
      <c r="S363" s="307">
        <f t="shared" ca="1" si="166"/>
        <v>2.9362999999999984</v>
      </c>
      <c r="T363" s="304">
        <f t="shared" ca="1" si="146"/>
        <v>28.805102999999985</v>
      </c>
      <c r="U363" s="311">
        <f t="shared" ca="1" si="147"/>
        <v>0</v>
      </c>
      <c r="V363" s="306">
        <f t="shared" ca="1" si="148"/>
        <v>1.0789189980295812</v>
      </c>
      <c r="W363" s="304">
        <f t="shared" ca="1" si="149"/>
        <v>7.3208638947099329</v>
      </c>
      <c r="Y363" s="314" t="str">
        <f t="shared" ca="1" si="167"/>
        <v/>
      </c>
      <c r="Z363" s="315" t="str">
        <f t="shared" ca="1" si="168"/>
        <v/>
      </c>
      <c r="AA363" s="316" t="str">
        <f t="shared" ca="1" si="169"/>
        <v/>
      </c>
      <c r="AC363" s="310" t="e">
        <f t="shared" ca="1" si="170"/>
        <v>#N/A</v>
      </c>
      <c r="AD363" s="323" t="e">
        <f t="shared" ca="1" si="171"/>
        <v>#N/A</v>
      </c>
      <c r="AE363" s="324" t="e">
        <f t="shared" ca="1" si="150"/>
        <v>#N/A</v>
      </c>
      <c r="AG363" s="306">
        <f t="shared" ca="1" si="172"/>
        <v>6.7162533517375183</v>
      </c>
      <c r="AH363" s="304">
        <f t="shared" ca="1" si="173"/>
        <v>-2.4340872909970122</v>
      </c>
    </row>
    <row r="364" spans="1:34" x14ac:dyDescent="0.2">
      <c r="A364" s="347">
        <f t="shared" ca="1" si="151"/>
        <v>0.1</v>
      </c>
      <c r="B364" s="304">
        <f t="shared" ca="1" si="152"/>
        <v>22.600000000000016</v>
      </c>
      <c r="D364" s="306">
        <f t="shared" ca="1" si="153"/>
        <v>-0.88454694614065121</v>
      </c>
      <c r="E364" s="307">
        <f t="shared" ca="1" si="154"/>
        <v>-7.4789573054455607</v>
      </c>
      <c r="F364" s="304">
        <f t="shared" ca="1" si="155"/>
        <v>7.5310839642513798</v>
      </c>
      <c r="G364" s="306">
        <f t="shared" ca="1" si="156"/>
        <v>20.370062117518916</v>
      </c>
      <c r="H364" s="307">
        <f t="shared" ca="1" si="157"/>
        <v>-54.662135516703579</v>
      </c>
      <c r="I364" s="304">
        <f t="shared" ca="1" si="158"/>
        <v>58.334282286816951</v>
      </c>
      <c r="J364" s="306">
        <f t="shared" ca="1" si="159"/>
        <v>642.98436038339821</v>
      </c>
      <c r="K364" s="307">
        <f t="shared" ca="1" si="160"/>
        <v>1262.6800174860789</v>
      </c>
      <c r="L364" s="304">
        <f t="shared" ca="1" si="145"/>
        <v>1416.9649657829555</v>
      </c>
      <c r="M364" s="306">
        <f t="shared" ca="1" si="161"/>
        <v>-1.2140840297099043</v>
      </c>
      <c r="N364" s="304">
        <f t="shared" ca="1" si="162"/>
        <v>-69.561890876613163</v>
      </c>
      <c r="P364" s="310">
        <f t="shared" ca="1" si="163"/>
        <v>23</v>
      </c>
      <c r="Q364" s="304">
        <f t="shared" ca="1" si="164"/>
        <v>0</v>
      </c>
      <c r="R364" s="306">
        <f t="shared" ca="1" si="165"/>
        <v>0</v>
      </c>
      <c r="S364" s="307">
        <f t="shared" ca="1" si="166"/>
        <v>2.9362999999999984</v>
      </c>
      <c r="T364" s="304">
        <f t="shared" ca="1" si="146"/>
        <v>28.805102999999985</v>
      </c>
      <c r="U364" s="311">
        <f t="shared" ca="1" si="147"/>
        <v>0</v>
      </c>
      <c r="V364" s="306">
        <f t="shared" ca="1" si="148"/>
        <v>1.079507238020005</v>
      </c>
      <c r="W364" s="304">
        <f t="shared" ca="1" si="149"/>
        <v>7.4957732022767241</v>
      </c>
      <c r="Y364" s="314" t="str">
        <f t="shared" ca="1" si="167"/>
        <v/>
      </c>
      <c r="Z364" s="315" t="str">
        <f t="shared" ca="1" si="168"/>
        <v/>
      </c>
      <c r="AA364" s="316" t="str">
        <f t="shared" ca="1" si="169"/>
        <v/>
      </c>
      <c r="AC364" s="310" t="e">
        <f t="shared" ca="1" si="170"/>
        <v>#N/A</v>
      </c>
      <c r="AD364" s="323" t="e">
        <f t="shared" ca="1" si="171"/>
        <v>#N/A</v>
      </c>
      <c r="AE364" s="324" t="e">
        <f t="shared" ca="1" si="150"/>
        <v>#N/A</v>
      </c>
      <c r="AG364" s="306">
        <f t="shared" ca="1" si="172"/>
        <v>6.6786306185912157</v>
      </c>
      <c r="AH364" s="304">
        <f t="shared" ca="1" si="173"/>
        <v>-2.4932274953887332</v>
      </c>
    </row>
    <row r="365" spans="1:34" x14ac:dyDescent="0.2">
      <c r="A365" s="347">
        <f t="shared" ca="1" si="151"/>
        <v>0.1</v>
      </c>
      <c r="B365" s="304">
        <f t="shared" ca="1" si="152"/>
        <v>22.700000000000017</v>
      </c>
      <c r="D365" s="306">
        <f t="shared" ca="1" si="153"/>
        <v>-0.89142437882576875</v>
      </c>
      <c r="E365" s="307">
        <f t="shared" ca="1" si="154"/>
        <v>-7.4179032102528284</v>
      </c>
      <c r="F365" s="304">
        <f t="shared" ca="1" si="155"/>
        <v>7.4712733492922156</v>
      </c>
      <c r="G365" s="306">
        <f t="shared" ca="1" si="156"/>
        <v>20.280919679636341</v>
      </c>
      <c r="H365" s="307">
        <f t="shared" ca="1" si="157"/>
        <v>-55.403925837728863</v>
      </c>
      <c r="I365" s="304">
        <f t="shared" ca="1" si="158"/>
        <v>58.99924322637046</v>
      </c>
      <c r="J365" s="306">
        <f t="shared" ca="1" si="159"/>
        <v>645.01690947325596</v>
      </c>
      <c r="K365" s="307">
        <f t="shared" ca="1" si="160"/>
        <v>1257.1767144183573</v>
      </c>
      <c r="L365" s="304">
        <f t="shared" ca="1" si="145"/>
        <v>1412.989775186702</v>
      </c>
      <c r="M365" s="306">
        <f t="shared" ca="1" si="161"/>
        <v>-1.2198902498910351</v>
      </c>
      <c r="N365" s="304">
        <f t="shared" ca="1" si="162"/>
        <v>-69.894562787915646</v>
      </c>
      <c r="P365" s="310">
        <f t="shared" ca="1" si="163"/>
        <v>23</v>
      </c>
      <c r="Q365" s="304">
        <f t="shared" ca="1" si="164"/>
        <v>0</v>
      </c>
      <c r="R365" s="306">
        <f t="shared" ca="1" si="165"/>
        <v>0</v>
      </c>
      <c r="S365" s="307">
        <f t="shared" ca="1" si="166"/>
        <v>2.9362999999999984</v>
      </c>
      <c r="T365" s="304">
        <f t="shared" ca="1" si="146"/>
        <v>28.805102999999985</v>
      </c>
      <c r="U365" s="311">
        <f t="shared" ca="1" si="147"/>
        <v>0</v>
      </c>
      <c r="V365" s="306">
        <f t="shared" ca="1" si="148"/>
        <v>1.0801038554317606</v>
      </c>
      <c r="W365" s="304">
        <f t="shared" ca="1" si="149"/>
        <v>7.6718757345428603</v>
      </c>
      <c r="Y365" s="314" t="str">
        <f t="shared" ca="1" si="167"/>
        <v/>
      </c>
      <c r="Z365" s="315" t="str">
        <f t="shared" ca="1" si="168"/>
        <v/>
      </c>
      <c r="AA365" s="316" t="str">
        <f t="shared" ca="1" si="169"/>
        <v/>
      </c>
      <c r="AC365" s="310" t="e">
        <f t="shared" ca="1" si="170"/>
        <v>#N/A</v>
      </c>
      <c r="AD365" s="323" t="e">
        <f t="shared" ca="1" si="171"/>
        <v>#N/A</v>
      </c>
      <c r="AE365" s="324" t="e">
        <f t="shared" ca="1" si="150"/>
        <v>#N/A</v>
      </c>
      <c r="AG365" s="306">
        <f t="shared" ca="1" si="172"/>
        <v>6.6396644541628298</v>
      </c>
      <c r="AH365" s="304">
        <f t="shared" ca="1" si="173"/>
        <v>-2.5527954235863937</v>
      </c>
    </row>
    <row r="366" spans="1:34" x14ac:dyDescent="0.2">
      <c r="A366" s="347">
        <f t="shared" ca="1" si="151"/>
        <v>0.1</v>
      </c>
      <c r="B366" s="304">
        <f t="shared" ca="1" si="152"/>
        <v>22.800000000000018</v>
      </c>
      <c r="D366" s="306">
        <f t="shared" ca="1" si="153"/>
        <v>-0.89813648403609969</v>
      </c>
      <c r="E366" s="307">
        <f t="shared" ca="1" si="154"/>
        <v>-7.3564481917130262</v>
      </c>
      <c r="F366" s="304">
        <f t="shared" ca="1" si="155"/>
        <v>7.4110713895707807</v>
      </c>
      <c r="G366" s="306">
        <f t="shared" ca="1" si="156"/>
        <v>20.191106031232732</v>
      </c>
      <c r="H366" s="307">
        <f t="shared" ca="1" si="157"/>
        <v>-56.139570656900169</v>
      </c>
      <c r="I366" s="304">
        <f t="shared" ca="1" si="158"/>
        <v>59.660138755332852</v>
      </c>
      <c r="J366" s="306">
        <f t="shared" ca="1" si="159"/>
        <v>647.04051075879943</v>
      </c>
      <c r="K366" s="307">
        <f t="shared" ca="1" si="160"/>
        <v>1251.5995395936259</v>
      </c>
      <c r="L366" s="304">
        <f t="shared" ca="1" si="145"/>
        <v>1408.9580654064848</v>
      </c>
      <c r="M366" s="306">
        <f t="shared" ca="1" si="161"/>
        <v>-1.2255425897241246</v>
      </c>
      <c r="N366" s="304">
        <f t="shared" ca="1" si="162"/>
        <v>-70.218418004725351</v>
      </c>
      <c r="P366" s="310">
        <f t="shared" ca="1" si="163"/>
        <v>23</v>
      </c>
      <c r="Q366" s="304">
        <f t="shared" ca="1" si="164"/>
        <v>0</v>
      </c>
      <c r="R366" s="306">
        <f t="shared" ca="1" si="165"/>
        <v>0</v>
      </c>
      <c r="S366" s="307">
        <f t="shared" ca="1" si="166"/>
        <v>2.9362999999999984</v>
      </c>
      <c r="T366" s="304">
        <f t="shared" ca="1" si="146"/>
        <v>28.805102999999985</v>
      </c>
      <c r="U366" s="311">
        <f t="shared" ca="1" si="147"/>
        <v>0</v>
      </c>
      <c r="V366" s="306">
        <f t="shared" ca="1" si="148"/>
        <v>1.0807087965876936</v>
      </c>
      <c r="W366" s="304">
        <f t="shared" ca="1" si="149"/>
        <v>7.8491091057268791</v>
      </c>
      <c r="Y366" s="314" t="str">
        <f t="shared" ca="1" si="167"/>
        <v/>
      </c>
      <c r="Z366" s="315" t="str">
        <f t="shared" ca="1" si="168"/>
        <v/>
      </c>
      <c r="AA366" s="316" t="str">
        <f t="shared" ca="1" si="169"/>
        <v/>
      </c>
      <c r="AC366" s="310" t="e">
        <f t="shared" ca="1" si="170"/>
        <v>#N/A</v>
      </c>
      <c r="AD366" s="323" t="e">
        <f t="shared" ca="1" si="171"/>
        <v>#N/A</v>
      </c>
      <c r="AE366" s="324" t="e">
        <f t="shared" ca="1" si="150"/>
        <v>#N/A</v>
      </c>
      <c r="AG366" s="306">
        <f t="shared" ca="1" si="172"/>
        <v>6.5994249223631751</v>
      </c>
      <c r="AH366" s="304">
        <f t="shared" ca="1" si="173"/>
        <v>-2.6127697219435562</v>
      </c>
    </row>
    <row r="367" spans="1:34" x14ac:dyDescent="0.2">
      <c r="A367" s="347">
        <f t="shared" ca="1" si="151"/>
        <v>0.1</v>
      </c>
      <c r="B367" s="304">
        <f t="shared" ca="1" si="152"/>
        <v>22.90000000000002</v>
      </c>
      <c r="D367" s="306">
        <f t="shared" ca="1" si="153"/>
        <v>-0.90468167035952363</v>
      </c>
      <c r="E367" s="307">
        <f t="shared" ca="1" si="154"/>
        <v>-7.2946132511716524</v>
      </c>
      <c r="F367" s="304">
        <f t="shared" ca="1" si="155"/>
        <v>7.3504987183764312</v>
      </c>
      <c r="G367" s="306">
        <f t="shared" ca="1" si="156"/>
        <v>20.100637864196781</v>
      </c>
      <c r="H367" s="307">
        <f t="shared" ca="1" si="157"/>
        <v>-56.869031982017333</v>
      </c>
      <c r="I367" s="304">
        <f t="shared" ca="1" si="158"/>
        <v>60.316850391240521</v>
      </c>
      <c r="J367" s="306">
        <f t="shared" ca="1" si="159"/>
        <v>649.05509795357091</v>
      </c>
      <c r="K367" s="307">
        <f t="shared" ca="1" si="160"/>
        <v>1245.9491094616801</v>
      </c>
      <c r="L367" s="304">
        <f t="shared" ca="1" si="145"/>
        <v>1404.8707070573694</v>
      </c>
      <c r="M367" s="306">
        <f t="shared" ca="1" si="161"/>
        <v>-1.2310469695595456</v>
      </c>
      <c r="N367" s="304">
        <f t="shared" ca="1" si="162"/>
        <v>-70.533795738131886</v>
      </c>
      <c r="P367" s="310">
        <f t="shared" ca="1" si="163"/>
        <v>23</v>
      </c>
      <c r="Q367" s="304">
        <f t="shared" ca="1" si="164"/>
        <v>0</v>
      </c>
      <c r="R367" s="306">
        <f t="shared" ca="1" si="165"/>
        <v>0</v>
      </c>
      <c r="S367" s="307">
        <f t="shared" ca="1" si="166"/>
        <v>2.9362999999999984</v>
      </c>
      <c r="T367" s="304">
        <f t="shared" ca="1" si="146"/>
        <v>28.805102999999985</v>
      </c>
      <c r="U367" s="311">
        <f t="shared" ca="1" si="147"/>
        <v>0</v>
      </c>
      <c r="V367" s="306">
        <f t="shared" ca="1" si="148"/>
        <v>1.0813220074352115</v>
      </c>
      <c r="W367" s="304">
        <f t="shared" ca="1" si="149"/>
        <v>8.0274112816652767</v>
      </c>
      <c r="Y367" s="314" t="str">
        <f t="shared" ca="1" si="167"/>
        <v/>
      </c>
      <c r="Z367" s="315" t="str">
        <f t="shared" ca="1" si="168"/>
        <v/>
      </c>
      <c r="AA367" s="316" t="str">
        <f t="shared" ca="1" si="169"/>
        <v/>
      </c>
      <c r="AC367" s="310" t="e">
        <f t="shared" ca="1" si="170"/>
        <v>#N/A</v>
      </c>
      <c r="AD367" s="323" t="e">
        <f t="shared" ca="1" si="171"/>
        <v>#N/A</v>
      </c>
      <c r="AE367" s="324" t="e">
        <f t="shared" ca="1" si="150"/>
        <v>#N/A</v>
      </c>
      <c r="AG367" s="306">
        <f t="shared" ca="1" si="172"/>
        <v>6.5579789229571066</v>
      </c>
      <c r="AH367" s="304">
        <f t="shared" ca="1" si="173"/>
        <v>-2.6731291440680049</v>
      </c>
    </row>
    <row r="368" spans="1:34" x14ac:dyDescent="0.2">
      <c r="A368" s="347">
        <f t="shared" ca="1" si="151"/>
        <v>0.1</v>
      </c>
      <c r="B368" s="304">
        <f t="shared" ca="1" si="152"/>
        <v>23.000000000000021</v>
      </c>
      <c r="D368" s="306">
        <f t="shared" ca="1" si="153"/>
        <v>-0.91105851835567497</v>
      </c>
      <c r="E368" s="307">
        <f t="shared" ca="1" si="154"/>
        <v>-7.2324193098795195</v>
      </c>
      <c r="F368" s="304">
        <f t="shared" ca="1" si="155"/>
        <v>7.2895758928614347</v>
      </c>
      <c r="G368" s="306">
        <f t="shared" ca="1" si="156"/>
        <v>20.009532012361213</v>
      </c>
      <c r="H368" s="307">
        <f t="shared" ca="1" si="157"/>
        <v>-57.592273913005286</v>
      </c>
      <c r="I368" s="304">
        <f t="shared" ca="1" si="158"/>
        <v>60.969265911804591</v>
      </c>
      <c r="J368" s="306">
        <f t="shared" ca="1" si="159"/>
        <v>651.06060644739875</v>
      </c>
      <c r="K368" s="307">
        <f t="shared" ca="1" si="160"/>
        <v>1240.2260441669289</v>
      </c>
      <c r="L368" s="304">
        <f t="shared" ca="1" si="145"/>
        <v>1400.7285796675969</v>
      </c>
      <c r="M368" s="306">
        <f t="shared" ca="1" si="161"/>
        <v>-1.2364090250767181</v>
      </c>
      <c r="N368" s="304">
        <f t="shared" ca="1" si="162"/>
        <v>-70.84101888878071</v>
      </c>
      <c r="P368" s="310">
        <f t="shared" ca="1" si="163"/>
        <v>23</v>
      </c>
      <c r="Q368" s="304">
        <f t="shared" ca="1" si="164"/>
        <v>0</v>
      </c>
      <c r="R368" s="306">
        <f t="shared" ca="1" si="165"/>
        <v>0</v>
      </c>
      <c r="S368" s="307">
        <f t="shared" ca="1" si="166"/>
        <v>2.9362999999999984</v>
      </c>
      <c r="T368" s="304">
        <f t="shared" ca="1" si="146"/>
        <v>28.805102999999985</v>
      </c>
      <c r="U368" s="311">
        <f t="shared" ca="1" si="147"/>
        <v>0</v>
      </c>
      <c r="V368" s="306">
        <f t="shared" ca="1" si="148"/>
        <v>1.0819434335637199</v>
      </c>
      <c r="W368" s="304">
        <f t="shared" ca="1" si="149"/>
        <v>8.2067206155531753</v>
      </c>
      <c r="Y368" s="314" t="str">
        <f t="shared" ca="1" si="167"/>
        <v/>
      </c>
      <c r="Z368" s="315" t="str">
        <f t="shared" ca="1" si="168"/>
        <v/>
      </c>
      <c r="AA368" s="316" t="str">
        <f t="shared" ca="1" si="169"/>
        <v/>
      </c>
      <c r="AC368" s="310">
        <f t="shared" ca="1" si="170"/>
        <v>23.000000000000021</v>
      </c>
      <c r="AD368" s="323">
        <f t="shared" ca="1" si="171"/>
        <v>651.06060644739875</v>
      </c>
      <c r="AE368" s="324" t="e">
        <f t="shared" ca="1" si="150"/>
        <v>#N/A</v>
      </c>
      <c r="AG368" s="306">
        <f t="shared" ca="1" si="172"/>
        <v>6.5153903949104484</v>
      </c>
      <c r="AH368" s="304">
        <f t="shared" ca="1" si="173"/>
        <v>-2.7338525633161739</v>
      </c>
    </row>
    <row r="369" spans="1:34" x14ac:dyDescent="0.2">
      <c r="A369" s="347">
        <f t="shared" ca="1" si="151"/>
        <v>0.1</v>
      </c>
      <c r="B369" s="304">
        <f t="shared" ca="1" si="152"/>
        <v>23.100000000000023</v>
      </c>
      <c r="D369" s="306">
        <f t="shared" ca="1" si="153"/>
        <v>-0.91726577424295996</v>
      </c>
      <c r="E369" s="307">
        <f t="shared" ca="1" si="154"/>
        <v>-7.1698871933341364</v>
      </c>
      <c r="F369" s="304">
        <f t="shared" ca="1" si="155"/>
        <v>7.2283233786082368</v>
      </c>
      <c r="G369" s="306">
        <f t="shared" ca="1" si="156"/>
        <v>19.917805434936916</v>
      </c>
      <c r="H369" s="307">
        <f t="shared" ca="1" si="157"/>
        <v>-58.309262632338701</v>
      </c>
      <c r="I369" s="304">
        <f t="shared" ca="1" si="158"/>
        <v>61.617279086884821</v>
      </c>
      <c r="J369" s="306">
        <f t="shared" ca="1" si="159"/>
        <v>653.05697331976364</v>
      </c>
      <c r="K369" s="307">
        <f t="shared" ca="1" si="160"/>
        <v>1234.4309673396617</v>
      </c>
      <c r="L369" s="304">
        <f t="shared" ca="1" si="145"/>
        <v>1396.5325715960598</v>
      </c>
      <c r="M369" s="306">
        <f t="shared" ca="1" si="161"/>
        <v>-1.2416341229788344</v>
      </c>
      <c r="N369" s="304">
        <f t="shared" ca="1" si="162"/>
        <v>-71.14039494611464</v>
      </c>
      <c r="P369" s="310">
        <f t="shared" ca="1" si="163"/>
        <v>23</v>
      </c>
      <c r="Q369" s="304">
        <f t="shared" ca="1" si="164"/>
        <v>0</v>
      </c>
      <c r="R369" s="306">
        <f t="shared" ca="1" si="165"/>
        <v>0</v>
      </c>
      <c r="S369" s="307">
        <f t="shared" ca="1" si="166"/>
        <v>2.9362999999999984</v>
      </c>
      <c r="T369" s="304">
        <f t="shared" ca="1" si="146"/>
        <v>28.805102999999985</v>
      </c>
      <c r="U369" s="311">
        <f t="shared" ca="1" si="147"/>
        <v>0</v>
      </c>
      <c r="V369" s="306">
        <f t="shared" ca="1" si="148"/>
        <v>1.0825730202220214</v>
      </c>
      <c r="W369" s="304">
        <f t="shared" ca="1" si="149"/>
        <v>8.3869758827087502</v>
      </c>
      <c r="Y369" s="314" t="str">
        <f t="shared" ca="1" si="167"/>
        <v/>
      </c>
      <c r="Z369" s="315" t="str">
        <f t="shared" ca="1" si="168"/>
        <v/>
      </c>
      <c r="AA369" s="316" t="str">
        <f t="shared" ca="1" si="169"/>
        <v/>
      </c>
      <c r="AC369" s="310" t="e">
        <f t="shared" ca="1" si="170"/>
        <v>#N/A</v>
      </c>
      <c r="AD369" s="323" t="e">
        <f t="shared" ca="1" si="171"/>
        <v>#N/A</v>
      </c>
      <c r="AE369" s="324" t="e">
        <f t="shared" ca="1" si="150"/>
        <v>#N/A</v>
      </c>
      <c r="AG369" s="306">
        <f t="shared" ca="1" si="172"/>
        <v>6.4717205035905554</v>
      </c>
      <c r="AH369" s="304">
        <f t="shared" ca="1" si="173"/>
        <v>-2.7949189849651535</v>
      </c>
    </row>
    <row r="370" spans="1:34" x14ac:dyDescent="0.2">
      <c r="A370" s="347">
        <f t="shared" ca="1" si="151"/>
        <v>0.1</v>
      </c>
      <c r="B370" s="304">
        <f t="shared" ca="1" si="152"/>
        <v>23.200000000000024</v>
      </c>
      <c r="D370" s="306">
        <f t="shared" ca="1" si="153"/>
        <v>-0.92330234386693866</v>
      </c>
      <c r="E370" s="307">
        <f t="shared" ca="1" si="154"/>
        <v>-7.1070376162447078</v>
      </c>
      <c r="F370" s="304">
        <f t="shared" ca="1" si="155"/>
        <v>7.16676153481525</v>
      </c>
      <c r="G370" s="306">
        <f t="shared" ca="1" si="156"/>
        <v>19.825475200550223</v>
      </c>
      <c r="H370" s="307">
        <f t="shared" ca="1" si="157"/>
        <v>-59.019966393963173</v>
      </c>
      <c r="I370" s="304">
        <f t="shared" ca="1" si="158"/>
        <v>62.260789426991479</v>
      </c>
      <c r="J370" s="306">
        <f t="shared" ca="1" si="159"/>
        <v>655.04413735153798</v>
      </c>
      <c r="K370" s="307">
        <f t="shared" ca="1" si="160"/>
        <v>1228.5645058883467</v>
      </c>
      <c r="L370" s="304">
        <f t="shared" ca="1" si="145"/>
        <v>1392.2835799531997</v>
      </c>
      <c r="M370" s="306">
        <f t="shared" ca="1" si="161"/>
        <v>-1.2467273757611155</v>
      </c>
      <c r="N370" s="304">
        <f t="shared" ca="1" si="162"/>
        <v>-71.432216834532611</v>
      </c>
      <c r="P370" s="310">
        <f t="shared" ca="1" si="163"/>
        <v>23</v>
      </c>
      <c r="Q370" s="304">
        <f t="shared" ca="1" si="164"/>
        <v>0</v>
      </c>
      <c r="R370" s="306">
        <f t="shared" ca="1" si="165"/>
        <v>0</v>
      </c>
      <c r="S370" s="307">
        <f t="shared" ca="1" si="166"/>
        <v>2.9362999999999984</v>
      </c>
      <c r="T370" s="304">
        <f t="shared" ca="1" si="146"/>
        <v>28.805102999999985</v>
      </c>
      <c r="U370" s="311">
        <f t="shared" ca="1" si="147"/>
        <v>0</v>
      </c>
      <c r="V370" s="306">
        <f t="shared" ca="1" si="148"/>
        <v>1.083210712335658</v>
      </c>
      <c r="W370" s="304">
        <f t="shared" ca="1" si="149"/>
        <v>8.5681163143343824</v>
      </c>
      <c r="Y370" s="314" t="str">
        <f t="shared" ca="1" si="167"/>
        <v/>
      </c>
      <c r="Z370" s="315" t="str">
        <f t="shared" ca="1" si="168"/>
        <v/>
      </c>
      <c r="AA370" s="316" t="str">
        <f t="shared" ca="1" si="169"/>
        <v/>
      </c>
      <c r="AC370" s="310" t="e">
        <f t="shared" ca="1" si="170"/>
        <v>#N/A</v>
      </c>
      <c r="AD370" s="323" t="e">
        <f t="shared" ca="1" si="171"/>
        <v>#N/A</v>
      </c>
      <c r="AE370" s="324" t="e">
        <f t="shared" ca="1" si="150"/>
        <v>#N/A</v>
      </c>
      <c r="AG370" s="306">
        <f t="shared" ca="1" si="172"/>
        <v>6.4270278131293157</v>
      </c>
      <c r="AH370" s="304">
        <f t="shared" ca="1" si="173"/>
        <v>-2.8563075580522272</v>
      </c>
    </row>
    <row r="371" spans="1:34" x14ac:dyDescent="0.2">
      <c r="A371" s="347">
        <f t="shared" ca="1" si="151"/>
        <v>0.1</v>
      </c>
      <c r="B371" s="304">
        <f t="shared" ca="1" si="152"/>
        <v>23.300000000000026</v>
      </c>
      <c r="D371" s="306">
        <f t="shared" ca="1" si="153"/>
        <v>-0.92916728692699546</v>
      </c>
      <c r="E371" s="307">
        <f t="shared" ca="1" si="154"/>
        <v>-7.0438911681027836</v>
      </c>
      <c r="F371" s="304">
        <f t="shared" ca="1" si="155"/>
        <v>7.1049106000829925</v>
      </c>
      <c r="G371" s="306">
        <f t="shared" ca="1" si="156"/>
        <v>19.732558471857523</v>
      </c>
      <c r="H371" s="307">
        <f t="shared" ca="1" si="157"/>
        <v>-59.724355510773449</v>
      </c>
      <c r="I371" s="304">
        <f t="shared" ca="1" si="158"/>
        <v>62.899701947008708</v>
      </c>
      <c r="J371" s="306">
        <f t="shared" ca="1" si="159"/>
        <v>657.0220390351584</v>
      </c>
      <c r="K371" s="307">
        <f t="shared" ca="1" si="160"/>
        <v>1222.6272897931099</v>
      </c>
      <c r="L371" s="304">
        <f t="shared" ca="1" si="145"/>
        <v>1387.9825105255334</v>
      </c>
      <c r="M371" s="306">
        <f t="shared" ca="1" si="161"/>
        <v>-1.2516936556056184</v>
      </c>
      <c r="N371" s="304">
        <f t="shared" ca="1" si="162"/>
        <v>-71.71676370950351</v>
      </c>
      <c r="P371" s="310">
        <f t="shared" ca="1" si="163"/>
        <v>23</v>
      </c>
      <c r="Q371" s="304">
        <f t="shared" ca="1" si="164"/>
        <v>0</v>
      </c>
      <c r="R371" s="306">
        <f t="shared" ca="1" si="165"/>
        <v>0</v>
      </c>
      <c r="S371" s="307">
        <f t="shared" ca="1" si="166"/>
        <v>2.9362999999999984</v>
      </c>
      <c r="T371" s="304">
        <f t="shared" ca="1" si="146"/>
        <v>28.805102999999985</v>
      </c>
      <c r="U371" s="311">
        <f t="shared" ca="1" si="147"/>
        <v>0</v>
      </c>
      <c r="V371" s="306">
        <f t="shared" ca="1" si="148"/>
        <v>1.0838564545241884</v>
      </c>
      <c r="W371" s="304">
        <f t="shared" ca="1" si="149"/>
        <v>8.7500816302503992</v>
      </c>
      <c r="Y371" s="314" t="str">
        <f t="shared" ca="1" si="167"/>
        <v/>
      </c>
      <c r="Z371" s="315" t="str">
        <f t="shared" ca="1" si="168"/>
        <v/>
      </c>
      <c r="AA371" s="316" t="str">
        <f t="shared" ca="1" si="169"/>
        <v/>
      </c>
      <c r="AC371" s="310" t="e">
        <f t="shared" ca="1" si="170"/>
        <v>#N/A</v>
      </c>
      <c r="AD371" s="323" t="e">
        <f t="shared" ca="1" si="171"/>
        <v>#N/A</v>
      </c>
      <c r="AE371" s="324" t="e">
        <f t="shared" ca="1" si="150"/>
        <v>#N/A</v>
      </c>
      <c r="AG371" s="306">
        <f t="shared" ca="1" si="172"/>
        <v>6.3813684451579427</v>
      </c>
      <c r="AH371" s="304">
        <f t="shared" ca="1" si="173"/>
        <v>-2.9179975868727266</v>
      </c>
    </row>
    <row r="372" spans="1:34" x14ac:dyDescent="0.2">
      <c r="A372" s="347">
        <f t="shared" ca="1" si="151"/>
        <v>0.1</v>
      </c>
      <c r="B372" s="304">
        <f t="shared" ca="1" si="152"/>
        <v>23.400000000000027</v>
      </c>
      <c r="D372" s="306">
        <f t="shared" ca="1" si="153"/>
        <v>-0.93485981144037733</v>
      </c>
      <c r="E372" s="307">
        <f t="shared" ca="1" si="154"/>
        <v>-6.9804682993424425</v>
      </c>
      <c r="F372" s="304">
        <f t="shared" ca="1" si="155"/>
        <v>7.0427906787843062</v>
      </c>
      <c r="G372" s="306">
        <f t="shared" ca="1" si="156"/>
        <v>19.639072490713485</v>
      </c>
      <c r="H372" s="307">
        <f t="shared" ca="1" si="157"/>
        <v>-60.422402340707691</v>
      </c>
      <c r="I372" s="304">
        <f t="shared" ca="1" si="158"/>
        <v>63.533926943939626</v>
      </c>
      <c r="J372" s="306">
        <f t="shared" ca="1" si="159"/>
        <v>658.99062058328695</v>
      </c>
      <c r="K372" s="307">
        <f t="shared" ca="1" si="160"/>
        <v>1216.6199519005359</v>
      </c>
      <c r="L372" s="304">
        <f t="shared" ca="1" si="145"/>
        <v>1383.6302777039855</v>
      </c>
      <c r="M372" s="306">
        <f t="shared" ca="1" si="161"/>
        <v>-1.2565376074534385</v>
      </c>
      <c r="N372" s="304">
        <f t="shared" ca="1" si="162"/>
        <v>-71.9943017065482</v>
      </c>
      <c r="P372" s="310">
        <f t="shared" ca="1" si="163"/>
        <v>23</v>
      </c>
      <c r="Q372" s="304">
        <f t="shared" ca="1" si="164"/>
        <v>0</v>
      </c>
      <c r="R372" s="306">
        <f t="shared" ca="1" si="165"/>
        <v>0</v>
      </c>
      <c r="S372" s="307">
        <f t="shared" ca="1" si="166"/>
        <v>2.9362999999999984</v>
      </c>
      <c r="T372" s="304">
        <f t="shared" ca="1" si="146"/>
        <v>28.805102999999985</v>
      </c>
      <c r="U372" s="311">
        <f t="shared" ca="1" si="147"/>
        <v>0</v>
      </c>
      <c r="V372" s="306">
        <f t="shared" ca="1" si="148"/>
        <v>1.0845101911183876</v>
      </c>
      <c r="W372" s="304">
        <f t="shared" ca="1" si="149"/>
        <v>8.9328120705795424</v>
      </c>
      <c r="Y372" s="314" t="str">
        <f t="shared" ca="1" si="167"/>
        <v/>
      </c>
      <c r="Z372" s="315" t="str">
        <f t="shared" ca="1" si="168"/>
        <v/>
      </c>
      <c r="AA372" s="316" t="str">
        <f t="shared" ca="1" si="169"/>
        <v/>
      </c>
      <c r="AC372" s="310" t="e">
        <f t="shared" ca="1" si="170"/>
        <v>#N/A</v>
      </c>
      <c r="AD372" s="323" t="e">
        <f t="shared" ca="1" si="171"/>
        <v>#N/A</v>
      </c>
      <c r="AE372" s="324" t="e">
        <f t="shared" ca="1" si="150"/>
        <v>#N/A</v>
      </c>
      <c r="AG372" s="306">
        <f t="shared" ca="1" si="172"/>
        <v>6.3347962250292413</v>
      </c>
      <c r="AH372" s="304">
        <f t="shared" ca="1" si="173"/>
        <v>-2.9799685421279856</v>
      </c>
    </row>
    <row r="373" spans="1:34" x14ac:dyDescent="0.2">
      <c r="A373" s="347">
        <f t="shared" ca="1" si="151"/>
        <v>0.1</v>
      </c>
      <c r="B373" s="304">
        <f t="shared" ca="1" si="152"/>
        <v>23.500000000000028</v>
      </c>
      <c r="D373" s="306">
        <f t="shared" ca="1" si="153"/>
        <v>-0.94037926842459074</v>
      </c>
      <c r="E373" s="307">
        <f t="shared" ca="1" si="154"/>
        <v>-6.9167893080755825</v>
      </c>
      <c r="F373" s="304">
        <f t="shared" ca="1" si="155"/>
        <v>6.9804217280040799</v>
      </c>
      <c r="G373" s="306">
        <f t="shared" ca="1" si="156"/>
        <v>19.545034563871024</v>
      </c>
      <c r="H373" s="307">
        <f t="shared" ca="1" si="157"/>
        <v>-61.114081271515246</v>
      </c>
      <c r="I373" s="304">
        <f t="shared" ca="1" si="158"/>
        <v>64.163379787572623</v>
      </c>
      <c r="J373" s="306">
        <f t="shared" ca="1" si="159"/>
        <v>660.94982593601617</v>
      </c>
      <c r="K373" s="307">
        <f t="shared" ca="1" si="160"/>
        <v>1210.5431277199248</v>
      </c>
      <c r="L373" s="304">
        <f t="shared" ca="1" si="145"/>
        <v>1379.2278044162206</v>
      </c>
      <c r="M373" s="306">
        <f t="shared" ca="1" si="161"/>
        <v>-1.2612636613028674</v>
      </c>
      <c r="N373" s="304">
        <f t="shared" ca="1" si="162"/>
        <v>-72.265084645872037</v>
      </c>
      <c r="P373" s="310">
        <f t="shared" ca="1" si="163"/>
        <v>23</v>
      </c>
      <c r="Q373" s="304">
        <f t="shared" ca="1" si="164"/>
        <v>0</v>
      </c>
      <c r="R373" s="306">
        <f t="shared" ca="1" si="165"/>
        <v>0</v>
      </c>
      <c r="S373" s="307">
        <f t="shared" ca="1" si="166"/>
        <v>2.9362999999999984</v>
      </c>
      <c r="T373" s="304">
        <f t="shared" ca="1" si="146"/>
        <v>28.805102999999985</v>
      </c>
      <c r="U373" s="311">
        <f t="shared" ca="1" si="147"/>
        <v>0</v>
      </c>
      <c r="V373" s="306">
        <f t="shared" ca="1" si="148"/>
        <v>1.0851718661773546</v>
      </c>
      <c r="W373" s="304">
        <f t="shared" ca="1" si="149"/>
        <v>9.1162484263630414</v>
      </c>
      <c r="Y373" s="314" t="str">
        <f t="shared" ca="1" si="167"/>
        <v/>
      </c>
      <c r="Z373" s="315" t="str">
        <f t="shared" ca="1" si="168"/>
        <v/>
      </c>
      <c r="AA373" s="316" t="str">
        <f t="shared" ca="1" si="169"/>
        <v/>
      </c>
      <c r="AC373" s="310" t="e">
        <f t="shared" ca="1" si="170"/>
        <v>#N/A</v>
      </c>
      <c r="AD373" s="323" t="e">
        <f t="shared" ca="1" si="171"/>
        <v>#N/A</v>
      </c>
      <c r="AE373" s="324" t="e">
        <f t="shared" ca="1" si="150"/>
        <v>#N/A</v>
      </c>
      <c r="AG373" s="306">
        <f t="shared" ca="1" si="172"/>
        <v>6.2873628165557172</v>
      </c>
      <c r="AH373" s="304">
        <f t="shared" ca="1" si="173"/>
        <v>-3.0422000717159512</v>
      </c>
    </row>
    <row r="374" spans="1:34" x14ac:dyDescent="0.2">
      <c r="A374" s="347">
        <f t="shared" ca="1" si="151"/>
        <v>0.1</v>
      </c>
      <c r="B374" s="304">
        <f t="shared" ca="1" si="152"/>
        <v>23.60000000000003</v>
      </c>
      <c r="D374" s="306">
        <f t="shared" ca="1" si="153"/>
        <v>-0.94572514678096353</v>
      </c>
      <c r="E374" s="307">
        <f t="shared" ca="1" si="154"/>
        <v>-6.8528743273892498</v>
      </c>
      <c r="F374" s="304">
        <f t="shared" ca="1" si="155"/>
        <v>6.9178235450352838</v>
      </c>
      <c r="G374" s="306">
        <f t="shared" ca="1" si="156"/>
        <v>19.450462049192929</v>
      </c>
      <c r="H374" s="307">
        <f t="shared" ca="1" si="157"/>
        <v>-61.799368704254171</v>
      </c>
      <c r="I374" s="304">
        <f t="shared" ca="1" si="158"/>
        <v>64.787980723058837</v>
      </c>
      <c r="J374" s="306">
        <f t="shared" ca="1" si="159"/>
        <v>662.89960076666932</v>
      </c>
      <c r="K374" s="307">
        <f t="shared" ca="1" si="160"/>
        <v>1204.3974552211364</v>
      </c>
      <c r="L374" s="304">
        <f t="shared" ca="1" si="145"/>
        <v>1374.7760220631428</v>
      </c>
      <c r="M374" s="306">
        <f t="shared" ca="1" si="161"/>
        <v>-1.2658760437797336</v>
      </c>
      <c r="N374" s="304">
        <f t="shared" ca="1" si="162"/>
        <v>-72.529354695296561</v>
      </c>
      <c r="P374" s="310">
        <f t="shared" ca="1" si="163"/>
        <v>23</v>
      </c>
      <c r="Q374" s="304">
        <f t="shared" ca="1" si="164"/>
        <v>0</v>
      </c>
      <c r="R374" s="306">
        <f t="shared" ca="1" si="165"/>
        <v>0</v>
      </c>
      <c r="S374" s="307">
        <f t="shared" ca="1" si="166"/>
        <v>2.9362999999999984</v>
      </c>
      <c r="T374" s="304">
        <f t="shared" ca="1" si="146"/>
        <v>28.805102999999985</v>
      </c>
      <c r="U374" s="311">
        <f t="shared" ca="1" si="147"/>
        <v>0</v>
      </c>
      <c r="V374" s="306">
        <f t="shared" ca="1" si="148"/>
        <v>1.0858414235055185</v>
      </c>
      <c r="W374" s="304">
        <f t="shared" ca="1" si="149"/>
        <v>9.3003320690915032</v>
      </c>
      <c r="Y374" s="314" t="str">
        <f t="shared" ca="1" si="167"/>
        <v/>
      </c>
      <c r="Z374" s="315" t="str">
        <f t="shared" ca="1" si="168"/>
        <v/>
      </c>
      <c r="AA374" s="316" t="str">
        <f t="shared" ca="1" si="169"/>
        <v/>
      </c>
      <c r="AC374" s="310" t="e">
        <f t="shared" ca="1" si="170"/>
        <v>#N/A</v>
      </c>
      <c r="AD374" s="323" t="e">
        <f t="shared" ca="1" si="171"/>
        <v>#N/A</v>
      </c>
      <c r="AE374" s="324" t="e">
        <f t="shared" ca="1" si="150"/>
        <v>#N/A</v>
      </c>
      <c r="AG374" s="306">
        <f t="shared" ca="1" si="172"/>
        <v>6.2391178462099486</v>
      </c>
      <c r="AH374" s="304">
        <f t="shared" ca="1" si="173"/>
        <v>-3.1046720111579358</v>
      </c>
    </row>
    <row r="375" spans="1:34" x14ac:dyDescent="0.2">
      <c r="A375" s="347">
        <f t="shared" ca="1" si="151"/>
        <v>0.1</v>
      </c>
      <c r="B375" s="304">
        <f t="shared" ca="1" si="152"/>
        <v>23.700000000000031</v>
      </c>
      <c r="D375" s="306">
        <f t="shared" ca="1" si="153"/>
        <v>-0.95089706836379928</v>
      </c>
      <c r="E375" s="307">
        <f t="shared" ca="1" si="154"/>
        <v>-6.7887433131930575</v>
      </c>
      <c r="F375" s="304">
        <f t="shared" ca="1" si="155"/>
        <v>6.8550157554192621</v>
      </c>
      <c r="G375" s="306">
        <f t="shared" ca="1" si="156"/>
        <v>19.355372342356549</v>
      </c>
      <c r="H375" s="307">
        <f t="shared" ca="1" si="157"/>
        <v>-62.478243035573477</v>
      </c>
      <c r="I375" s="304">
        <f t="shared" ca="1" si="158"/>
        <v>65.407654684474409</v>
      </c>
      <c r="J375" s="306">
        <f t="shared" ca="1" si="159"/>
        <v>664.83989248624675</v>
      </c>
      <c r="K375" s="307">
        <f t="shared" ca="1" si="160"/>
        <v>1198.1835746341451</v>
      </c>
      <c r="L375" s="304">
        <f t="shared" ca="1" si="145"/>
        <v>1370.2758704597341</v>
      </c>
      <c r="M375" s="306">
        <f t="shared" ca="1" si="161"/>
        <v>-1.2703787890238061</v>
      </c>
      <c r="N375" s="304">
        <f t="shared" ca="1" si="162"/>
        <v>-72.787342994004518</v>
      </c>
      <c r="P375" s="310">
        <f t="shared" ca="1" si="163"/>
        <v>23</v>
      </c>
      <c r="Q375" s="304">
        <f t="shared" ca="1" si="164"/>
        <v>0</v>
      </c>
      <c r="R375" s="306">
        <f t="shared" ca="1" si="165"/>
        <v>0</v>
      </c>
      <c r="S375" s="307">
        <f t="shared" ca="1" si="166"/>
        <v>2.9362999999999984</v>
      </c>
      <c r="T375" s="304">
        <f t="shared" ca="1" si="146"/>
        <v>28.805102999999985</v>
      </c>
      <c r="U375" s="311">
        <f t="shared" ca="1" si="147"/>
        <v>0</v>
      </c>
      <c r="V375" s="306">
        <f t="shared" ca="1" si="148"/>
        <v>1.0865188066695324</v>
      </c>
      <c r="W375" s="304">
        <f t="shared" ca="1" si="149"/>
        <v>9.4850049791362014</v>
      </c>
      <c r="Y375" s="314" t="str">
        <f t="shared" ca="1" si="167"/>
        <v/>
      </c>
      <c r="Z375" s="315" t="str">
        <f t="shared" ca="1" si="168"/>
        <v/>
      </c>
      <c r="AA375" s="316" t="str">
        <f t="shared" ca="1" si="169"/>
        <v/>
      </c>
      <c r="AC375" s="310" t="e">
        <f t="shared" ca="1" si="170"/>
        <v>#N/A</v>
      </c>
      <c r="AD375" s="323" t="e">
        <f t="shared" ca="1" si="171"/>
        <v>#N/A</v>
      </c>
      <c r="AE375" s="324" t="e">
        <f t="shared" ca="1" si="150"/>
        <v>#N/A</v>
      </c>
      <c r="AG375" s="306">
        <f t="shared" ca="1" si="172"/>
        <v>6.1901090176579947</v>
      </c>
      <c r="AH375" s="304">
        <f t="shared" ca="1" si="173"/>
        <v>-3.1673643936557943</v>
      </c>
    </row>
    <row r="376" spans="1:34" x14ac:dyDescent="0.2">
      <c r="A376" s="347">
        <f t="shared" ca="1" si="151"/>
        <v>0.1</v>
      </c>
      <c r="B376" s="304">
        <f t="shared" ca="1" si="152"/>
        <v>23.800000000000033</v>
      </c>
      <c r="D376" s="306">
        <f t="shared" ca="1" si="153"/>
        <v>-0.95589478322104315</v>
      </c>
      <c r="E376" s="307">
        <f t="shared" ca="1" si="154"/>
        <v>-6.7244160326057649</v>
      </c>
      <c r="F376" s="304">
        <f t="shared" ca="1" si="155"/>
        <v>6.7920178015192709</v>
      </c>
      <c r="G376" s="306">
        <f t="shared" ca="1" si="156"/>
        <v>19.259782864034445</v>
      </c>
      <c r="H376" s="307">
        <f t="shared" ca="1" si="157"/>
        <v>-63.150684638834051</v>
      </c>
      <c r="I376" s="304">
        <f t="shared" ca="1" si="158"/>
        <v>66.022331118517968</v>
      </c>
      <c r="J376" s="306">
        <f t="shared" ca="1" si="159"/>
        <v>666.77065024656633</v>
      </c>
      <c r="K376" s="307">
        <f t="shared" ca="1" si="160"/>
        <v>1191.9021282504248</v>
      </c>
      <c r="L376" s="304">
        <f t="shared" ca="1" si="145"/>
        <v>1365.7282977803898</v>
      </c>
      <c r="M376" s="306">
        <f t="shared" ca="1" si="161"/>
        <v>-1.2747757489328122</v>
      </c>
      <c r="N376" s="304">
        <f t="shared" ca="1" si="162"/>
        <v>-73.039270239478796</v>
      </c>
      <c r="P376" s="310">
        <f t="shared" ca="1" si="163"/>
        <v>23</v>
      </c>
      <c r="Q376" s="304">
        <f t="shared" ca="1" si="164"/>
        <v>0</v>
      </c>
      <c r="R376" s="306">
        <f t="shared" ca="1" si="165"/>
        <v>0</v>
      </c>
      <c r="S376" s="307">
        <f t="shared" ca="1" si="166"/>
        <v>2.9362999999999984</v>
      </c>
      <c r="T376" s="304">
        <f t="shared" ca="1" si="146"/>
        <v>28.805102999999985</v>
      </c>
      <c r="U376" s="311">
        <f t="shared" ca="1" si="147"/>
        <v>0</v>
      </c>
      <c r="V376" s="306">
        <f t="shared" ca="1" si="148"/>
        <v>1.0872039590150455</v>
      </c>
      <c r="W376" s="304">
        <f t="shared" ca="1" si="149"/>
        <v>9.6702097730687768</v>
      </c>
      <c r="Y376" s="314" t="str">
        <f t="shared" ca="1" si="167"/>
        <v/>
      </c>
      <c r="Z376" s="315" t="str">
        <f t="shared" ca="1" si="168"/>
        <v/>
      </c>
      <c r="AA376" s="316" t="str">
        <f t="shared" ca="1" si="169"/>
        <v/>
      </c>
      <c r="AC376" s="310" t="e">
        <f t="shared" ca="1" si="170"/>
        <v>#N/A</v>
      </c>
      <c r="AD376" s="323" t="e">
        <f t="shared" ca="1" si="171"/>
        <v>#N/A</v>
      </c>
      <c r="AE376" s="324" t="e">
        <f t="shared" ca="1" si="150"/>
        <v>#N/A</v>
      </c>
      <c r="AG376" s="306">
        <f t="shared" ca="1" si="172"/>
        <v>6.1403822174260494</v>
      </c>
      <c r="AH376" s="304">
        <f t="shared" ca="1" si="173"/>
        <v>-3.2302574597746165</v>
      </c>
    </row>
    <row r="377" spans="1:34" x14ac:dyDescent="0.2">
      <c r="A377" s="347">
        <f t="shared" ca="1" si="151"/>
        <v>0.1</v>
      </c>
      <c r="B377" s="304">
        <f t="shared" ca="1" si="152"/>
        <v>23.900000000000034</v>
      </c>
      <c r="D377" s="306">
        <f t="shared" ca="1" si="153"/>
        <v>-0.9607181649937605</v>
      </c>
      <c r="E377" s="307">
        <f t="shared" ca="1" si="154"/>
        <v>-6.6599120528708067</v>
      </c>
      <c r="F377" s="304">
        <f t="shared" ca="1" si="155"/>
        <v>6.7288489316169686</v>
      </c>
      <c r="G377" s="306">
        <f t="shared" ca="1" si="156"/>
        <v>19.16371104753507</v>
      </c>
      <c r="H377" s="307">
        <f t="shared" ca="1" si="157"/>
        <v>-63.816675844121129</v>
      </c>
      <c r="I377" s="304">
        <f t="shared" ca="1" si="158"/>
        <v>66.631943817564348</v>
      </c>
      <c r="J377" s="306">
        <f t="shared" ca="1" si="159"/>
        <v>668.69182494214476</v>
      </c>
      <c r="K377" s="307">
        <f t="shared" ca="1" si="160"/>
        <v>1185.5537602262771</v>
      </c>
      <c r="L377" s="304">
        <f t="shared" ca="1" si="145"/>
        <v>1361.1342605089039</v>
      </c>
      <c r="M377" s="306">
        <f t="shared" ca="1" si="161"/>
        <v>-1.2790706028033412</v>
      </c>
      <c r="N377" s="304">
        <f t="shared" ca="1" si="162"/>
        <v>-73.285347239885539</v>
      </c>
      <c r="P377" s="310">
        <f t="shared" ca="1" si="163"/>
        <v>23</v>
      </c>
      <c r="Q377" s="304">
        <f t="shared" ca="1" si="164"/>
        <v>0</v>
      </c>
      <c r="R377" s="306">
        <f t="shared" ca="1" si="165"/>
        <v>0</v>
      </c>
      <c r="S377" s="307">
        <f t="shared" ca="1" si="166"/>
        <v>2.9362999999999984</v>
      </c>
      <c r="T377" s="304">
        <f t="shared" ca="1" si="146"/>
        <v>28.805102999999985</v>
      </c>
      <c r="U377" s="311">
        <f t="shared" ca="1" si="147"/>
        <v>0</v>
      </c>
      <c r="V377" s="306">
        <f t="shared" ca="1" si="148"/>
        <v>1.0878968236833402</v>
      </c>
      <c r="W377" s="304">
        <f t="shared" ca="1" si="149"/>
        <v>9.8558897298594719</v>
      </c>
      <c r="Y377" s="314" t="str">
        <f t="shared" ca="1" si="167"/>
        <v/>
      </c>
      <c r="Z377" s="315" t="str">
        <f t="shared" ca="1" si="168"/>
        <v/>
      </c>
      <c r="AA377" s="316" t="str">
        <f t="shared" ca="1" si="169"/>
        <v/>
      </c>
      <c r="AC377" s="310" t="e">
        <f t="shared" ca="1" si="170"/>
        <v>#N/A</v>
      </c>
      <c r="AD377" s="323" t="e">
        <f t="shared" ca="1" si="171"/>
        <v>#N/A</v>
      </c>
      <c r="AE377" s="324" t="e">
        <f t="shared" ca="1" si="150"/>
        <v>#N/A</v>
      </c>
      <c r="AG377" s="306">
        <f t="shared" ca="1" si="172"/>
        <v>6.0899816124354729</v>
      </c>
      <c r="AH377" s="304">
        <f t="shared" ca="1" si="173"/>
        <v>-3.2933316667468522</v>
      </c>
    </row>
    <row r="378" spans="1:34" x14ac:dyDescent="0.2">
      <c r="A378" s="347">
        <f t="shared" ca="1" si="151"/>
        <v>0.1</v>
      </c>
      <c r="B378" s="304">
        <f t="shared" ca="1" si="152"/>
        <v>24.000000000000036</v>
      </c>
      <c r="D378" s="306">
        <f t="shared" ca="1" si="153"/>
        <v>-0.9653672064629506</v>
      </c>
      <c r="E378" s="307">
        <f t="shared" ca="1" si="154"/>
        <v>-6.5952507307912569</v>
      </c>
      <c r="F378" s="304">
        <f t="shared" ca="1" si="155"/>
        <v>6.6655281895223197</v>
      </c>
      <c r="G378" s="306">
        <f t="shared" ca="1" si="156"/>
        <v>19.067174326888775</v>
      </c>
      <c r="H378" s="307">
        <f t="shared" ca="1" si="157"/>
        <v>-64.476200917200259</v>
      </c>
      <c r="I378" s="304">
        <f t="shared" ca="1" si="158"/>
        <v>67.236430761359884</v>
      </c>
      <c r="J378" s="306">
        <f t="shared" ca="1" si="159"/>
        <v>670.60336921086594</v>
      </c>
      <c r="K378" s="307">
        <f t="shared" ca="1" si="160"/>
        <v>1179.1391163882111</v>
      </c>
      <c r="L378" s="304">
        <f t="shared" ca="1" si="145"/>
        <v>1356.4947233932523</v>
      </c>
      <c r="M378" s="306">
        <f t="shared" ca="1" si="161"/>
        <v>-1.2832668664056734</v>
      </c>
      <c r="N378" s="304">
        <f t="shared" ca="1" si="162"/>
        <v>-73.525775434023529</v>
      </c>
      <c r="P378" s="310">
        <f t="shared" ca="1" si="163"/>
        <v>23</v>
      </c>
      <c r="Q378" s="304">
        <f t="shared" ca="1" si="164"/>
        <v>0</v>
      </c>
      <c r="R378" s="306">
        <f t="shared" ca="1" si="165"/>
        <v>0</v>
      </c>
      <c r="S378" s="307">
        <f t="shared" ca="1" si="166"/>
        <v>2.9362999999999984</v>
      </c>
      <c r="T378" s="304">
        <f t="shared" ca="1" si="146"/>
        <v>28.805102999999985</v>
      </c>
      <c r="U378" s="311">
        <f t="shared" ca="1" si="147"/>
        <v>0</v>
      </c>
      <c r="V378" s="306">
        <f t="shared" ca="1" si="148"/>
        <v>1.0885973436278287</v>
      </c>
      <c r="W378" s="304">
        <f t="shared" ca="1" si="149"/>
        <v>10.041988815946334</v>
      </c>
      <c r="Y378" s="314" t="str">
        <f t="shared" ca="1" si="167"/>
        <v/>
      </c>
      <c r="Z378" s="315" t="str">
        <f t="shared" ca="1" si="168"/>
        <v/>
      </c>
      <c r="AA378" s="316" t="str">
        <f t="shared" ca="1" si="169"/>
        <v/>
      </c>
      <c r="AC378" s="310">
        <f t="shared" ca="1" si="170"/>
        <v>24.000000000000036</v>
      </c>
      <c r="AD378" s="323">
        <f t="shared" ca="1" si="171"/>
        <v>670.60336921086594</v>
      </c>
      <c r="AE378" s="324" t="e">
        <f t="shared" ca="1" si="150"/>
        <v>#N/A</v>
      </c>
      <c r="AG378" s="306">
        <f t="shared" ca="1" si="172"/>
        <v>6.0389497400812191</v>
      </c>
      <c r="AH378" s="304">
        <f t="shared" ca="1" si="173"/>
        <v>-3.3565676973945022</v>
      </c>
    </row>
    <row r="379" spans="1:34" x14ac:dyDescent="0.2">
      <c r="A379" s="347">
        <f t="shared" ca="1" si="151"/>
        <v>0.1</v>
      </c>
      <c r="B379" s="304">
        <f t="shared" ca="1" si="152"/>
        <v>24.100000000000037</v>
      </c>
      <c r="D379" s="306">
        <f t="shared" ca="1" si="153"/>
        <v>-0.96984201523339097</v>
      </c>
      <c r="E379" s="307">
        <f t="shared" ca="1" si="154"/>
        <v>-6.5304512026751933</v>
      </c>
      <c r="F379" s="304">
        <f t="shared" ca="1" si="155"/>
        <v>6.6020744046878059</v>
      </c>
      <c r="G379" s="306">
        <f t="shared" ca="1" si="156"/>
        <v>18.970190125365438</v>
      </c>
      <c r="H379" s="307">
        <f t="shared" ca="1" si="157"/>
        <v>-65.12924603746778</v>
      </c>
      <c r="I379" s="304">
        <f t="shared" ca="1" si="158"/>
        <v>67.835733966704623</v>
      </c>
      <c r="J379" s="306">
        <f t="shared" ca="1" si="159"/>
        <v>672.50523743347867</v>
      </c>
      <c r="K379" s="307">
        <f t="shared" ca="1" si="160"/>
        <v>1172.6588440404776</v>
      </c>
      <c r="L379" s="304">
        <f t="shared" ca="1" si="145"/>
        <v>1351.8106594053061</v>
      </c>
      <c r="M379" s="306">
        <f t="shared" ca="1" si="161"/>
        <v>-1.2873679005274388</v>
      </c>
      <c r="N379" s="304">
        <f t="shared" ca="1" si="162"/>
        <v>-73.760747380839831</v>
      </c>
      <c r="P379" s="310">
        <f t="shared" ca="1" si="163"/>
        <v>23</v>
      </c>
      <c r="Q379" s="304">
        <f t="shared" ca="1" si="164"/>
        <v>0</v>
      </c>
      <c r="R379" s="306">
        <f t="shared" ca="1" si="165"/>
        <v>0</v>
      </c>
      <c r="S379" s="307">
        <f t="shared" ca="1" si="166"/>
        <v>2.9362999999999984</v>
      </c>
      <c r="T379" s="304">
        <f t="shared" ca="1" si="146"/>
        <v>28.805102999999985</v>
      </c>
      <c r="U379" s="311">
        <f t="shared" ca="1" si="147"/>
        <v>0</v>
      </c>
      <c r="V379" s="306">
        <f t="shared" ca="1" si="148"/>
        <v>1.089305461630397</v>
      </c>
      <c r="W379" s="304">
        <f t="shared" ca="1" si="149"/>
        <v>10.228451709169862</v>
      </c>
      <c r="Y379" s="314" t="str">
        <f t="shared" ca="1" si="167"/>
        <v/>
      </c>
      <c r="Z379" s="315" t="str">
        <f t="shared" ca="1" si="168"/>
        <v/>
      </c>
      <c r="AA379" s="316" t="str">
        <f t="shared" ca="1" si="169"/>
        <v/>
      </c>
      <c r="AC379" s="310" t="e">
        <f t="shared" ca="1" si="170"/>
        <v>#N/A</v>
      </c>
      <c r="AD379" s="323" t="e">
        <f t="shared" ca="1" si="171"/>
        <v>#N/A</v>
      </c>
      <c r="AE379" s="324" t="e">
        <f t="shared" ca="1" si="150"/>
        <v>#N/A</v>
      </c>
      <c r="AG379" s="306">
        <f t="shared" ca="1" si="172"/>
        <v>5.9873275914731154</v>
      </c>
      <c r="AH379" s="304">
        <f t="shared" ca="1" si="173"/>
        <v>-3.4199464686668053</v>
      </c>
    </row>
    <row r="380" spans="1:34" x14ac:dyDescent="0.2">
      <c r="A380" s="347">
        <f t="shared" ca="1" si="151"/>
        <v>0.1</v>
      </c>
      <c r="B380" s="304">
        <f t="shared" ca="1" si="152"/>
        <v>24.200000000000038</v>
      </c>
      <c r="D380" s="306">
        <f t="shared" ca="1" si="153"/>
        <v>-0.97414280954519428</v>
      </c>
      <c r="E380" s="307">
        <f t="shared" ca="1" si="154"/>
        <v>-6.4655323747828355</v>
      </c>
      <c r="F380" s="304">
        <f t="shared" ca="1" si="155"/>
        <v>6.5385061828183337</v>
      </c>
      <c r="G380" s="306">
        <f t="shared" ca="1" si="156"/>
        <v>18.872775844410917</v>
      </c>
      <c r="H380" s="307">
        <f t="shared" ca="1" si="157"/>
        <v>-65.775799274946067</v>
      </c>
      <c r="I380" s="304">
        <f t="shared" ca="1" si="158"/>
        <v>68.429799344520774</v>
      </c>
      <c r="J380" s="306">
        <f t="shared" ca="1" si="159"/>
        <v>674.39738573196746</v>
      </c>
      <c r="K380" s="307">
        <f t="shared" ca="1" si="160"/>
        <v>1166.1135917748568</v>
      </c>
      <c r="L380" s="304">
        <f t="shared" ca="1" si="145"/>
        <v>1347.0830497056108</v>
      </c>
      <c r="M380" s="306">
        <f t="shared" ca="1" si="161"/>
        <v>-1.2913769190189284</v>
      </c>
      <c r="N380" s="304">
        <f t="shared" ca="1" si="162"/>
        <v>-73.990447220392085</v>
      </c>
      <c r="P380" s="310">
        <f t="shared" ca="1" si="163"/>
        <v>23</v>
      </c>
      <c r="Q380" s="304">
        <f t="shared" ca="1" si="164"/>
        <v>0</v>
      </c>
      <c r="R380" s="306">
        <f t="shared" ca="1" si="165"/>
        <v>0</v>
      </c>
      <c r="S380" s="307">
        <f t="shared" ca="1" si="166"/>
        <v>2.9362999999999984</v>
      </c>
      <c r="T380" s="304">
        <f t="shared" ca="1" si="146"/>
        <v>28.805102999999985</v>
      </c>
      <c r="U380" s="311">
        <f t="shared" ca="1" si="147"/>
        <v>0</v>
      </c>
      <c r="V380" s="306">
        <f t="shared" ca="1" si="148"/>
        <v>1.09002112031759</v>
      </c>
      <c r="W380" s="304">
        <f t="shared" ca="1" si="149"/>
        <v>10.415223821569692</v>
      </c>
      <c r="Y380" s="314" t="str">
        <f t="shared" ca="1" si="167"/>
        <v/>
      </c>
      <c r="Z380" s="315" t="str">
        <f t="shared" ca="1" si="168"/>
        <v/>
      </c>
      <c r="AA380" s="316" t="str">
        <f t="shared" ca="1" si="169"/>
        <v/>
      </c>
      <c r="AC380" s="310" t="e">
        <f t="shared" ca="1" si="170"/>
        <v>#N/A</v>
      </c>
      <c r="AD380" s="323" t="e">
        <f t="shared" ca="1" si="171"/>
        <v>#N/A</v>
      </c>
      <c r="AE380" s="324" t="e">
        <f t="shared" ca="1" si="150"/>
        <v>#N/A</v>
      </c>
      <c r="AG380" s="306">
        <f t="shared" ca="1" si="172"/>
        <v>5.9351546884084403</v>
      </c>
      <c r="AH380" s="304">
        <f t="shared" ca="1" si="173"/>
        <v>-3.4834491397915293</v>
      </c>
    </row>
    <row r="381" spans="1:34" x14ac:dyDescent="0.2">
      <c r="A381" s="347">
        <f t="shared" ca="1" si="151"/>
        <v>0.1</v>
      </c>
      <c r="B381" s="304">
        <f t="shared" ca="1" si="152"/>
        <v>24.30000000000004</v>
      </c>
      <c r="D381" s="306">
        <f t="shared" ca="1" si="153"/>
        <v>-0.9782699142047494</v>
      </c>
      <c r="E381" s="307">
        <f t="shared" ca="1" si="154"/>
        <v>-6.4005129142671304</v>
      </c>
      <c r="F381" s="304">
        <f t="shared" ca="1" si="155"/>
        <v>6.4748418969684876</v>
      </c>
      <c r="G381" s="306">
        <f t="shared" ca="1" si="156"/>
        <v>18.774948852990441</v>
      </c>
      <c r="H381" s="307">
        <f t="shared" ca="1" si="157"/>
        <v>-66.415850566372782</v>
      </c>
      <c r="I381" s="304">
        <f t="shared" ca="1" si="158"/>
        <v>69.018576563756852</v>
      </c>
      <c r="J381" s="306">
        <f t="shared" ca="1" si="159"/>
        <v>676.27977196683753</v>
      </c>
      <c r="K381" s="307">
        <f t="shared" ca="1" si="160"/>
        <v>1159.5040092827908</v>
      </c>
      <c r="L381" s="304">
        <f t="shared" ca="1" si="145"/>
        <v>1342.3128836133487</v>
      </c>
      <c r="M381" s="306">
        <f t="shared" ca="1" si="161"/>
        <v>-1.2952969963709169</v>
      </c>
      <c r="N381" s="304">
        <f t="shared" ca="1" si="162"/>
        <v>-74.215051108025847</v>
      </c>
      <c r="P381" s="310">
        <f t="shared" ca="1" si="163"/>
        <v>23</v>
      </c>
      <c r="Q381" s="304">
        <f t="shared" ca="1" si="164"/>
        <v>0</v>
      </c>
      <c r="R381" s="306">
        <f t="shared" ca="1" si="165"/>
        <v>0</v>
      </c>
      <c r="S381" s="307">
        <f t="shared" ca="1" si="166"/>
        <v>2.9362999999999984</v>
      </c>
      <c r="T381" s="304">
        <f t="shared" ca="1" si="146"/>
        <v>28.805102999999985</v>
      </c>
      <c r="U381" s="311">
        <f t="shared" ca="1" si="147"/>
        <v>0</v>
      </c>
      <c r="V381" s="306">
        <f t="shared" ca="1" si="148"/>
        <v>1.090744262176629</v>
      </c>
      <c r="W381" s="304">
        <f t="shared" ca="1" si="149"/>
        <v>10.602251321041841</v>
      </c>
      <c r="Y381" s="314" t="str">
        <f t="shared" ca="1" si="167"/>
        <v/>
      </c>
      <c r="Z381" s="315" t="str">
        <f t="shared" ca="1" si="168"/>
        <v/>
      </c>
      <c r="AA381" s="316" t="str">
        <f t="shared" ca="1" si="169"/>
        <v/>
      </c>
      <c r="AC381" s="310" t="e">
        <f t="shared" ca="1" si="170"/>
        <v>#N/A</v>
      </c>
      <c r="AD381" s="323" t="e">
        <f t="shared" ca="1" si="171"/>
        <v>#N/A</v>
      </c>
      <c r="AE381" s="324" t="e">
        <f t="shared" ca="1" si="150"/>
        <v>#N/A</v>
      </c>
      <c r="AG381" s="306">
        <f t="shared" ca="1" si="172"/>
        <v>5.8824691545971763</v>
      </c>
      <c r="AH381" s="304">
        <f t="shared" ca="1" si="173"/>
        <v>-3.5470571200387213</v>
      </c>
    </row>
    <row r="382" spans="1:34" x14ac:dyDescent="0.2">
      <c r="A382" s="347">
        <f t="shared" ca="1" si="151"/>
        <v>0.1</v>
      </c>
      <c r="B382" s="304">
        <f t="shared" ca="1" si="152"/>
        <v>24.400000000000041</v>
      </c>
      <c r="D382" s="306">
        <f t="shared" ca="1" si="153"/>
        <v>-0.98222375662754169</v>
      </c>
      <c r="E382" s="307">
        <f t="shared" ca="1" si="154"/>
        <v>-6.3354112405997016</v>
      </c>
      <c r="F382" s="304">
        <f t="shared" ca="1" si="155"/>
        <v>6.4110996791190651</v>
      </c>
      <c r="G382" s="306">
        <f t="shared" ca="1" si="156"/>
        <v>18.676726477327687</v>
      </c>
      <c r="H382" s="307">
        <f t="shared" ca="1" si="157"/>
        <v>-67.049391690432756</v>
      </c>
      <c r="I382" s="304">
        <f t="shared" ca="1" si="158"/>
        <v>69.602018921623142</v>
      </c>
      <c r="J382" s="306">
        <f t="shared" ca="1" si="159"/>
        <v>678.15235573335349</v>
      </c>
      <c r="K382" s="307">
        <f t="shared" ca="1" si="160"/>
        <v>1152.8307471699504</v>
      </c>
      <c r="L382" s="304">
        <f t="shared" ca="1" si="145"/>
        <v>1337.5011585816003</v>
      </c>
      <c r="M382" s="306">
        <f t="shared" ca="1" si="161"/>
        <v>-1.2991310748539653</v>
      </c>
      <c r="N382" s="304">
        <f t="shared" ca="1" si="162"/>
        <v>-74.43472762342644</v>
      </c>
      <c r="P382" s="310">
        <f t="shared" ca="1" si="163"/>
        <v>23</v>
      </c>
      <c r="Q382" s="304">
        <f t="shared" ca="1" si="164"/>
        <v>0</v>
      </c>
      <c r="R382" s="306">
        <f t="shared" ca="1" si="165"/>
        <v>0</v>
      </c>
      <c r="S382" s="307">
        <f t="shared" ca="1" si="166"/>
        <v>2.9362999999999984</v>
      </c>
      <c r="T382" s="304">
        <f t="shared" ca="1" si="146"/>
        <v>28.805102999999985</v>
      </c>
      <c r="U382" s="311">
        <f t="shared" ca="1" si="147"/>
        <v>0</v>
      </c>
      <c r="V382" s="306">
        <f t="shared" ca="1" si="148"/>
        <v>1.0914748295712497</v>
      </c>
      <c r="W382" s="304">
        <f t="shared" ca="1" si="149"/>
        <v>10.789481151857025</v>
      </c>
      <c r="Y382" s="314" t="str">
        <f t="shared" ca="1" si="167"/>
        <v/>
      </c>
      <c r="Z382" s="315" t="str">
        <f t="shared" ca="1" si="168"/>
        <v/>
      </c>
      <c r="AA382" s="316" t="str">
        <f t="shared" ca="1" si="169"/>
        <v/>
      </c>
      <c r="AC382" s="310" t="e">
        <f t="shared" ca="1" si="170"/>
        <v>#N/A</v>
      </c>
      <c r="AD382" s="323" t="e">
        <f t="shared" ca="1" si="171"/>
        <v>#N/A</v>
      </c>
      <c r="AE382" s="324" t="e">
        <f t="shared" ca="1" si="150"/>
        <v>#N/A</v>
      </c>
      <c r="AG382" s="306">
        <f t="shared" ca="1" si="172"/>
        <v>5.8293077816181205</v>
      </c>
      <c r="AH382" s="304">
        <f t="shared" ca="1" si="173"/>
        <v>-3.6107520760963956</v>
      </c>
    </row>
    <row r="383" spans="1:34" x14ac:dyDescent="0.2">
      <c r="A383" s="347">
        <f t="shared" ca="1" si="151"/>
        <v>0.1</v>
      </c>
      <c r="B383" s="304">
        <f t="shared" ca="1" si="152"/>
        <v>24.500000000000043</v>
      </c>
      <c r="D383" s="306">
        <f t="shared" ca="1" si="153"/>
        <v>-0.9860048629861391</v>
      </c>
      <c r="E383" s="307">
        <f t="shared" ca="1" si="154"/>
        <v>-6.2702455174741925</v>
      </c>
      <c r="F383" s="304">
        <f t="shared" ca="1" si="155"/>
        <v>6.3472974122249477</v>
      </c>
      <c r="G383" s="306">
        <f t="shared" ca="1" si="156"/>
        <v>18.578125991029072</v>
      </c>
      <c r="H383" s="307">
        <f t="shared" ca="1" si="157"/>
        <v>-67.676416242180181</v>
      </c>
      <c r="I383" s="304">
        <f t="shared" ca="1" si="158"/>
        <v>70.180083219695447</v>
      </c>
      <c r="J383" s="306">
        <f t="shared" ca="1" si="159"/>
        <v>680.01509835677132</v>
      </c>
      <c r="K383" s="307">
        <f t="shared" ca="1" si="160"/>
        <v>1146.0944567733197</v>
      </c>
      <c r="L383" s="304">
        <f t="shared" ca="1" si="145"/>
        <v>1332.6488801780085</v>
      </c>
      <c r="M383" s="306">
        <f t="shared" ca="1" si="161"/>
        <v>-1.3028819712463848</v>
      </c>
      <c r="N383" s="304">
        <f t="shared" ca="1" si="162"/>
        <v>-74.649638156102924</v>
      </c>
      <c r="P383" s="310">
        <f t="shared" ca="1" si="163"/>
        <v>23</v>
      </c>
      <c r="Q383" s="304">
        <f t="shared" ca="1" si="164"/>
        <v>0</v>
      </c>
      <c r="R383" s="306">
        <f t="shared" ca="1" si="165"/>
        <v>0</v>
      </c>
      <c r="S383" s="307">
        <f t="shared" ca="1" si="166"/>
        <v>2.9362999999999984</v>
      </c>
      <c r="T383" s="304">
        <f t="shared" ca="1" si="146"/>
        <v>28.805102999999985</v>
      </c>
      <c r="U383" s="311">
        <f t="shared" ca="1" si="147"/>
        <v>0</v>
      </c>
      <c r="V383" s="306">
        <f t="shared" ca="1" si="148"/>
        <v>1.0922127647573605</v>
      </c>
      <c r="W383" s="304">
        <f t="shared" ca="1" si="149"/>
        <v>10.976861054042319</v>
      </c>
      <c r="Y383" s="314" t="str">
        <f t="shared" ca="1" si="167"/>
        <v/>
      </c>
      <c r="Z383" s="315" t="str">
        <f t="shared" ca="1" si="168"/>
        <v/>
      </c>
      <c r="AA383" s="316" t="str">
        <f t="shared" ca="1" si="169"/>
        <v/>
      </c>
      <c r="AC383" s="310" t="e">
        <f t="shared" ca="1" si="170"/>
        <v>#N/A</v>
      </c>
      <c r="AD383" s="323" t="e">
        <f t="shared" ca="1" si="171"/>
        <v>#N/A</v>
      </c>
      <c r="AE383" s="324" t="e">
        <f t="shared" ca="1" si="150"/>
        <v>#N/A</v>
      </c>
      <c r="AG383" s="306">
        <f t="shared" ca="1" si="172"/>
        <v>5.7757060900443431</v>
      </c>
      <c r="AH383" s="304">
        <f t="shared" ca="1" si="173"/>
        <v>-3.6745159390583493</v>
      </c>
    </row>
    <row r="384" spans="1:34" x14ac:dyDescent="0.2">
      <c r="A384" s="347">
        <f t="shared" ca="1" si="151"/>
        <v>0.1</v>
      </c>
      <c r="B384" s="304">
        <f t="shared" ca="1" si="152"/>
        <v>24.600000000000044</v>
      </c>
      <c r="D384" s="306">
        <f t="shared" ca="1" si="153"/>
        <v>-0.98961385445732308</v>
      </c>
      <c r="E384" s="307">
        <f t="shared" ca="1" si="154"/>
        <v>-6.2050336451791743</v>
      </c>
      <c r="F384" s="304">
        <f t="shared" ca="1" si="155"/>
        <v>6.2834527227265289</v>
      </c>
      <c r="G384" s="306">
        <f t="shared" ca="1" si="156"/>
        <v>18.479164605583339</v>
      </c>
      <c r="H384" s="307">
        <f t="shared" ca="1" si="157"/>
        <v>-68.296919606698097</v>
      </c>
      <c r="I384" s="304">
        <f t="shared" ca="1" si="158"/>
        <v>70.752729645463347</v>
      </c>
      <c r="J384" s="306">
        <f t="shared" ca="1" si="159"/>
        <v>681.86796288660196</v>
      </c>
      <c r="K384" s="307">
        <f t="shared" ca="1" si="160"/>
        <v>1139.2957899808757</v>
      </c>
      <c r="L384" s="304">
        <f t="shared" ca="1" si="145"/>
        <v>1327.7570620709469</v>
      </c>
      <c r="M384" s="306">
        <f t="shared" ca="1" si="161"/>
        <v>-1.3065523831763446</v>
      </c>
      <c r="N384" s="304">
        <f t="shared" ca="1" si="162"/>
        <v>-74.859937268764085</v>
      </c>
      <c r="P384" s="310">
        <f t="shared" ca="1" si="163"/>
        <v>23</v>
      </c>
      <c r="Q384" s="304">
        <f t="shared" ca="1" si="164"/>
        <v>0</v>
      </c>
      <c r="R384" s="306">
        <f t="shared" ca="1" si="165"/>
        <v>0</v>
      </c>
      <c r="S384" s="307">
        <f t="shared" ca="1" si="166"/>
        <v>2.9362999999999984</v>
      </c>
      <c r="T384" s="304">
        <f t="shared" ca="1" si="146"/>
        <v>28.805102999999985</v>
      </c>
      <c r="U384" s="311">
        <f t="shared" ca="1" si="147"/>
        <v>0</v>
      </c>
      <c r="V384" s="306">
        <f t="shared" ca="1" si="148"/>
        <v>1.092958009898509</v>
      </c>
      <c r="W384" s="304">
        <f t="shared" ca="1" si="149"/>
        <v>11.164339581630301</v>
      </c>
      <c r="Y384" s="314" t="str">
        <f t="shared" ca="1" si="167"/>
        <v/>
      </c>
      <c r="Z384" s="315" t="str">
        <f t="shared" ca="1" si="168"/>
        <v/>
      </c>
      <c r="AA384" s="316" t="str">
        <f t="shared" ca="1" si="169"/>
        <v/>
      </c>
      <c r="AC384" s="310" t="e">
        <f t="shared" ca="1" si="170"/>
        <v>#N/A</v>
      </c>
      <c r="AD384" s="323" t="e">
        <f t="shared" ca="1" si="171"/>
        <v>#N/A</v>
      </c>
      <c r="AE384" s="324" t="e">
        <f t="shared" ca="1" si="150"/>
        <v>#N/A</v>
      </c>
      <c r="AG384" s="306">
        <f t="shared" ca="1" si="172"/>
        <v>5.7216983861399999</v>
      </c>
      <c r="AH384" s="304">
        <f t="shared" ca="1" si="173"/>
        <v>-3.7383309110248697</v>
      </c>
    </row>
    <row r="385" spans="1:34" x14ac:dyDescent="0.2">
      <c r="A385" s="347">
        <f t="shared" ca="1" si="151"/>
        <v>0.1</v>
      </c>
      <c r="B385" s="304">
        <f t="shared" ca="1" si="152"/>
        <v>24.700000000000045</v>
      </c>
      <c r="D385" s="306">
        <f t="shared" ca="1" si="153"/>
        <v>-0.99305144356300679</v>
      </c>
      <c r="E385" s="307">
        <f t="shared" ca="1" si="154"/>
        <v>-6.1397932534327788</v>
      </c>
      <c r="F385" s="304">
        <f t="shared" ca="1" si="155"/>
        <v>6.2195829735168937</v>
      </c>
      <c r="G385" s="306">
        <f t="shared" ca="1" si="156"/>
        <v>18.379859461227039</v>
      </c>
      <c r="H385" s="307">
        <f t="shared" ca="1" si="157"/>
        <v>-68.910898932041377</v>
      </c>
      <c r="I385" s="304">
        <f t="shared" ca="1" si="158"/>
        <v>71.319921658933964</v>
      </c>
      <c r="J385" s="306">
        <f t="shared" ca="1" si="159"/>
        <v>683.71091408994243</v>
      </c>
      <c r="K385" s="307">
        <f t="shared" ca="1" si="160"/>
        <v>1132.4353990539387</v>
      </c>
      <c r="L385" s="304">
        <f t="shared" ca="1" si="145"/>
        <v>1322.8267260212722</v>
      </c>
      <c r="M385" s="306">
        <f t="shared" ca="1" si="161"/>
        <v>-1.3101448951020089</v>
      </c>
      <c r="N385" s="304">
        <f t="shared" ca="1" si="162"/>
        <v>-75.065773039955076</v>
      </c>
      <c r="P385" s="310">
        <f t="shared" ca="1" si="163"/>
        <v>23</v>
      </c>
      <c r="Q385" s="304">
        <f t="shared" ca="1" si="164"/>
        <v>0</v>
      </c>
      <c r="R385" s="306">
        <f t="shared" ca="1" si="165"/>
        <v>0</v>
      </c>
      <c r="S385" s="307">
        <f t="shared" ca="1" si="166"/>
        <v>2.9362999999999984</v>
      </c>
      <c r="T385" s="304">
        <f t="shared" ca="1" si="146"/>
        <v>28.805102999999985</v>
      </c>
      <c r="U385" s="311">
        <f t="shared" ca="1" si="147"/>
        <v>0</v>
      </c>
      <c r="V385" s="306">
        <f t="shared" ca="1" si="148"/>
        <v>1.0937105070811499</v>
      </c>
      <c r="W385" s="304">
        <f t="shared" ca="1" si="149"/>
        <v>11.351866119781427</v>
      </c>
      <c r="Y385" s="314" t="str">
        <f t="shared" ca="1" si="167"/>
        <v/>
      </c>
      <c r="Z385" s="315" t="str">
        <f t="shared" ca="1" si="168"/>
        <v/>
      </c>
      <c r="AA385" s="316" t="str">
        <f t="shared" ca="1" si="169"/>
        <v/>
      </c>
      <c r="AC385" s="310" t="e">
        <f t="shared" ca="1" si="170"/>
        <v>#N/A</v>
      </c>
      <c r="AD385" s="323" t="e">
        <f t="shared" ca="1" si="171"/>
        <v>#N/A</v>
      </c>
      <c r="AE385" s="324" t="e">
        <f t="shared" ca="1" si="150"/>
        <v>#N/A</v>
      </c>
      <c r="AG385" s="306">
        <f t="shared" ca="1" si="172"/>
        <v>5.667317814497121</v>
      </c>
      <c r="AH385" s="304">
        <f t="shared" ca="1" si="173"/>
        <v>-3.8021794713177495</v>
      </c>
    </row>
    <row r="386" spans="1:34" x14ac:dyDescent="0.2">
      <c r="A386" s="347">
        <f t="shared" ca="1" si="151"/>
        <v>0.1</v>
      </c>
      <c r="B386" s="304">
        <f t="shared" ca="1" si="152"/>
        <v>24.800000000000047</v>
      </c>
      <c r="D386" s="306">
        <f t="shared" ca="1" si="153"/>
        <v>-0.99631843060012237</v>
      </c>
      <c r="E386" s="307">
        <f t="shared" ca="1" si="154"/>
        <v>-6.0745416946712858</v>
      </c>
      <c r="F386" s="304">
        <f t="shared" ca="1" si="155"/>
        <v>6.155705257357063</v>
      </c>
      <c r="G386" s="306">
        <f t="shared" ca="1" si="156"/>
        <v>18.280227618167025</v>
      </c>
      <c r="H386" s="307">
        <f t="shared" ca="1" si="157"/>
        <v>-69.518353101508509</v>
      </c>
      <c r="I386" s="304">
        <f t="shared" ca="1" si="158"/>
        <v>71.881625883935143</v>
      </c>
      <c r="J386" s="306">
        <f t="shared" ca="1" si="159"/>
        <v>685.54391844391216</v>
      </c>
      <c r="K386" s="307">
        <f t="shared" ca="1" si="160"/>
        <v>1125.5139364522611</v>
      </c>
      <c r="L386" s="304">
        <f t="shared" ca="1" si="145"/>
        <v>1317.8589018797491</v>
      </c>
      <c r="M386" s="306">
        <f t="shared" ca="1" si="161"/>
        <v>-1.3136619839520731</v>
      </c>
      <c r="N386" s="304">
        <f t="shared" ca="1" si="162"/>
        <v>-75.267287387236266</v>
      </c>
      <c r="P386" s="310">
        <f t="shared" ca="1" si="163"/>
        <v>23</v>
      </c>
      <c r="Q386" s="304">
        <f t="shared" ca="1" si="164"/>
        <v>0</v>
      </c>
      <c r="R386" s="306">
        <f t="shared" ca="1" si="165"/>
        <v>0</v>
      </c>
      <c r="S386" s="307">
        <f t="shared" ca="1" si="166"/>
        <v>2.9362999999999984</v>
      </c>
      <c r="T386" s="304">
        <f t="shared" ca="1" si="146"/>
        <v>28.805102999999985</v>
      </c>
      <c r="U386" s="311">
        <f t="shared" ca="1" si="147"/>
        <v>0</v>
      </c>
      <c r="V386" s="306">
        <f t="shared" ca="1" si="148"/>
        <v>1.0944701983297109</v>
      </c>
      <c r="W386" s="304">
        <f t="shared" ca="1" si="149"/>
        <v>11.53939090078714</v>
      </c>
      <c r="Y386" s="314" t="str">
        <f t="shared" ca="1" si="167"/>
        <v/>
      </c>
      <c r="Z386" s="315" t="str">
        <f t="shared" ca="1" si="168"/>
        <v/>
      </c>
      <c r="AA386" s="316" t="str">
        <f t="shared" ca="1" si="169"/>
        <v/>
      </c>
      <c r="AC386" s="310" t="e">
        <f t="shared" ca="1" si="170"/>
        <v>#N/A</v>
      </c>
      <c r="AD386" s="323" t="e">
        <f t="shared" ca="1" si="171"/>
        <v>#N/A</v>
      </c>
      <c r="AE386" s="324" t="e">
        <f t="shared" ca="1" si="150"/>
        <v>#N/A</v>
      </c>
      <c r="AG386" s="306">
        <f t="shared" ca="1" si="172"/>
        <v>5.6125964069502166</v>
      </c>
      <c r="AH386" s="304">
        <f t="shared" ca="1" si="173"/>
        <v>-3.8660443823115598</v>
      </c>
    </row>
    <row r="387" spans="1:34" x14ac:dyDescent="0.2">
      <c r="A387" s="347">
        <f t="shared" ca="1" si="151"/>
        <v>0.1</v>
      </c>
      <c r="B387" s="304">
        <f t="shared" ca="1" si="152"/>
        <v>24.900000000000048</v>
      </c>
      <c r="D387" s="306">
        <f t="shared" ca="1" si="153"/>
        <v>-0.99941570015521952</v>
      </c>
      <c r="E387" s="307">
        <f t="shared" ca="1" si="154"/>
        <v>-6.0092960377837734</v>
      </c>
      <c r="F387" s="304">
        <f t="shared" ca="1" si="155"/>
        <v>6.0918363907314932</v>
      </c>
      <c r="G387" s="306">
        <f t="shared" ca="1" si="156"/>
        <v>18.180286048151505</v>
      </c>
      <c r="H387" s="307">
        <f t="shared" ca="1" si="157"/>
        <v>-70.119282705286892</v>
      </c>
      <c r="I387" s="304">
        <f t="shared" ca="1" si="158"/>
        <v>72.437812003790938</v>
      </c>
      <c r="J387" s="306">
        <f t="shared" ca="1" si="159"/>
        <v>687.36694412722807</v>
      </c>
      <c r="K387" s="307">
        <f t="shared" ca="1" si="160"/>
        <v>1118.5320546619214</v>
      </c>
      <c r="L387" s="304">
        <f t="shared" ca="1" si="145"/>
        <v>1312.8546275902079</v>
      </c>
      <c r="M387" s="306">
        <f t="shared" ca="1" si="161"/>
        <v>-1.3171060244476451</v>
      </c>
      <c r="N387" s="304">
        <f t="shared" ca="1" si="162"/>
        <v>-75.464616372104686</v>
      </c>
      <c r="P387" s="310">
        <f t="shared" ca="1" si="163"/>
        <v>23</v>
      </c>
      <c r="Q387" s="304">
        <f t="shared" ca="1" si="164"/>
        <v>0</v>
      </c>
      <c r="R387" s="306">
        <f t="shared" ca="1" si="165"/>
        <v>0</v>
      </c>
      <c r="S387" s="307">
        <f t="shared" ca="1" si="166"/>
        <v>2.9362999999999984</v>
      </c>
      <c r="T387" s="304">
        <f t="shared" ca="1" si="146"/>
        <v>28.805102999999985</v>
      </c>
      <c r="U387" s="311">
        <f t="shared" ca="1" si="147"/>
        <v>0</v>
      </c>
      <c r="V387" s="306">
        <f t="shared" ca="1" si="148"/>
        <v>1.0952370256214488</v>
      </c>
      <c r="W387" s="304">
        <f t="shared" ca="1" si="149"/>
        <v>11.72686501896259</v>
      </c>
      <c r="Y387" s="314" t="str">
        <f t="shared" ca="1" si="167"/>
        <v/>
      </c>
      <c r="Z387" s="315" t="str">
        <f t="shared" ca="1" si="168"/>
        <v/>
      </c>
      <c r="AA387" s="316" t="str">
        <f t="shared" ca="1" si="169"/>
        <v/>
      </c>
      <c r="AC387" s="310" t="e">
        <f t="shared" ca="1" si="170"/>
        <v>#N/A</v>
      </c>
      <c r="AD387" s="323" t="e">
        <f t="shared" ca="1" si="171"/>
        <v>#N/A</v>
      </c>
      <c r="AE387" s="324" t="e">
        <f t="shared" ca="1" si="150"/>
        <v>#N/A</v>
      </c>
      <c r="AG387" s="306">
        <f t="shared" ca="1" si="172"/>
        <v>5.557565128078477</v>
      </c>
      <c r="AH387" s="304">
        <f t="shared" ca="1" si="173"/>
        <v>-3.9299086948837472</v>
      </c>
    </row>
    <row r="388" spans="1:34" x14ac:dyDescent="0.2">
      <c r="A388" s="347">
        <f t="shared" ca="1" si="151"/>
        <v>0.1</v>
      </c>
      <c r="B388" s="304">
        <f t="shared" ca="1" si="152"/>
        <v>25.00000000000005</v>
      </c>
      <c r="D388" s="306">
        <f t="shared" ca="1" si="153"/>
        <v>-1.0023442176999595</v>
      </c>
      <c r="E388" s="307">
        <f t="shared" ca="1" si="154"/>
        <v>-5.9440730622849998</v>
      </c>
      <c r="F388" s="304">
        <f t="shared" ca="1" si="155"/>
        <v>6.027992908136067</v>
      </c>
      <c r="G388" s="306">
        <f t="shared" ca="1" si="156"/>
        <v>18.080051626381508</v>
      </c>
      <c r="H388" s="307">
        <f t="shared" ca="1" si="157"/>
        <v>-70.713690011515396</v>
      </c>
      <c r="I388" s="304">
        <f t="shared" ca="1" si="158"/>
        <v>72.988452661070383</v>
      </c>
      <c r="J388" s="306">
        <f t="shared" ca="1" si="159"/>
        <v>689.17996101095468</v>
      </c>
      <c r="K388" s="307">
        <f t="shared" ca="1" si="160"/>
        <v>1111.4904060260812</v>
      </c>
      <c r="L388" s="304">
        <f t="shared" ref="L388:L451" ca="1" si="174">SQRT(pos_x^2+pos_z^2)</f>
        <v>1307.8149491985034</v>
      </c>
      <c r="M388" s="306">
        <f t="shared" ca="1" si="161"/>
        <v>-1.3204792941250858</v>
      </c>
      <c r="N388" s="304">
        <f t="shared" ca="1" si="162"/>
        <v>-75.657890487781501</v>
      </c>
      <c r="P388" s="310">
        <f t="shared" ca="1" si="163"/>
        <v>23</v>
      </c>
      <c r="Q388" s="304">
        <f t="shared" ca="1" si="164"/>
        <v>0</v>
      </c>
      <c r="R388" s="306">
        <f t="shared" ca="1" si="165"/>
        <v>0</v>
      </c>
      <c r="S388" s="307">
        <f t="shared" ca="1" si="166"/>
        <v>2.9362999999999984</v>
      </c>
      <c r="T388" s="304">
        <f t="shared" ref="T388:T451" ca="1" si="175">m*g</f>
        <v>28.805102999999985</v>
      </c>
      <c r="U388" s="311">
        <f t="shared" ref="U388:U451" ca="1" si="176">IF(pos_xz&lt;L_rampe,Poids*COS(Beta),0)</f>
        <v>0</v>
      </c>
      <c r="V388" s="306">
        <f t="shared" ref="V388:V451" ca="1" si="177">Rho_moyen*(20000-Alt_rampe-pos_z)/(20000+Alt_rampe+pos_z)</f>
        <v>1.096010930901089</v>
      </c>
      <c r="W388" s="304">
        <f t="shared" ref="W388:W451" ca="1" si="178">1/2*Rho*Sref*Cx*vit_xz^2</f>
        <v>11.914240444439582</v>
      </c>
      <c r="Y388" s="314" t="str">
        <f t="shared" ca="1" si="167"/>
        <v/>
      </c>
      <c r="Z388" s="315" t="str">
        <f t="shared" ca="1" si="168"/>
        <v/>
      </c>
      <c r="AA388" s="316" t="str">
        <f t="shared" ca="1" si="169"/>
        <v/>
      </c>
      <c r="AC388" s="310">
        <f t="shared" ca="1" si="170"/>
        <v>25.00000000000005</v>
      </c>
      <c r="AD388" s="323">
        <f t="shared" ca="1" si="171"/>
        <v>689.17996101095468</v>
      </c>
      <c r="AE388" s="324" t="e">
        <f t="shared" ref="AE388:AE451" ca="1" si="179">IF(t&lt;T_para, pos_z, NA())</f>
        <v>#N/A</v>
      </c>
      <c r="AG388" s="306">
        <f t="shared" ca="1" si="172"/>
        <v>5.5022539175795036</v>
      </c>
      <c r="AH388" s="304">
        <f t="shared" ca="1" si="173"/>
        <v>-3.9937557534865635</v>
      </c>
    </row>
    <row r="389" spans="1:34" x14ac:dyDescent="0.2">
      <c r="A389" s="347">
        <f t="shared" ref="A389:A452" ca="1" si="180">IF(B388+0.01&lt;=T_ini+ROUNDUP(Temps_fin_propu,0), 0.01, IF(K388&gt;0, 0.1, 0.0001))</f>
        <v>0.1</v>
      </c>
      <c r="B389" s="304">
        <f t="shared" ref="B389:B452" ca="1" si="181">B388+pas</f>
        <v>25.100000000000051</v>
      </c>
      <c r="D389" s="306">
        <f t="shared" ref="D389:D452" ca="1" si="182">IF(AND(L388&lt;L_rampe,Poussee&lt;Poids*SIN(M388)),0,(-W388+Poussee)/m*COS(M388)-U388/m*SIN(M388))</f>
        <v>-1.0051050262641308</v>
      </c>
      <c r="E389" s="307">
        <f t="shared" ref="E389:E452" ca="1" si="183">IF(AND(L388&lt;L_rampe,Poussee&lt;Poids*SIN(M388)),0,(-W388+Poussee)/m*SIN(M388)+U388/m*COS(M388)-Poids/m)</f>
        <v>-5.8788892529184418</v>
      </c>
      <c r="F389" s="304">
        <f t="shared" ref="F389:F452" ca="1" si="184">SQRT(acc_x^2+acc_z^2)</f>
        <v>5.964191056790634</v>
      </c>
      <c r="G389" s="306">
        <f t="shared" ref="G389:G452" ca="1" si="185">G388+acc_x*pas</f>
        <v>17.979541123755094</v>
      </c>
      <c r="H389" s="307">
        <f t="shared" ref="H389:H452" ca="1" si="186">H388+acc_z*pas</f>
        <v>-71.301578936807246</v>
      </c>
      <c r="I389" s="304">
        <f t="shared" ref="I389:I452" ca="1" si="187">SQRT(vit_x^2+vit_z^2)</f>
        <v>73.533523361134783</v>
      </c>
      <c r="J389" s="306">
        <f t="shared" ref="J389:J452" ca="1" si="188">J388+0.5*(vit_x+G388)*pas*(K388&gt;=0)</f>
        <v>690.98294064846152</v>
      </c>
      <c r="K389" s="307">
        <f t="shared" ref="K389:K452" ca="1" si="189">K388+0.5*(vit_z+H388)*pas</f>
        <v>1104.3896425786652</v>
      </c>
      <c r="L389" s="304">
        <f t="shared" ca="1" si="174"/>
        <v>1302.7409208673178</v>
      </c>
      <c r="M389" s="306">
        <f t="shared" ref="M389:M452" ca="1" si="190">IF(AND(L388&gt;L_rampe,G389&gt;0),ATAN2(G389,H389),$M$4)</f>
        <v>-1.3237839780781582</v>
      </c>
      <c r="N389" s="304">
        <f t="shared" ref="N389:N452" ca="1" si="191">DEGREES(Beta)</f>
        <v>-75.847234930917153</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2.9362999999999984</v>
      </c>
      <c r="T389" s="304">
        <f t="shared" ca="1" si="175"/>
        <v>28.805102999999985</v>
      </c>
      <c r="U389" s="311">
        <f t="shared" ca="1" si="176"/>
        <v>0</v>
      </c>
      <c r="V389" s="306">
        <f t="shared" ca="1" si="177"/>
        <v>1.0967918560952459</v>
      </c>
      <c r="W389" s="304">
        <f t="shared" ca="1" si="178"/>
        <v>12.101470035871504</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t="e">
        <f t="shared" ca="1" si="179"/>
        <v>#N/A</v>
      </c>
      <c r="AG389" s="306">
        <f t="shared" ref="AG389:AG452" ca="1" si="201">IF(AND(L388&lt;L_rampe,Poussee&lt;Poids*SIN(M388)),0,(-W388+Poussee)/m-Poids*SIN(M388)/m)</f>
        <v>5.4466917297748196</v>
      </c>
      <c r="AH389" s="304">
        <f t="shared" ref="AH389:AH452" ca="1" si="202">IF(AND(L388&lt;L_rampe,Poussee&lt;Poids*SIN(M388)), g*SIN(M388), (-W388+Poussee)/m)</f>
        <v>-4.0575692008444602</v>
      </c>
    </row>
    <row r="390" spans="1:34" x14ac:dyDescent="0.2">
      <c r="A390" s="347">
        <f t="shared" ca="1" si="180"/>
        <v>0.1</v>
      </c>
      <c r="B390" s="304">
        <f t="shared" ca="1" si="181"/>
        <v>25.200000000000053</v>
      </c>
      <c r="D390" s="306">
        <f t="shared" ca="1" si="182"/>
        <v>-1.0076992431831813</v>
      </c>
      <c r="E390" s="307">
        <f t="shared" ca="1" si="183"/>
        <v>-5.8137607946814907</v>
      </c>
      <c r="F390" s="304">
        <f t="shared" ca="1" si="184"/>
        <v>5.9004467917681884</v>
      </c>
      <c r="G390" s="306">
        <f t="shared" ca="1" si="185"/>
        <v>17.878771199436777</v>
      </c>
      <c r="H390" s="307">
        <f t="shared" ca="1" si="186"/>
        <v>-71.882955016275389</v>
      </c>
      <c r="I390" s="304">
        <f t="shared" ca="1" si="187"/>
        <v>74.073002379231809</v>
      </c>
      <c r="J390" s="306">
        <f t="shared" ca="1" si="188"/>
        <v>692.7758562646211</v>
      </c>
      <c r="K390" s="307">
        <f t="shared" ca="1" si="189"/>
        <v>1097.2304158810111</v>
      </c>
      <c r="L390" s="304">
        <f t="shared" ca="1" si="174"/>
        <v>1297.6336048968506</v>
      </c>
      <c r="M390" s="306">
        <f t="shared" ca="1" si="190"/>
        <v>-1.3270221734366614</v>
      </c>
      <c r="N390" s="304">
        <f t="shared" ca="1" si="191"/>
        <v>-76.032769858198236</v>
      </c>
      <c r="P390" s="310">
        <f t="shared" ca="1" si="192"/>
        <v>23</v>
      </c>
      <c r="Q390" s="304">
        <f t="shared" ca="1" si="193"/>
        <v>0</v>
      </c>
      <c r="R390" s="306">
        <f t="shared" ca="1" si="194"/>
        <v>0</v>
      </c>
      <c r="S390" s="307">
        <f t="shared" ca="1" si="195"/>
        <v>2.9362999999999984</v>
      </c>
      <c r="T390" s="304">
        <f t="shared" ca="1" si="175"/>
        <v>28.805102999999985</v>
      </c>
      <c r="U390" s="311">
        <f t="shared" ca="1" si="176"/>
        <v>0</v>
      </c>
      <c r="V390" s="306">
        <f t="shared" ca="1" si="177"/>
        <v>1.0975797431266185</v>
      </c>
      <c r="W390" s="304">
        <f t="shared" ca="1" si="178"/>
        <v>12.288507552063534</v>
      </c>
      <c r="Y390" s="314" t="str">
        <f t="shared" ca="1" si="196"/>
        <v/>
      </c>
      <c r="Z390" s="315" t="str">
        <f t="shared" ca="1" si="197"/>
        <v/>
      </c>
      <c r="AA390" s="316" t="str">
        <f t="shared" ca="1" si="198"/>
        <v/>
      </c>
      <c r="AC390" s="310" t="e">
        <f t="shared" ca="1" si="199"/>
        <v>#N/A</v>
      </c>
      <c r="AD390" s="323" t="e">
        <f t="shared" ca="1" si="200"/>
        <v>#N/A</v>
      </c>
      <c r="AE390" s="324" t="e">
        <f t="shared" ca="1" si="179"/>
        <v>#N/A</v>
      </c>
      <c r="AG390" s="306">
        <f t="shared" ca="1" si="201"/>
        <v>5.390906570485746</v>
      </c>
      <c r="AH390" s="304">
        <f t="shared" ca="1" si="202"/>
        <v>-4.1213329822809355</v>
      </c>
    </row>
    <row r="391" spans="1:34" x14ac:dyDescent="0.2">
      <c r="A391" s="347">
        <f t="shared" ca="1" si="180"/>
        <v>0.1</v>
      </c>
      <c r="B391" s="304">
        <f t="shared" ca="1" si="181"/>
        <v>25.300000000000054</v>
      </c>
      <c r="D391" s="306">
        <f t="shared" ca="1" si="182"/>
        <v>-1.0101280569176185</v>
      </c>
      <c r="E391" s="307">
        <f t="shared" ca="1" si="183"/>
        <v>-5.7487035682645642</v>
      </c>
      <c r="F391" s="304">
        <f t="shared" ca="1" si="184"/>
        <v>5.8367757715325936</v>
      </c>
      <c r="G391" s="306">
        <f t="shared" ca="1" si="185"/>
        <v>17.777758393745014</v>
      </c>
      <c r="H391" s="307">
        <f t="shared" ca="1" si="186"/>
        <v>-72.457825373101841</v>
      </c>
      <c r="I391" s="304">
        <f t="shared" ca="1" si="187"/>
        <v>74.606870670905991</v>
      </c>
      <c r="J391" s="306">
        <f t="shared" ca="1" si="188"/>
        <v>694.55868274428019</v>
      </c>
      <c r="K391" s="307">
        <f t="shared" ca="1" si="189"/>
        <v>1090.0133768615424</v>
      </c>
      <c r="L391" s="304">
        <f t="shared" ca="1" si="174"/>
        <v>1292.494071751423</v>
      </c>
      <c r="M391" s="306">
        <f t="shared" ca="1" si="190"/>
        <v>-1.3301958935976212</v>
      </c>
      <c r="N391" s="304">
        <f t="shared" ca="1" si="191"/>
        <v>-76.214610628776825</v>
      </c>
      <c r="P391" s="310">
        <f t="shared" ca="1" si="192"/>
        <v>23</v>
      </c>
      <c r="Q391" s="304">
        <f t="shared" ca="1" si="193"/>
        <v>0</v>
      </c>
      <c r="R391" s="306">
        <f t="shared" ca="1" si="194"/>
        <v>0</v>
      </c>
      <c r="S391" s="307">
        <f t="shared" ca="1" si="195"/>
        <v>2.9362999999999984</v>
      </c>
      <c r="T391" s="304">
        <f t="shared" ca="1" si="175"/>
        <v>28.805102999999985</v>
      </c>
      <c r="U391" s="311">
        <f t="shared" ca="1" si="176"/>
        <v>0</v>
      </c>
      <c r="V391" s="306">
        <f t="shared" ca="1" si="177"/>
        <v>1.0983745339279543</v>
      </c>
      <c r="W391" s="304">
        <f t="shared" ca="1" si="178"/>
        <v>12.475307662542606</v>
      </c>
      <c r="Y391" s="314" t="str">
        <f t="shared" ca="1" si="196"/>
        <v/>
      </c>
      <c r="Z391" s="315" t="str">
        <f t="shared" ca="1" si="197"/>
        <v/>
      </c>
      <c r="AA391" s="316" t="str">
        <f t="shared" ca="1" si="198"/>
        <v/>
      </c>
      <c r="AC391" s="310" t="e">
        <f t="shared" ca="1" si="199"/>
        <v>#N/A</v>
      </c>
      <c r="AD391" s="323" t="e">
        <f t="shared" ca="1" si="200"/>
        <v>#N/A</v>
      </c>
      <c r="AE391" s="324" t="e">
        <f t="shared" ca="1" si="179"/>
        <v>#N/A</v>
      </c>
      <c r="AG391" s="306">
        <f t="shared" ca="1" si="201"/>
        <v>5.3349255314983512</v>
      </c>
      <c r="AH391" s="304">
        <f t="shared" ca="1" si="202"/>
        <v>-4.1850313496793721</v>
      </c>
    </row>
    <row r="392" spans="1:34" x14ac:dyDescent="0.2">
      <c r="A392" s="347">
        <f t="shared" ca="1" si="180"/>
        <v>0.1</v>
      </c>
      <c r="B392" s="304">
        <f t="shared" ca="1" si="181"/>
        <v>25.400000000000055</v>
      </c>
      <c r="D392" s="306">
        <f t="shared" ca="1" si="182"/>
        <v>-1.0123927239419179</v>
      </c>
      <c r="E392" s="307">
        <f t="shared" ca="1" si="183"/>
        <v>-5.6837331458958227</v>
      </c>
      <c r="F392" s="304">
        <f t="shared" ca="1" si="184"/>
        <v>5.7731933538766365</v>
      </c>
      <c r="G392" s="306">
        <f t="shared" ca="1" si="185"/>
        <v>17.676519121350822</v>
      </c>
      <c r="H392" s="307">
        <f t="shared" ca="1" si="186"/>
        <v>-73.026198687691419</v>
      </c>
      <c r="I392" s="304">
        <f t="shared" ca="1" si="187"/>
        <v>75.135111785513871</v>
      </c>
      <c r="J392" s="306">
        <f t="shared" ca="1" si="188"/>
        <v>696.33139662003498</v>
      </c>
      <c r="K392" s="307">
        <f t="shared" ca="1" si="189"/>
        <v>1082.7391756585027</v>
      </c>
      <c r="L392" s="304">
        <f t="shared" ca="1" si="174"/>
        <v>1287.3234000920136</v>
      </c>
      <c r="M392" s="306">
        <f t="shared" ca="1" si="190"/>
        <v>-1.3333070722240723</v>
      </c>
      <c r="N392" s="304">
        <f t="shared" ca="1" si="191"/>
        <v>-76.392868033383778</v>
      </c>
      <c r="P392" s="310">
        <f t="shared" ca="1" si="192"/>
        <v>23</v>
      </c>
      <c r="Q392" s="304">
        <f t="shared" ca="1" si="193"/>
        <v>0</v>
      </c>
      <c r="R392" s="306">
        <f t="shared" ca="1" si="194"/>
        <v>0</v>
      </c>
      <c r="S392" s="307">
        <f t="shared" ca="1" si="195"/>
        <v>2.9362999999999984</v>
      </c>
      <c r="T392" s="304">
        <f t="shared" ca="1" si="175"/>
        <v>28.805102999999985</v>
      </c>
      <c r="U392" s="311">
        <f t="shared" ca="1" si="176"/>
        <v>0</v>
      </c>
      <c r="V392" s="306">
        <f t="shared" ca="1" si="177"/>
        <v>1.0991761704557788</v>
      </c>
      <c r="W392" s="304">
        <f t="shared" ca="1" si="178"/>
        <v>12.66182595708276</v>
      </c>
      <c r="Y392" s="314" t="str">
        <f t="shared" ca="1" si="196"/>
        <v/>
      </c>
      <c r="Z392" s="315" t="str">
        <f t="shared" ca="1" si="197"/>
        <v/>
      </c>
      <c r="AA392" s="316" t="str">
        <f t="shared" ca="1" si="198"/>
        <v/>
      </c>
      <c r="AC392" s="310" t="e">
        <f t="shared" ca="1" si="199"/>
        <v>#N/A</v>
      </c>
      <c r="AD392" s="323" t="e">
        <f t="shared" ca="1" si="200"/>
        <v>#N/A</v>
      </c>
      <c r="AE392" s="324" t="e">
        <f t="shared" ca="1" si="179"/>
        <v>#N/A</v>
      </c>
      <c r="AG392" s="306">
        <f t="shared" ca="1" si="201"/>
        <v>5.2787748228178408</v>
      </c>
      <c r="AH392" s="304">
        <f t="shared" ca="1" si="202"/>
        <v>-4.2486488650827958</v>
      </c>
    </row>
    <row r="393" spans="1:34" x14ac:dyDescent="0.2">
      <c r="A393" s="347">
        <f t="shared" ca="1" si="180"/>
        <v>0.1</v>
      </c>
      <c r="B393" s="304">
        <f t="shared" ca="1" si="181"/>
        <v>25.500000000000057</v>
      </c>
      <c r="D393" s="306">
        <f t="shared" ca="1" si="182"/>
        <v>-1.0144945657008653</v>
      </c>
      <c r="E393" s="307">
        <f t="shared" ca="1" si="183"/>
        <v>-5.6188647875830711</v>
      </c>
      <c r="F393" s="304">
        <f t="shared" ca="1" si="184"/>
        <v>5.709714592252185</v>
      </c>
      <c r="G393" s="306">
        <f t="shared" ca="1" si="185"/>
        <v>17.575069664780735</v>
      </c>
      <c r="H393" s="307">
        <f t="shared" ca="1" si="186"/>
        <v>-73.58808516644973</v>
      </c>
      <c r="I393" s="304">
        <f t="shared" ca="1" si="187"/>
        <v>75.657711782650125</v>
      </c>
      <c r="J393" s="306">
        <f t="shared" ca="1" si="188"/>
        <v>698.09397605934157</v>
      </c>
      <c r="K393" s="307">
        <f t="shared" ca="1" si="189"/>
        <v>1075.4084614657957</v>
      </c>
      <c r="L393" s="304">
        <f t="shared" ca="1" si="174"/>
        <v>1282.1226768147305</v>
      </c>
      <c r="M393" s="306">
        <f t="shared" ca="1" si="190"/>
        <v>-1.3363575670254997</v>
      </c>
      <c r="N393" s="304">
        <f t="shared" ca="1" si="191"/>
        <v>-76.567648510932159</v>
      </c>
      <c r="P393" s="310">
        <f t="shared" ca="1" si="192"/>
        <v>23</v>
      </c>
      <c r="Q393" s="304">
        <f t="shared" ca="1" si="193"/>
        <v>0</v>
      </c>
      <c r="R393" s="306">
        <f t="shared" ca="1" si="194"/>
        <v>0</v>
      </c>
      <c r="S393" s="307">
        <f t="shared" ca="1" si="195"/>
        <v>2.9362999999999984</v>
      </c>
      <c r="T393" s="304">
        <f t="shared" ca="1" si="175"/>
        <v>28.805102999999985</v>
      </c>
      <c r="U393" s="311">
        <f t="shared" ca="1" si="176"/>
        <v>0</v>
      </c>
      <c r="V393" s="306">
        <f t="shared" ca="1" si="177"/>
        <v>1.0999845947038909</v>
      </c>
      <c r="W393" s="304">
        <f t="shared" ca="1" si="178"/>
        <v>12.848018954202793</v>
      </c>
      <c r="Y393" s="314" t="str">
        <f t="shared" ca="1" si="196"/>
        <v/>
      </c>
      <c r="Z393" s="315" t="str">
        <f t="shared" ca="1" si="197"/>
        <v/>
      </c>
      <c r="AA393" s="316" t="str">
        <f t="shared" ca="1" si="198"/>
        <v/>
      </c>
      <c r="AC393" s="310" t="e">
        <f t="shared" ca="1" si="199"/>
        <v>#N/A</v>
      </c>
      <c r="AD393" s="323" t="e">
        <f t="shared" ca="1" si="200"/>
        <v>#N/A</v>
      </c>
      <c r="AE393" s="324" t="e">
        <f t="shared" ca="1" si="179"/>
        <v>#N/A</v>
      </c>
      <c r="AG393" s="306">
        <f t="shared" ca="1" si="201"/>
        <v>5.2224798028962276</v>
      </c>
      <c r="AH393" s="304">
        <f t="shared" ca="1" si="202"/>
        <v>-4.3121704039378699</v>
      </c>
    </row>
    <row r="394" spans="1:34" x14ac:dyDescent="0.2">
      <c r="A394" s="347">
        <f t="shared" ca="1" si="180"/>
        <v>0.1</v>
      </c>
      <c r="B394" s="304">
        <f t="shared" ca="1" si="181"/>
        <v>25.600000000000058</v>
      </c>
      <c r="D394" s="306">
        <f t="shared" ca="1" si="182"/>
        <v>-1.0164349656315121</v>
      </c>
      <c r="E394" s="307">
        <f t="shared" ca="1" si="183"/>
        <v>-5.5541134377442427</v>
      </c>
      <c r="F394" s="304">
        <f t="shared" ca="1" si="184"/>
        <v>5.646354232483958</v>
      </c>
      <c r="G394" s="306">
        <f t="shared" ca="1" si="185"/>
        <v>17.473426168217582</v>
      </c>
      <c r="H394" s="307">
        <f t="shared" ca="1" si="186"/>
        <v>-74.143496510224153</v>
      </c>
      <c r="I394" s="304">
        <f t="shared" ca="1" si="187"/>
        <v>76.174659151306813</v>
      </c>
      <c r="J394" s="306">
        <f t="shared" ca="1" si="188"/>
        <v>699.84640085099147</v>
      </c>
      <c r="K394" s="307">
        <f t="shared" ca="1" si="189"/>
        <v>1068.0218823819619</v>
      </c>
      <c r="L394" s="304">
        <f t="shared" ca="1" si="174"/>
        <v>1276.8929970952131</v>
      </c>
      <c r="M394" s="306">
        <f t="shared" ca="1" si="190"/>
        <v>-1.3393491633331056</v>
      </c>
      <c r="N394" s="304">
        <f t="shared" ca="1" si="191"/>
        <v>-76.739054353364907</v>
      </c>
      <c r="P394" s="310">
        <f t="shared" ca="1" si="192"/>
        <v>23</v>
      </c>
      <c r="Q394" s="304">
        <f t="shared" ca="1" si="193"/>
        <v>0</v>
      </c>
      <c r="R394" s="306">
        <f t="shared" ca="1" si="194"/>
        <v>0</v>
      </c>
      <c r="S394" s="307">
        <f t="shared" ca="1" si="195"/>
        <v>2.9362999999999984</v>
      </c>
      <c r="T394" s="304">
        <f t="shared" ca="1" si="175"/>
        <v>28.805102999999985</v>
      </c>
      <c r="U394" s="311">
        <f t="shared" ca="1" si="176"/>
        <v>0</v>
      </c>
      <c r="V394" s="306">
        <f t="shared" ca="1" si="177"/>
        <v>1.1007997487166097</v>
      </c>
      <c r="W394" s="304">
        <f t="shared" ca="1" si="178"/>
        <v>13.033844108653847</v>
      </c>
      <c r="Y394" s="314" t="str">
        <f t="shared" ca="1" si="196"/>
        <v/>
      </c>
      <c r="Z394" s="315" t="str">
        <f t="shared" ca="1" si="197"/>
        <v/>
      </c>
      <c r="AA394" s="316" t="str">
        <f t="shared" ca="1" si="198"/>
        <v/>
      </c>
      <c r="AC394" s="310" t="e">
        <f t="shared" ca="1" si="199"/>
        <v>#N/A</v>
      </c>
      <c r="AD394" s="323" t="e">
        <f t="shared" ca="1" si="200"/>
        <v>#N/A</v>
      </c>
      <c r="AE394" s="324" t="e">
        <f t="shared" ca="1" si="179"/>
        <v>#N/A</v>
      </c>
      <c r="AG394" s="306">
        <f t="shared" ca="1" si="201"/>
        <v>5.1660650070014933</v>
      </c>
      <c r="AH394" s="304">
        <f t="shared" ca="1" si="202"/>
        <v>-4.3755811579888979</v>
      </c>
    </row>
    <row r="395" spans="1:34" x14ac:dyDescent="0.2">
      <c r="A395" s="347">
        <f t="shared" ca="1" si="180"/>
        <v>0.1</v>
      </c>
      <c r="B395" s="304">
        <f t="shared" ca="1" si="181"/>
        <v>25.70000000000006</v>
      </c>
      <c r="D395" s="306">
        <f t="shared" ca="1" si="182"/>
        <v>-1.0182153662491067</v>
      </c>
      <c r="E395" s="307">
        <f t="shared" ca="1" si="183"/>
        <v>-5.4894937222178317</v>
      </c>
      <c r="F395" s="304">
        <f t="shared" ca="1" si="184"/>
        <v>5.5831267098584449</v>
      </c>
      <c r="G395" s="306">
        <f t="shared" ca="1" si="185"/>
        <v>17.371604631592671</v>
      </c>
      <c r="H395" s="307">
        <f t="shared" ca="1" si="186"/>
        <v>-74.692445882445938</v>
      </c>
      <c r="I395" s="304">
        <f t="shared" ca="1" si="187"/>
        <v>76.685944731603115</v>
      </c>
      <c r="J395" s="306">
        <f t="shared" ca="1" si="188"/>
        <v>701.58865239098202</v>
      </c>
      <c r="K395" s="307">
        <f t="shared" ca="1" si="189"/>
        <v>1060.5800852623283</v>
      </c>
      <c r="L395" s="304">
        <f t="shared" ca="1" si="174"/>
        <v>1271.6354644389412</v>
      </c>
      <c r="M395" s="306">
        <f t="shared" ca="1" si="190"/>
        <v>-1.3422835774822166</v>
      </c>
      <c r="N395" s="304">
        <f t="shared" ca="1" si="191"/>
        <v>-76.907183899452434</v>
      </c>
      <c r="P395" s="310">
        <f t="shared" ca="1" si="192"/>
        <v>23</v>
      </c>
      <c r="Q395" s="304">
        <f t="shared" ca="1" si="193"/>
        <v>0</v>
      </c>
      <c r="R395" s="306">
        <f t="shared" ca="1" si="194"/>
        <v>0</v>
      </c>
      <c r="S395" s="307">
        <f t="shared" ca="1" si="195"/>
        <v>2.9362999999999984</v>
      </c>
      <c r="T395" s="304">
        <f t="shared" ca="1" si="175"/>
        <v>28.805102999999985</v>
      </c>
      <c r="U395" s="311">
        <f t="shared" ca="1" si="176"/>
        <v>0</v>
      </c>
      <c r="V395" s="306">
        <f t="shared" ca="1" si="177"/>
        <v>1.1016215746017834</v>
      </c>
      <c r="W395" s="304">
        <f t="shared" ca="1" si="178"/>
        <v>13.219259817916075</v>
      </c>
      <c r="Y395" s="314" t="str">
        <f t="shared" ca="1" si="196"/>
        <v/>
      </c>
      <c r="Z395" s="315" t="str">
        <f t="shared" ca="1" si="197"/>
        <v/>
      </c>
      <c r="AA395" s="316" t="str">
        <f t="shared" ca="1" si="198"/>
        <v/>
      </c>
      <c r="AC395" s="310" t="e">
        <f t="shared" ca="1" si="199"/>
        <v>#N/A</v>
      </c>
      <c r="AD395" s="323" t="e">
        <f t="shared" ca="1" si="200"/>
        <v>#N/A</v>
      </c>
      <c r="AE395" s="324" t="e">
        <f t="shared" ca="1" si="179"/>
        <v>#N/A</v>
      </c>
      <c r="AG395" s="306">
        <f t="shared" ca="1" si="201"/>
        <v>5.109554173882767</v>
      </c>
      <c r="AH395" s="304">
        <f t="shared" ca="1" si="202"/>
        <v>-4.4388666378278288</v>
      </c>
    </row>
    <row r="396" spans="1:34" x14ac:dyDescent="0.2">
      <c r="A396" s="347">
        <f t="shared" ca="1" si="180"/>
        <v>0.1</v>
      </c>
      <c r="B396" s="304">
        <f t="shared" ca="1" si="181"/>
        <v>25.800000000000061</v>
      </c>
      <c r="D396" s="306">
        <f t="shared" ca="1" si="182"/>
        <v>-1.0198372662956063</v>
      </c>
      <c r="E396" s="307">
        <f t="shared" ca="1" si="183"/>
        <v>-5.4250199456443431</v>
      </c>
      <c r="F396" s="304">
        <f t="shared" ca="1" si="184"/>
        <v>5.5200461465792339</v>
      </c>
      <c r="G396" s="306">
        <f t="shared" ca="1" si="185"/>
        <v>17.269620904963112</v>
      </c>
      <c r="H396" s="307">
        <f t="shared" ca="1" si="186"/>
        <v>-75.23494787701037</v>
      </c>
      <c r="I396" s="304">
        <f t="shared" ca="1" si="187"/>
        <v>77.191561638935681</v>
      </c>
      <c r="J396" s="306">
        <f t="shared" ca="1" si="188"/>
        <v>703.32071366780985</v>
      </c>
      <c r="K396" s="307">
        <f t="shared" ca="1" si="189"/>
        <v>1053.0837155743554</v>
      </c>
      <c r="L396" s="304">
        <f t="shared" ca="1" si="174"/>
        <v>1266.3511907374223</v>
      </c>
      <c r="M396" s="306">
        <f t="shared" ca="1" si="190"/>
        <v>-1.3451624600133592</v>
      </c>
      <c r="N396" s="304">
        <f t="shared" ca="1" si="191"/>
        <v>-77.072131718200836</v>
      </c>
      <c r="P396" s="310">
        <f t="shared" ca="1" si="192"/>
        <v>23</v>
      </c>
      <c r="Q396" s="304">
        <f t="shared" ca="1" si="193"/>
        <v>0</v>
      </c>
      <c r="R396" s="306">
        <f t="shared" ca="1" si="194"/>
        <v>0</v>
      </c>
      <c r="S396" s="307">
        <f t="shared" ca="1" si="195"/>
        <v>2.9362999999999984</v>
      </c>
      <c r="T396" s="304">
        <f t="shared" ca="1" si="175"/>
        <v>28.805102999999985</v>
      </c>
      <c r="U396" s="311">
        <f t="shared" ca="1" si="176"/>
        <v>0</v>
      </c>
      <c r="V396" s="306">
        <f t="shared" ca="1" si="177"/>
        <v>1.102450014543545</v>
      </c>
      <c r="W396" s="304">
        <f t="shared" ca="1" si="178"/>
        <v>13.404225427723695</v>
      </c>
      <c r="Y396" s="314" t="str">
        <f t="shared" ca="1" si="196"/>
        <v/>
      </c>
      <c r="Z396" s="315" t="str">
        <f t="shared" ca="1" si="197"/>
        <v/>
      </c>
      <c r="AA396" s="316" t="str">
        <f t="shared" ca="1" si="198"/>
        <v/>
      </c>
      <c r="AC396" s="310" t="e">
        <f t="shared" ca="1" si="199"/>
        <v>#N/A</v>
      </c>
      <c r="AD396" s="323" t="e">
        <f t="shared" ca="1" si="200"/>
        <v>#N/A</v>
      </c>
      <c r="AE396" s="324" t="e">
        <f t="shared" ca="1" si="179"/>
        <v>#N/A</v>
      </c>
      <c r="AG396" s="306">
        <f t="shared" ca="1" si="201"/>
        <v>5.052970270872712</v>
      </c>
      <c r="AH396" s="304">
        <f t="shared" ca="1" si="202"/>
        <v>-4.502012675106795</v>
      </c>
    </row>
    <row r="397" spans="1:34" x14ac:dyDescent="0.2">
      <c r="A397" s="347">
        <f t="shared" ca="1" si="180"/>
        <v>0.1</v>
      </c>
      <c r="B397" s="304">
        <f t="shared" ca="1" si="181"/>
        <v>25.900000000000063</v>
      </c>
      <c r="D397" s="306">
        <f t="shared" ca="1" si="182"/>
        <v>-1.0213022179494833</v>
      </c>
      <c r="E397" s="307">
        <f t="shared" ca="1" si="183"/>
        <v>-5.3607060892099776</v>
      </c>
      <c r="F397" s="304">
        <f t="shared" ca="1" si="184"/>
        <v>5.4571263495801041</v>
      </c>
      <c r="G397" s="306">
        <f t="shared" ca="1" si="185"/>
        <v>17.167490683168165</v>
      </c>
      <c r="H397" s="307">
        <f t="shared" ca="1" si="186"/>
        <v>-75.771018485931364</v>
      </c>
      <c r="I397" s="304">
        <f t="shared" ca="1" si="187"/>
        <v>77.691505190413309</v>
      </c>
      <c r="J397" s="306">
        <f t="shared" ca="1" si="188"/>
        <v>705.04256924721642</v>
      </c>
      <c r="K397" s="307">
        <f t="shared" ca="1" si="189"/>
        <v>1045.5334172562084</v>
      </c>
      <c r="L397" s="304">
        <f t="shared" ca="1" si="174"/>
        <v>1261.0412963302037</v>
      </c>
      <c r="M397" s="306">
        <f t="shared" ca="1" si="190"/>
        <v>-1.3479873987027913</v>
      </c>
      <c r="N397" s="304">
        <f t="shared" ca="1" si="191"/>
        <v>-77.233988782488524</v>
      </c>
      <c r="P397" s="310">
        <f t="shared" ca="1" si="192"/>
        <v>23</v>
      </c>
      <c r="Q397" s="304">
        <f t="shared" ca="1" si="193"/>
        <v>0</v>
      </c>
      <c r="R397" s="306">
        <f t="shared" ca="1" si="194"/>
        <v>0</v>
      </c>
      <c r="S397" s="307">
        <f t="shared" ca="1" si="195"/>
        <v>2.9362999999999984</v>
      </c>
      <c r="T397" s="304">
        <f t="shared" ca="1" si="175"/>
        <v>28.805102999999985</v>
      </c>
      <c r="U397" s="311">
        <f t="shared" ca="1" si="176"/>
        <v>0</v>
      </c>
      <c r="V397" s="306">
        <f t="shared" ca="1" si="177"/>
        <v>1.1032850108148189</v>
      </c>
      <c r="W397" s="304">
        <f t="shared" ca="1" si="178"/>
        <v>13.588701236639405</v>
      </c>
      <c r="Y397" s="314" t="str">
        <f t="shared" ca="1" si="196"/>
        <v/>
      </c>
      <c r="Z397" s="315" t="str">
        <f t="shared" ca="1" si="197"/>
        <v/>
      </c>
      <c r="AA397" s="316" t="str">
        <f t="shared" ca="1" si="198"/>
        <v/>
      </c>
      <c r="AC397" s="310" t="e">
        <f t="shared" ca="1" si="199"/>
        <v>#N/A</v>
      </c>
      <c r="AD397" s="323" t="e">
        <f t="shared" ca="1" si="200"/>
        <v>#N/A</v>
      </c>
      <c r="AE397" s="324" t="e">
        <f t="shared" ca="1" si="179"/>
        <v>#N/A</v>
      </c>
      <c r="AG397" s="306">
        <f t="shared" ca="1" si="201"/>
        <v>4.9963355175569273</v>
      </c>
      <c r="AH397" s="304">
        <f t="shared" ca="1" si="202"/>
        <v>-4.5650054244197467</v>
      </c>
    </row>
    <row r="398" spans="1:34" x14ac:dyDescent="0.2">
      <c r="A398" s="347">
        <f t="shared" ca="1" si="180"/>
        <v>0.1</v>
      </c>
      <c r="B398" s="304">
        <f t="shared" ca="1" si="181"/>
        <v>26.000000000000064</v>
      </c>
      <c r="D398" s="306">
        <f t="shared" ca="1" si="182"/>
        <v>-1.0226118240957536</v>
      </c>
      <c r="E398" s="307">
        <f t="shared" ca="1" si="183"/>
        <v>-5.29656580874334</v>
      </c>
      <c r="F398" s="304">
        <f t="shared" ca="1" si="184"/>
        <v>5.3943808086868907</v>
      </c>
      <c r="G398" s="306">
        <f t="shared" ca="1" si="185"/>
        <v>17.065229500758591</v>
      </c>
      <c r="H398" s="307">
        <f t="shared" ca="1" si="186"/>
        <v>-76.300675066805695</v>
      </c>
      <c r="I398" s="304">
        <f t="shared" ca="1" si="187"/>
        <v>78.18577283344986</v>
      </c>
      <c r="J398" s="306">
        <f t="shared" ca="1" si="188"/>
        <v>706.75420525641277</v>
      </c>
      <c r="K398" s="307">
        <f t="shared" ca="1" si="189"/>
        <v>1037.9298325785714</v>
      </c>
      <c r="L398" s="304">
        <f t="shared" ca="1" si="174"/>
        <v>1255.706910072651</v>
      </c>
      <c r="M398" s="306">
        <f t="shared" ca="1" si="190"/>
        <v>-1.3507599214325872</v>
      </c>
      <c r="N398" s="304">
        <f t="shared" ca="1" si="191"/>
        <v>-77.392842633509915</v>
      </c>
      <c r="P398" s="310">
        <f t="shared" ca="1" si="192"/>
        <v>23</v>
      </c>
      <c r="Q398" s="304">
        <f t="shared" ca="1" si="193"/>
        <v>0</v>
      </c>
      <c r="R398" s="306">
        <f t="shared" ca="1" si="194"/>
        <v>0</v>
      </c>
      <c r="S398" s="307">
        <f t="shared" ca="1" si="195"/>
        <v>2.9362999999999984</v>
      </c>
      <c r="T398" s="304">
        <f t="shared" ca="1" si="175"/>
        <v>28.805102999999985</v>
      </c>
      <c r="U398" s="311">
        <f t="shared" ca="1" si="176"/>
        <v>0</v>
      </c>
      <c r="V398" s="306">
        <f t="shared" ca="1" si="177"/>
        <v>1.1041265057895757</v>
      </c>
      <c r="W398" s="304">
        <f t="shared" ca="1" si="178"/>
        <v>13.772648499699178</v>
      </c>
      <c r="Y398" s="314" t="str">
        <f t="shared" ca="1" si="196"/>
        <v/>
      </c>
      <c r="Z398" s="315" t="str">
        <f t="shared" ca="1" si="197"/>
        <v/>
      </c>
      <c r="AA398" s="316" t="str">
        <f t="shared" ca="1" si="198"/>
        <v/>
      </c>
      <c r="AC398" s="310">
        <f t="shared" ca="1" si="199"/>
        <v>26.000000000000064</v>
      </c>
      <c r="AD398" s="323">
        <f t="shared" ca="1" si="200"/>
        <v>706.75420525641277</v>
      </c>
      <c r="AE398" s="324" t="e">
        <f t="shared" ca="1" si="179"/>
        <v>#N/A</v>
      </c>
      <c r="AG398" s="306">
        <f t="shared" ca="1" si="201"/>
        <v>4.9396714081288939</v>
      </c>
      <c r="AH398" s="304">
        <f t="shared" ca="1" si="202"/>
        <v>-4.6278313648603389</v>
      </c>
    </row>
    <row r="399" spans="1:34" x14ac:dyDescent="0.2">
      <c r="A399" s="347">
        <f t="shared" ca="1" si="180"/>
        <v>0.1</v>
      </c>
      <c r="B399" s="304">
        <f t="shared" ca="1" si="181"/>
        <v>26.100000000000065</v>
      </c>
      <c r="D399" s="306">
        <f t="shared" ca="1" si="182"/>
        <v>-1.0237677356552355</v>
      </c>
      <c r="E399" s="307">
        <f t="shared" ca="1" si="183"/>
        <v>-5.2326124331561319</v>
      </c>
      <c r="F399" s="304">
        <f t="shared" ca="1" si="184"/>
        <v>5.3318226951192571</v>
      </c>
      <c r="G399" s="306">
        <f t="shared" ca="1" si="185"/>
        <v>16.962852727193066</v>
      </c>
      <c r="H399" s="307">
        <f t="shared" ca="1" si="186"/>
        <v>-76.823936310121312</v>
      </c>
      <c r="I399" s="304">
        <f t="shared" ca="1" si="187"/>
        <v>78.674364076400494</v>
      </c>
      <c r="J399" s="306">
        <f t="shared" ca="1" si="188"/>
        <v>708.45560936781033</v>
      </c>
      <c r="K399" s="307">
        <f t="shared" ca="1" si="189"/>
        <v>1030.2736020097252</v>
      </c>
      <c r="L399" s="304">
        <f t="shared" ca="1" si="174"/>
        <v>1250.349169409413</v>
      </c>
      <c r="M399" s="306">
        <f t="shared" ca="1" si="190"/>
        <v>-1.3534814989097321</v>
      </c>
      <c r="N399" s="304">
        <f t="shared" ca="1" si="191"/>
        <v>-77.548777536568181</v>
      </c>
      <c r="P399" s="310">
        <f t="shared" ca="1" si="192"/>
        <v>23</v>
      </c>
      <c r="Q399" s="304">
        <f t="shared" ca="1" si="193"/>
        <v>0</v>
      </c>
      <c r="R399" s="306">
        <f t="shared" ca="1" si="194"/>
        <v>0</v>
      </c>
      <c r="S399" s="307">
        <f t="shared" ca="1" si="195"/>
        <v>2.9362999999999984</v>
      </c>
      <c r="T399" s="304">
        <f t="shared" ca="1" si="175"/>
        <v>28.805102999999985</v>
      </c>
      <c r="U399" s="311">
        <f t="shared" ca="1" si="176"/>
        <v>0</v>
      </c>
      <c r="V399" s="306">
        <f t="shared" ca="1" si="177"/>
        <v>1.10497444195483</v>
      </c>
      <c r="W399" s="304">
        <f t="shared" ca="1" si="178"/>
        <v>13.956029431149609</v>
      </c>
      <c r="Y399" s="314" t="str">
        <f t="shared" ca="1" si="196"/>
        <v/>
      </c>
      <c r="Z399" s="315" t="str">
        <f t="shared" ca="1" si="197"/>
        <v/>
      </c>
      <c r="AA399" s="316" t="str">
        <f t="shared" ca="1" si="198"/>
        <v/>
      </c>
      <c r="AC399" s="310" t="e">
        <f t="shared" ca="1" si="199"/>
        <v>#N/A</v>
      </c>
      <c r="AD399" s="323" t="e">
        <f t="shared" ca="1" si="200"/>
        <v>#N/A</v>
      </c>
      <c r="AE399" s="324" t="e">
        <f t="shared" ca="1" si="179"/>
        <v>#N/A</v>
      </c>
      <c r="AG399" s="306">
        <f t="shared" ca="1" si="201"/>
        <v>4.882998732539348</v>
      </c>
      <c r="AH399" s="304">
        <f t="shared" ca="1" si="202"/>
        <v>-4.6904773012632175</v>
      </c>
    </row>
    <row r="400" spans="1:34" x14ac:dyDescent="0.2">
      <c r="A400" s="347">
        <f t="shared" ca="1" si="180"/>
        <v>0.1</v>
      </c>
      <c r="B400" s="304">
        <f t="shared" ca="1" si="181"/>
        <v>26.200000000000067</v>
      </c>
      <c r="D400" s="306">
        <f t="shared" ca="1" si="182"/>
        <v>-1.0247716489721785</v>
      </c>
      <c r="E400" s="307">
        <f t="shared" ca="1" si="183"/>
        <v>-5.168858963218506</v>
      </c>
      <c r="F400" s="304">
        <f t="shared" ca="1" si="184"/>
        <v>5.2694648603232421</v>
      </c>
      <c r="G400" s="306">
        <f t="shared" ca="1" si="185"/>
        <v>16.86037556229585</v>
      </c>
      <c r="H400" s="307">
        <f t="shared" ca="1" si="186"/>
        <v>-77.340822206443164</v>
      </c>
      <c r="I400" s="304">
        <f t="shared" ca="1" si="187"/>
        <v>79.15728042113571</v>
      </c>
      <c r="J400" s="306">
        <f t="shared" ca="1" si="188"/>
        <v>710.14677078228476</v>
      </c>
      <c r="K400" s="307">
        <f t="shared" ca="1" si="189"/>
        <v>1022.565364083897</v>
      </c>
      <c r="L400" s="304">
        <f t="shared" ca="1" si="174"/>
        <v>1244.9692204534776</v>
      </c>
      <c r="M400" s="306">
        <f t="shared" ca="1" si="190"/>
        <v>-1.3561535472430768</v>
      </c>
      <c r="N400" s="304">
        <f t="shared" ca="1" si="191"/>
        <v>-77.7018746287238</v>
      </c>
      <c r="P400" s="310">
        <f t="shared" ca="1" si="192"/>
        <v>23</v>
      </c>
      <c r="Q400" s="304">
        <f t="shared" ca="1" si="193"/>
        <v>0</v>
      </c>
      <c r="R400" s="306">
        <f t="shared" ca="1" si="194"/>
        <v>0</v>
      </c>
      <c r="S400" s="307">
        <f t="shared" ca="1" si="195"/>
        <v>2.9362999999999984</v>
      </c>
      <c r="T400" s="304">
        <f t="shared" ca="1" si="175"/>
        <v>28.805102999999985</v>
      </c>
      <c r="U400" s="311">
        <f t="shared" ca="1" si="176"/>
        <v>0</v>
      </c>
      <c r="V400" s="306">
        <f t="shared" ca="1" si="177"/>
        <v>1.1058287619223812</v>
      </c>
      <c r="W400" s="304">
        <f t="shared" ca="1" si="178"/>
        <v>14.138807206300434</v>
      </c>
      <c r="Y400" s="314" t="str">
        <f t="shared" ca="1" si="196"/>
        <v/>
      </c>
      <c r="Z400" s="315" t="str">
        <f t="shared" ca="1" si="197"/>
        <v/>
      </c>
      <c r="AA400" s="316" t="str">
        <f t="shared" ca="1" si="198"/>
        <v/>
      </c>
      <c r="AC400" s="310" t="e">
        <f t="shared" ca="1" si="199"/>
        <v>#N/A</v>
      </c>
      <c r="AD400" s="323" t="e">
        <f t="shared" ca="1" si="200"/>
        <v>#N/A</v>
      </c>
      <c r="AE400" s="324" t="e">
        <f t="shared" ca="1" si="179"/>
        <v>#N/A</v>
      </c>
      <c r="AG400" s="306">
        <f t="shared" ca="1" si="201"/>
        <v>4.8263375965396529</v>
      </c>
      <c r="AH400" s="304">
        <f t="shared" ca="1" si="202"/>
        <v>-4.7529303651362662</v>
      </c>
    </row>
    <row r="401" spans="1:34" x14ac:dyDescent="0.2">
      <c r="A401" s="347">
        <f t="shared" ca="1" si="180"/>
        <v>0.1</v>
      </c>
      <c r="B401" s="304">
        <f t="shared" ca="1" si="181"/>
        <v>26.300000000000068</v>
      </c>
      <c r="D401" s="306">
        <f t="shared" ca="1" si="182"/>
        <v>-1.0256253032595064</v>
      </c>
      <c r="E401" s="307">
        <f t="shared" ca="1" si="183"/>
        <v>-5.1053180706597745</v>
      </c>
      <c r="F401" s="304">
        <f t="shared" ca="1" si="184"/>
        <v>5.2073198351254932</v>
      </c>
      <c r="G401" s="306">
        <f t="shared" ca="1" si="185"/>
        <v>16.757813031969899</v>
      </c>
      <c r="H401" s="307">
        <f t="shared" ca="1" si="186"/>
        <v>-77.851354013509138</v>
      </c>
      <c r="I401" s="304">
        <f t="shared" ca="1" si="187"/>
        <v>79.634525297456165</v>
      </c>
      <c r="J401" s="306">
        <f t="shared" ca="1" si="188"/>
        <v>711.82768021199809</v>
      </c>
      <c r="K401" s="307">
        <f t="shared" ca="1" si="189"/>
        <v>1014.8057552728993</v>
      </c>
      <c r="L401" s="304">
        <f t="shared" ca="1" si="174"/>
        <v>1239.5682180707097</v>
      </c>
      <c r="M401" s="306">
        <f t="shared" ca="1" si="190"/>
        <v>-1.3587774303864435</v>
      </c>
      <c r="N401" s="304">
        <f t="shared" ca="1" si="191"/>
        <v>-77.852212058774228</v>
      </c>
      <c r="P401" s="310">
        <f t="shared" ca="1" si="192"/>
        <v>23</v>
      </c>
      <c r="Q401" s="304">
        <f t="shared" ca="1" si="193"/>
        <v>0</v>
      </c>
      <c r="R401" s="306">
        <f t="shared" ca="1" si="194"/>
        <v>0</v>
      </c>
      <c r="S401" s="307">
        <f t="shared" ca="1" si="195"/>
        <v>2.9362999999999984</v>
      </c>
      <c r="T401" s="304">
        <f t="shared" ca="1" si="175"/>
        <v>28.805102999999985</v>
      </c>
      <c r="U401" s="311">
        <f t="shared" ca="1" si="176"/>
        <v>0</v>
      </c>
      <c r="V401" s="306">
        <f t="shared" ca="1" si="177"/>
        <v>1.1066894084402963</v>
      </c>
      <c r="W401" s="304">
        <f t="shared" ca="1" si="178"/>
        <v>14.320945962515411</v>
      </c>
      <c r="Y401" s="314" t="str">
        <f t="shared" ca="1" si="196"/>
        <v/>
      </c>
      <c r="Z401" s="315" t="str">
        <f t="shared" ca="1" si="197"/>
        <v/>
      </c>
      <c r="AA401" s="316" t="str">
        <f t="shared" ca="1" si="198"/>
        <v/>
      </c>
      <c r="AC401" s="310" t="e">
        <f t="shared" ca="1" si="199"/>
        <v>#N/A</v>
      </c>
      <c r="AD401" s="323" t="e">
        <f t="shared" ca="1" si="200"/>
        <v>#N/A</v>
      </c>
      <c r="AE401" s="324" t="e">
        <f t="shared" ca="1" si="179"/>
        <v>#N/A</v>
      </c>
      <c r="AG401" s="306">
        <f t="shared" ca="1" si="201"/>
        <v>4.7697074407103939</v>
      </c>
      <c r="AH401" s="304">
        <f t="shared" ca="1" si="202"/>
        <v>-4.8151780152915036</v>
      </c>
    </row>
    <row r="402" spans="1:34" x14ac:dyDescent="0.2">
      <c r="A402" s="347">
        <f t="shared" ca="1" si="180"/>
        <v>0.1</v>
      </c>
      <c r="B402" s="304">
        <f t="shared" ca="1" si="181"/>
        <v>26.40000000000007</v>
      </c>
      <c r="D402" s="306">
        <f t="shared" ca="1" si="182"/>
        <v>-1.0263304781009941</v>
      </c>
      <c r="E402" s="307">
        <f t="shared" ca="1" si="183"/>
        <v>-5.0420020975850406</v>
      </c>
      <c r="F402" s="304">
        <f t="shared" ca="1" si="184"/>
        <v>5.1453998291999588</v>
      </c>
      <c r="G402" s="306">
        <f t="shared" ca="1" si="185"/>
        <v>16.655179984159801</v>
      </c>
      <c r="H402" s="307">
        <f t="shared" ca="1" si="186"/>
        <v>-78.355554223267646</v>
      </c>
      <c r="I402" s="304">
        <f t="shared" ca="1" si="187"/>
        <v>80.106103999259588</v>
      </c>
      <c r="J402" s="306">
        <f t="shared" ca="1" si="188"/>
        <v>713.49832986280455</v>
      </c>
      <c r="K402" s="307">
        <f t="shared" ca="1" si="189"/>
        <v>1006.9954098610605</v>
      </c>
      <c r="L402" s="304">
        <f t="shared" ca="1" si="174"/>
        <v>1234.1473259697389</v>
      </c>
      <c r="M402" s="306">
        <f t="shared" ca="1" si="190"/>
        <v>-1.3613544624556522</v>
      </c>
      <c r="N402" s="304">
        <f t="shared" ca="1" si="191"/>
        <v>-77.999865120009758</v>
      </c>
      <c r="P402" s="310">
        <f t="shared" ca="1" si="192"/>
        <v>23</v>
      </c>
      <c r="Q402" s="304">
        <f t="shared" ca="1" si="193"/>
        <v>0</v>
      </c>
      <c r="R402" s="306">
        <f t="shared" ca="1" si="194"/>
        <v>0</v>
      </c>
      <c r="S402" s="307">
        <f t="shared" ca="1" si="195"/>
        <v>2.9362999999999984</v>
      </c>
      <c r="T402" s="304">
        <f t="shared" ca="1" si="175"/>
        <v>28.805102999999985</v>
      </c>
      <c r="U402" s="311">
        <f t="shared" ca="1" si="176"/>
        <v>0</v>
      </c>
      <c r="V402" s="306">
        <f t="shared" ca="1" si="177"/>
        <v>1.1075563244041327</v>
      </c>
      <c r="W402" s="304">
        <f t="shared" ca="1" si="178"/>
        <v>14.502410799365363</v>
      </c>
      <c r="Y402" s="314" t="str">
        <f t="shared" ca="1" si="196"/>
        <v/>
      </c>
      <c r="Z402" s="315" t="str">
        <f t="shared" ca="1" si="197"/>
        <v/>
      </c>
      <c r="AA402" s="316" t="str">
        <f t="shared" ca="1" si="198"/>
        <v/>
      </c>
      <c r="AC402" s="310" t="e">
        <f t="shared" ca="1" si="199"/>
        <v>#N/A</v>
      </c>
      <c r="AD402" s="323" t="e">
        <f t="shared" ca="1" si="200"/>
        <v>#N/A</v>
      </c>
      <c r="AE402" s="324" t="e">
        <f t="shared" ca="1" si="179"/>
        <v>#N/A</v>
      </c>
      <c r="AG402" s="306">
        <f t="shared" ca="1" si="201"/>
        <v>4.713127058558725</v>
      </c>
      <c r="AH402" s="304">
        <f t="shared" ca="1" si="202"/>
        <v>-4.8772080381825491</v>
      </c>
    </row>
    <row r="403" spans="1:34" x14ac:dyDescent="0.2">
      <c r="A403" s="347">
        <f t="shared" ca="1" si="180"/>
        <v>0.1</v>
      </c>
      <c r="B403" s="304">
        <f t="shared" ca="1" si="181"/>
        <v>26.500000000000071</v>
      </c>
      <c r="D403" s="306">
        <f t="shared" ca="1" si="182"/>
        <v>-1.0268889910097678</v>
      </c>
      <c r="E403" s="307">
        <f t="shared" ca="1" si="183"/>
        <v>-4.97892305619827</v>
      </c>
      <c r="F403" s="304">
        <f t="shared" ca="1" si="184"/>
        <v>5.0837167308377618</v>
      </c>
      <c r="G403" s="306">
        <f t="shared" ca="1" si="185"/>
        <v>16.552491085058826</v>
      </c>
      <c r="H403" s="307">
        <f t="shared" ca="1" si="186"/>
        <v>-78.853446528887474</v>
      </c>
      <c r="I403" s="304">
        <f t="shared" ca="1" si="187"/>
        <v>80.572023622378182</v>
      </c>
      <c r="J403" s="306">
        <f t="shared" ca="1" si="188"/>
        <v>715.15871341626553</v>
      </c>
      <c r="K403" s="307">
        <f t="shared" ca="1" si="189"/>
        <v>999.13495982345273</v>
      </c>
      <c r="L403" s="304">
        <f t="shared" ca="1" si="174"/>
        <v>1228.7077167970504</v>
      </c>
      <c r="M403" s="306">
        <f t="shared" ca="1" si="190"/>
        <v>-1.3638859099267409</v>
      </c>
      <c r="N403" s="304">
        <f t="shared" ca="1" si="191"/>
        <v>-78.144906376162197</v>
      </c>
      <c r="P403" s="310">
        <f t="shared" ca="1" si="192"/>
        <v>23</v>
      </c>
      <c r="Q403" s="304">
        <f t="shared" ca="1" si="193"/>
        <v>0</v>
      </c>
      <c r="R403" s="306">
        <f t="shared" ca="1" si="194"/>
        <v>0</v>
      </c>
      <c r="S403" s="307">
        <f t="shared" ca="1" si="195"/>
        <v>2.9362999999999984</v>
      </c>
      <c r="T403" s="304">
        <f t="shared" ca="1" si="175"/>
        <v>28.805102999999985</v>
      </c>
      <c r="U403" s="311">
        <f t="shared" ca="1" si="176"/>
        <v>0</v>
      </c>
      <c r="V403" s="306">
        <f t="shared" ca="1" si="177"/>
        <v>1.1084294528678988</v>
      </c>
      <c r="W403" s="304">
        <f t="shared" ca="1" si="178"/>
        <v>14.683167777967457</v>
      </c>
      <c r="Y403" s="314" t="str">
        <f t="shared" ca="1" si="196"/>
        <v/>
      </c>
      <c r="Z403" s="315" t="str">
        <f t="shared" ca="1" si="197"/>
        <v/>
      </c>
      <c r="AA403" s="316" t="str">
        <f t="shared" ca="1" si="198"/>
        <v/>
      </c>
      <c r="AC403" s="310" t="e">
        <f t="shared" ca="1" si="199"/>
        <v>#N/A</v>
      </c>
      <c r="AD403" s="323" t="e">
        <f t="shared" ca="1" si="200"/>
        <v>#N/A</v>
      </c>
      <c r="AE403" s="324" t="e">
        <f t="shared" ca="1" si="179"/>
        <v>#N/A</v>
      </c>
      <c r="AG403" s="306">
        <f t="shared" ca="1" si="201"/>
        <v>4.6566146137608806</v>
      </c>
      <c r="AH403" s="304">
        <f t="shared" ca="1" si="202"/>
        <v>-4.939008547956738</v>
      </c>
    </row>
    <row r="404" spans="1:34" x14ac:dyDescent="0.2">
      <c r="A404" s="347">
        <f t="shared" ca="1" si="180"/>
        <v>0.1</v>
      </c>
      <c r="B404" s="304">
        <f t="shared" ca="1" si="181"/>
        <v>26.600000000000072</v>
      </c>
      <c r="D404" s="306">
        <f t="shared" ca="1" si="182"/>
        <v>-1.0273026950425912</v>
      </c>
      <c r="E404" s="307">
        <f t="shared" ca="1" si="183"/>
        <v>-4.9160926288222759</v>
      </c>
      <c r="F404" s="304">
        <f t="shared" ca="1" si="184"/>
        <v>5.0222821070109633</v>
      </c>
      <c r="G404" s="306">
        <f t="shared" ca="1" si="185"/>
        <v>16.449760815554566</v>
      </c>
      <c r="H404" s="307">
        <f t="shared" ca="1" si="186"/>
        <v>-79.345055791769695</v>
      </c>
      <c r="I404" s="304">
        <f t="shared" ca="1" si="187"/>
        <v>81.032293004011677</v>
      </c>
      <c r="J404" s="306">
        <f t="shared" ca="1" si="188"/>
        <v>716.80882601129622</v>
      </c>
      <c r="K404" s="307">
        <f t="shared" ca="1" si="189"/>
        <v>991.22503470741992</v>
      </c>
      <c r="L404" s="304">
        <f t="shared" ca="1" si="174"/>
        <v>1223.2505722371106</v>
      </c>
      <c r="M404" s="306">
        <f t="shared" ca="1" si="190"/>
        <v>-1.3663729937222051</v>
      </c>
      <c r="N404" s="304">
        <f t="shared" ca="1" si="191"/>
        <v>-78.287405780937675</v>
      </c>
      <c r="P404" s="310">
        <f t="shared" ca="1" si="192"/>
        <v>23</v>
      </c>
      <c r="Q404" s="304">
        <f t="shared" ca="1" si="193"/>
        <v>0</v>
      </c>
      <c r="R404" s="306">
        <f t="shared" ca="1" si="194"/>
        <v>0</v>
      </c>
      <c r="S404" s="307">
        <f t="shared" ca="1" si="195"/>
        <v>2.9362999999999984</v>
      </c>
      <c r="T404" s="304">
        <f t="shared" ca="1" si="175"/>
        <v>28.805102999999985</v>
      </c>
      <c r="U404" s="311">
        <f t="shared" ca="1" si="176"/>
        <v>0</v>
      </c>
      <c r="V404" s="306">
        <f t="shared" ca="1" si="177"/>
        <v>1.1093087370547536</v>
      </c>
      <c r="W404" s="304">
        <f t="shared" ca="1" si="178"/>
        <v>14.863183919535309</v>
      </c>
      <c r="Y404" s="314" t="str">
        <f t="shared" ca="1" si="196"/>
        <v/>
      </c>
      <c r="Z404" s="315" t="str">
        <f t="shared" ca="1" si="197"/>
        <v/>
      </c>
      <c r="AA404" s="316" t="str">
        <f t="shared" ca="1" si="198"/>
        <v/>
      </c>
      <c r="AC404" s="310" t="e">
        <f t="shared" ca="1" si="199"/>
        <v>#N/A</v>
      </c>
      <c r="AD404" s="323" t="e">
        <f t="shared" ca="1" si="200"/>
        <v>#N/A</v>
      </c>
      <c r="AE404" s="324" t="e">
        <f t="shared" ca="1" si="179"/>
        <v>#N/A</v>
      </c>
      <c r="AG404" s="306">
        <f t="shared" ca="1" si="201"/>
        <v>4.6001876566198359</v>
      </c>
      <c r="AH404" s="304">
        <f t="shared" ca="1" si="202"/>
        <v>-5.0005679862301076</v>
      </c>
    </row>
    <row r="405" spans="1:34" x14ac:dyDescent="0.2">
      <c r="A405" s="347">
        <f t="shared" ca="1" si="180"/>
        <v>0.1</v>
      </c>
      <c r="B405" s="304">
        <f t="shared" ca="1" si="181"/>
        <v>26.700000000000074</v>
      </c>
      <c r="D405" s="306">
        <f t="shared" ca="1" si="182"/>
        <v>-1.0275734764694211</v>
      </c>
      <c r="E405" s="307">
        <f t="shared" ca="1" si="183"/>
        <v>-4.8535221682060481</v>
      </c>
      <c r="F405" s="304">
        <f t="shared" ca="1" si="184"/>
        <v>4.9611072037208581</v>
      </c>
      <c r="G405" s="306">
        <f t="shared" ca="1" si="185"/>
        <v>16.347003467907623</v>
      </c>
      <c r="H405" s="307">
        <f t="shared" ca="1" si="186"/>
        <v>-79.830408008590297</v>
      </c>
      <c r="I405" s="304">
        <f t="shared" ca="1" si="187"/>
        <v>81.486922663687466</v>
      </c>
      <c r="J405" s="306">
        <f t="shared" ca="1" si="188"/>
        <v>718.44866422546932</v>
      </c>
      <c r="K405" s="307">
        <f t="shared" ca="1" si="189"/>
        <v>983.26626151740197</v>
      </c>
      <c r="L405" s="304">
        <f t="shared" ca="1" si="174"/>
        <v>1217.7770831173368</v>
      </c>
      <c r="M405" s="306">
        <f t="shared" ca="1" si="190"/>
        <v>-1.3688168911916452</v>
      </c>
      <c r="N405" s="304">
        <f t="shared" ca="1" si="191"/>
        <v>-78.427430791499305</v>
      </c>
      <c r="P405" s="310">
        <f t="shared" ca="1" si="192"/>
        <v>23</v>
      </c>
      <c r="Q405" s="304">
        <f t="shared" ca="1" si="193"/>
        <v>0</v>
      </c>
      <c r="R405" s="306">
        <f t="shared" ca="1" si="194"/>
        <v>0</v>
      </c>
      <c r="S405" s="307">
        <f t="shared" ca="1" si="195"/>
        <v>2.9362999999999984</v>
      </c>
      <c r="T405" s="304">
        <f t="shared" ca="1" si="175"/>
        <v>28.805102999999985</v>
      </c>
      <c r="U405" s="311">
        <f t="shared" ca="1" si="176"/>
        <v>0</v>
      </c>
      <c r="V405" s="306">
        <f t="shared" ca="1" si="177"/>
        <v>1.1101941203674446</v>
      </c>
      <c r="W405" s="304">
        <f t="shared" ca="1" si="178"/>
        <v>15.042427203164856</v>
      </c>
      <c r="Y405" s="314" t="str">
        <f t="shared" ca="1" si="196"/>
        <v/>
      </c>
      <c r="Z405" s="315" t="str">
        <f t="shared" ca="1" si="197"/>
        <v/>
      </c>
      <c r="AA405" s="316" t="str">
        <f t="shared" ca="1" si="198"/>
        <v/>
      </c>
      <c r="AC405" s="310" t="e">
        <f t="shared" ca="1" si="199"/>
        <v>#N/A</v>
      </c>
      <c r="AD405" s="323" t="e">
        <f t="shared" ca="1" si="200"/>
        <v>#N/A</v>
      </c>
      <c r="AE405" s="324" t="e">
        <f t="shared" ca="1" si="179"/>
        <v>#N/A</v>
      </c>
      <c r="AG405" s="306">
        <f t="shared" ca="1" si="201"/>
        <v>4.5438631398020739</v>
      </c>
      <c r="AH405" s="304">
        <f t="shared" ca="1" si="202"/>
        <v>-5.0618751215936104</v>
      </c>
    </row>
    <row r="406" spans="1:34" x14ac:dyDescent="0.2">
      <c r="A406" s="347">
        <f t="shared" ca="1" si="180"/>
        <v>0.1</v>
      </c>
      <c r="B406" s="304">
        <f t="shared" ca="1" si="181"/>
        <v>26.800000000000075</v>
      </c>
      <c r="D406" s="306">
        <f t="shared" ca="1" si="182"/>
        <v>-1.0277032524978102</v>
      </c>
      <c r="E406" s="307">
        <f t="shared" ca="1" si="183"/>
        <v>-4.7912226981097827</v>
      </c>
      <c r="F406" s="304">
        <f t="shared" ca="1" si="184"/>
        <v>4.9002029466213912</v>
      </c>
      <c r="G406" s="306">
        <f t="shared" ca="1" si="185"/>
        <v>16.244233142657841</v>
      </c>
      <c r="H406" s="307">
        <f t="shared" ca="1" si="186"/>
        <v>-80.309530278401269</v>
      </c>
      <c r="I406" s="304">
        <f t="shared" ca="1" si="187"/>
        <v>81.935924745684503</v>
      </c>
      <c r="J406" s="306">
        <f t="shared" ca="1" si="188"/>
        <v>720.07822605599756</v>
      </c>
      <c r="K406" s="307">
        <f t="shared" ca="1" si="189"/>
        <v>975.25926460305243</v>
      </c>
      <c r="L406" s="304">
        <f t="shared" ca="1" si="174"/>
        <v>1212.2884495177041</v>
      </c>
      <c r="M406" s="306">
        <f t="shared" ca="1" si="190"/>
        <v>-1.3712187379928227</v>
      </c>
      <c r="N406" s="304">
        <f t="shared" ca="1" si="191"/>
        <v>-78.565046476243765</v>
      </c>
      <c r="P406" s="310">
        <f t="shared" ca="1" si="192"/>
        <v>23</v>
      </c>
      <c r="Q406" s="304">
        <f t="shared" ca="1" si="193"/>
        <v>0</v>
      </c>
      <c r="R406" s="306">
        <f t="shared" ca="1" si="194"/>
        <v>0</v>
      </c>
      <c r="S406" s="307">
        <f t="shared" ca="1" si="195"/>
        <v>2.9362999999999984</v>
      </c>
      <c r="T406" s="304">
        <f t="shared" ca="1" si="175"/>
        <v>28.805102999999985</v>
      </c>
      <c r="U406" s="311">
        <f t="shared" ca="1" si="176"/>
        <v>0</v>
      </c>
      <c r="V406" s="306">
        <f t="shared" ca="1" si="177"/>
        <v>1.1110855463984799</v>
      </c>
      <c r="W406" s="304">
        <f t="shared" ca="1" si="178"/>
        <v>15.220866562880955</v>
      </c>
      <c r="Y406" s="314" t="str">
        <f t="shared" ca="1" si="196"/>
        <v/>
      </c>
      <c r="Z406" s="315" t="str">
        <f t="shared" ca="1" si="197"/>
        <v/>
      </c>
      <c r="AA406" s="316" t="str">
        <f t="shared" ca="1" si="198"/>
        <v/>
      </c>
      <c r="AC406" s="310" t="e">
        <f t="shared" ca="1" si="199"/>
        <v>#N/A</v>
      </c>
      <c r="AD406" s="323" t="e">
        <f t="shared" ca="1" si="200"/>
        <v>#N/A</v>
      </c>
      <c r="AE406" s="324" t="e">
        <f t="shared" ca="1" si="179"/>
        <v>#N/A</v>
      </c>
      <c r="AG406" s="306">
        <f t="shared" ca="1" si="201"/>
        <v>4.4876574334119415</v>
      </c>
      <c r="AH406" s="304">
        <f t="shared" ca="1" si="202"/>
        <v>-5.1229190488590621</v>
      </c>
    </row>
    <row r="407" spans="1:34" x14ac:dyDescent="0.2">
      <c r="A407" s="347">
        <f t="shared" ca="1" si="180"/>
        <v>0.1</v>
      </c>
      <c r="B407" s="304">
        <f t="shared" ca="1" si="181"/>
        <v>26.900000000000077</v>
      </c>
      <c r="D407" s="306">
        <f t="shared" ca="1" si="182"/>
        <v>-1.0276939690516873</v>
      </c>
      <c r="E407" s="307">
        <f t="shared" ca="1" si="183"/>
        <v>-4.7292049141580534</v>
      </c>
      <c r="F407" s="304">
        <f t="shared" ca="1" si="184"/>
        <v>4.8395799419083767</v>
      </c>
      <c r="G407" s="306">
        <f t="shared" ca="1" si="185"/>
        <v>16.14146374575267</v>
      </c>
      <c r="H407" s="307">
        <f t="shared" ca="1" si="186"/>
        <v>-80.782450769817075</v>
      </c>
      <c r="I407" s="304">
        <f t="shared" ca="1" si="187"/>
        <v>82.379312962863239</v>
      </c>
      <c r="J407" s="306">
        <f t="shared" ca="1" si="188"/>
        <v>721.69751090041814</v>
      </c>
      <c r="K407" s="307">
        <f t="shared" ca="1" si="189"/>
        <v>967.20466555064149</v>
      </c>
      <c r="L407" s="304">
        <f t="shared" ca="1" si="174"/>
        <v>1206.7858808847523</v>
      </c>
      <c r="M407" s="306">
        <f t="shared" ca="1" si="190"/>
        <v>-1.3735796298787442</v>
      </c>
      <c r="N407" s="304">
        <f t="shared" ca="1" si="191"/>
        <v>-78.700315617193752</v>
      </c>
      <c r="P407" s="310">
        <f t="shared" ca="1" si="192"/>
        <v>23</v>
      </c>
      <c r="Q407" s="304">
        <f t="shared" ca="1" si="193"/>
        <v>0</v>
      </c>
      <c r="R407" s="306">
        <f t="shared" ca="1" si="194"/>
        <v>0</v>
      </c>
      <c r="S407" s="307">
        <f t="shared" ca="1" si="195"/>
        <v>2.9362999999999984</v>
      </c>
      <c r="T407" s="304">
        <f t="shared" ca="1" si="175"/>
        <v>28.805102999999985</v>
      </c>
      <c r="U407" s="311">
        <f t="shared" ca="1" si="176"/>
        <v>0</v>
      </c>
      <c r="V407" s="306">
        <f t="shared" ca="1" si="177"/>
        <v>1.1119829589400423</v>
      </c>
      <c r="W407" s="304">
        <f t="shared" ca="1" si="178"/>
        <v>15.398471883970261</v>
      </c>
      <c r="Y407" s="314" t="str">
        <f t="shared" ca="1" si="196"/>
        <v/>
      </c>
      <c r="Z407" s="315" t="str">
        <f t="shared" ca="1" si="197"/>
        <v/>
      </c>
      <c r="AA407" s="316" t="str">
        <f t="shared" ca="1" si="198"/>
        <v/>
      </c>
      <c r="AC407" s="310" t="e">
        <f t="shared" ca="1" si="199"/>
        <v>#N/A</v>
      </c>
      <c r="AD407" s="323" t="e">
        <f t="shared" ca="1" si="200"/>
        <v>#N/A</v>
      </c>
      <c r="AE407" s="324" t="e">
        <f t="shared" ca="1" si="179"/>
        <v>#N/A</v>
      </c>
      <c r="AG407" s="306">
        <f t="shared" ca="1" si="201"/>
        <v>4.4315863394571107</v>
      </c>
      <c r="AH407" s="304">
        <f t="shared" ca="1" si="202"/>
        <v>-5.1836891880533198</v>
      </c>
    </row>
    <row r="408" spans="1:34" x14ac:dyDescent="0.2">
      <c r="A408" s="347">
        <f t="shared" ca="1" si="180"/>
        <v>0.1</v>
      </c>
      <c r="B408" s="304">
        <f t="shared" ca="1" si="181"/>
        <v>27.000000000000078</v>
      </c>
      <c r="D408" s="306">
        <f t="shared" ca="1" si="182"/>
        <v>-1.0275475986041631</v>
      </c>
      <c r="E408" s="307">
        <f t="shared" ca="1" si="183"/>
        <v>-4.667479184951457</v>
      </c>
      <c r="F408" s="304">
        <f t="shared" ca="1" si="184"/>
        <v>4.7792484774650816</v>
      </c>
      <c r="G408" s="306">
        <f t="shared" ca="1" si="185"/>
        <v>16.038708985892253</v>
      </c>
      <c r="H408" s="307">
        <f t="shared" ca="1" si="186"/>
        <v>-81.249198688312219</v>
      </c>
      <c r="I408" s="304">
        <f t="shared" ca="1" si="187"/>
        <v>82.817102541848058</v>
      </c>
      <c r="J408" s="306">
        <f t="shared" ca="1" si="188"/>
        <v>723.30651953700044</v>
      </c>
      <c r="K408" s="307">
        <f t="shared" ca="1" si="189"/>
        <v>959.10308307773505</v>
      </c>
      <c r="L408" s="304">
        <f t="shared" ca="1" si="174"/>
        <v>1201.2705961497375</v>
      </c>
      <c r="M408" s="306">
        <f t="shared" ca="1" si="190"/>
        <v>-1.3759006243960528</v>
      </c>
      <c r="N408" s="304">
        <f t="shared" ca="1" si="191"/>
        <v>-78.833298807308537</v>
      </c>
      <c r="P408" s="310">
        <f t="shared" ca="1" si="192"/>
        <v>23</v>
      </c>
      <c r="Q408" s="304">
        <f t="shared" ca="1" si="193"/>
        <v>0</v>
      </c>
      <c r="R408" s="306">
        <f t="shared" ca="1" si="194"/>
        <v>0</v>
      </c>
      <c r="S408" s="307">
        <f t="shared" ca="1" si="195"/>
        <v>2.9362999999999984</v>
      </c>
      <c r="T408" s="304">
        <f t="shared" ca="1" si="175"/>
        <v>28.805102999999985</v>
      </c>
      <c r="U408" s="311">
        <f t="shared" ca="1" si="176"/>
        <v>0</v>
      </c>
      <c r="V408" s="306">
        <f t="shared" ca="1" si="177"/>
        <v>1.1128863019936353</v>
      </c>
      <c r="W408" s="304">
        <f t="shared" ca="1" si="178"/>
        <v>15.575213998625728</v>
      </c>
      <c r="Y408" s="314" t="str">
        <f t="shared" ca="1" si="196"/>
        <v/>
      </c>
      <c r="Z408" s="315" t="str">
        <f t="shared" ca="1" si="197"/>
        <v/>
      </c>
      <c r="AA408" s="316" t="str">
        <f t="shared" ca="1" si="198"/>
        <v/>
      </c>
      <c r="AC408" s="310">
        <f t="shared" ca="1" si="199"/>
        <v>27.000000000000078</v>
      </c>
      <c r="AD408" s="323">
        <f t="shared" ca="1" si="200"/>
        <v>723.30651953700044</v>
      </c>
      <c r="AE408" s="324" t="e">
        <f t="shared" ca="1" si="179"/>
        <v>#N/A</v>
      </c>
      <c r="AG408" s="306">
        <f t="shared" ca="1" si="201"/>
        <v>4.3756651057539244</v>
      </c>
      <c r="AH408" s="304">
        <f t="shared" ca="1" si="202"/>
        <v>-5.2441752831693869</v>
      </c>
    </row>
    <row r="409" spans="1:34" x14ac:dyDescent="0.2">
      <c r="A409" s="347">
        <f t="shared" ca="1" si="180"/>
        <v>0.1</v>
      </c>
      <c r="B409" s="304">
        <f t="shared" ca="1" si="181"/>
        <v>27.10000000000008</v>
      </c>
      <c r="D409" s="306">
        <f t="shared" ca="1" si="182"/>
        <v>-1.0272661380639416</v>
      </c>
      <c r="E409" s="307">
        <f t="shared" ca="1" si="183"/>
        <v>-4.6060555534271321</v>
      </c>
      <c r="F409" s="304">
        <f t="shared" ca="1" si="184"/>
        <v>4.7192185242548081</v>
      </c>
      <c r="G409" s="306">
        <f t="shared" ca="1" si="185"/>
        <v>15.935982372085858</v>
      </c>
      <c r="H409" s="307">
        <f t="shared" ca="1" si="186"/>
        <v>-81.709804243654929</v>
      </c>
      <c r="I409" s="304">
        <f t="shared" ca="1" si="187"/>
        <v>83.249310169513365</v>
      </c>
      <c r="J409" s="306">
        <f t="shared" ca="1" si="188"/>
        <v>724.90525410489931</v>
      </c>
      <c r="K409" s="307">
        <f t="shared" ca="1" si="189"/>
        <v>950.95513293113675</v>
      </c>
      <c r="L409" s="304">
        <f t="shared" ca="1" si="174"/>
        <v>1195.7438238506459</v>
      </c>
      <c r="M409" s="306">
        <f t="shared" ca="1" si="190"/>
        <v>-1.3781827424996769</v>
      </c>
      <c r="N409" s="304">
        <f t="shared" ca="1" si="191"/>
        <v>-78.964054542996593</v>
      </c>
      <c r="P409" s="310">
        <f t="shared" ca="1" si="192"/>
        <v>23</v>
      </c>
      <c r="Q409" s="304">
        <f t="shared" ca="1" si="193"/>
        <v>0</v>
      </c>
      <c r="R409" s="306">
        <f t="shared" ca="1" si="194"/>
        <v>0</v>
      </c>
      <c r="S409" s="307">
        <f t="shared" ca="1" si="195"/>
        <v>2.9362999999999984</v>
      </c>
      <c r="T409" s="304">
        <f t="shared" ca="1" si="175"/>
        <v>28.805102999999985</v>
      </c>
      <c r="U409" s="311">
        <f t="shared" ca="1" si="176"/>
        <v>0</v>
      </c>
      <c r="V409" s="306">
        <f t="shared" ca="1" si="177"/>
        <v>1.1137955197794687</v>
      </c>
      <c r="W409" s="304">
        <f t="shared" ca="1" si="178"/>
        <v>15.75106468092841</v>
      </c>
      <c r="Y409" s="314" t="str">
        <f t="shared" ca="1" si="196"/>
        <v/>
      </c>
      <c r="Z409" s="315" t="str">
        <f t="shared" ca="1" si="197"/>
        <v/>
      </c>
      <c r="AA409" s="316" t="str">
        <f t="shared" ca="1" si="198"/>
        <v/>
      </c>
      <c r="AC409" s="310" t="e">
        <f t="shared" ca="1" si="199"/>
        <v>#N/A</v>
      </c>
      <c r="AD409" s="323" t="e">
        <f t="shared" ca="1" si="200"/>
        <v>#N/A</v>
      </c>
      <c r="AE409" s="324" t="e">
        <f t="shared" ca="1" si="179"/>
        <v>#N/A</v>
      </c>
      <c r="AG409" s="306">
        <f t="shared" ca="1" si="201"/>
        <v>4.3199084393173033</v>
      </c>
      <c r="AH409" s="304">
        <f t="shared" ca="1" si="202"/>
        <v>-5.3043674006830832</v>
      </c>
    </row>
    <row r="410" spans="1:34" x14ac:dyDescent="0.2">
      <c r="A410" s="347">
        <f t="shared" ca="1" si="180"/>
        <v>0.1</v>
      </c>
      <c r="B410" s="304">
        <f t="shared" ca="1" si="181"/>
        <v>27.200000000000081</v>
      </c>
      <c r="D410" s="306">
        <f t="shared" ca="1" si="182"/>
        <v>-1.026851606714992</v>
      </c>
      <c r="E410" s="307">
        <f t="shared" ca="1" si="183"/>
        <v>-4.5449437384585698</v>
      </c>
      <c r="F410" s="304">
        <f t="shared" ca="1" si="184"/>
        <v>4.6594997379511591</v>
      </c>
      <c r="G410" s="306">
        <f t="shared" ca="1" si="185"/>
        <v>15.83329721141436</v>
      </c>
      <c r="H410" s="307">
        <f t="shared" ca="1" si="186"/>
        <v>-82.164298617500791</v>
      </c>
      <c r="I410" s="304">
        <f t="shared" ca="1" si="187"/>
        <v>83.675953940727936</v>
      </c>
      <c r="J410" s="306">
        <f t="shared" ca="1" si="188"/>
        <v>726.49371808407432</v>
      </c>
      <c r="K410" s="307">
        <f t="shared" ca="1" si="189"/>
        <v>942.761427788079</v>
      </c>
      <c r="L410" s="304">
        <f t="shared" ca="1" si="174"/>
        <v>1190.2068022577589</v>
      </c>
      <c r="M410" s="306">
        <f t="shared" ca="1" si="190"/>
        <v>-1.380426970088386</v>
      </c>
      <c r="N410" s="304">
        <f t="shared" ca="1" si="191"/>
        <v>-79.092639312096452</v>
      </c>
      <c r="P410" s="310">
        <f t="shared" ca="1" si="192"/>
        <v>23</v>
      </c>
      <c r="Q410" s="304">
        <f t="shared" ca="1" si="193"/>
        <v>0</v>
      </c>
      <c r="R410" s="306">
        <f t="shared" ca="1" si="194"/>
        <v>0</v>
      </c>
      <c r="S410" s="307">
        <f t="shared" ca="1" si="195"/>
        <v>2.9362999999999984</v>
      </c>
      <c r="T410" s="304">
        <f t="shared" ca="1" si="175"/>
        <v>28.805102999999985</v>
      </c>
      <c r="U410" s="311">
        <f t="shared" ca="1" si="176"/>
        <v>0</v>
      </c>
      <c r="V410" s="306">
        <f t="shared" ca="1" si="177"/>
        <v>1.1147105567455848</v>
      </c>
      <c r="W410" s="304">
        <f t="shared" ca="1" si="178"/>
        <v>15.925996641192276</v>
      </c>
      <c r="Y410" s="314" t="str">
        <f t="shared" ca="1" si="196"/>
        <v/>
      </c>
      <c r="Z410" s="315" t="str">
        <f t="shared" ca="1" si="197"/>
        <v/>
      </c>
      <c r="AA410" s="316" t="str">
        <f t="shared" ca="1" si="198"/>
        <v/>
      </c>
      <c r="AC410" s="310" t="e">
        <f t="shared" ca="1" si="199"/>
        <v>#N/A</v>
      </c>
      <c r="AD410" s="323" t="e">
        <f t="shared" ca="1" si="200"/>
        <v>#N/A</v>
      </c>
      <c r="AE410" s="324" t="e">
        <f t="shared" ca="1" si="179"/>
        <v>#N/A</v>
      </c>
      <c r="AG410" s="306">
        <f t="shared" ca="1" si="201"/>
        <v>4.2643305192758447</v>
      </c>
      <c r="AH410" s="304">
        <f t="shared" ca="1" si="202"/>
        <v>-5.3642559278440274</v>
      </c>
    </row>
    <row r="411" spans="1:34" x14ac:dyDescent="0.2">
      <c r="A411" s="347">
        <f t="shared" ca="1" si="180"/>
        <v>0.1</v>
      </c>
      <c r="B411" s="304">
        <f t="shared" ca="1" si="181"/>
        <v>27.300000000000082</v>
      </c>
      <c r="D411" s="306">
        <f t="shared" ca="1" si="182"/>
        <v>-1.0263060442091085</v>
      </c>
      <c r="E411" s="307">
        <f t="shared" ca="1" si="183"/>
        <v>-4.4841531366851353</v>
      </c>
      <c r="F411" s="304">
        <f t="shared" ca="1" si="184"/>
        <v>4.6001014607966297</v>
      </c>
      <c r="G411" s="306">
        <f t="shared" ca="1" si="185"/>
        <v>15.730666606993449</v>
      </c>
      <c r="H411" s="307">
        <f t="shared" ca="1" si="186"/>
        <v>-82.61271393116931</v>
      </c>
      <c r="I411" s="304">
        <f t="shared" ca="1" si="187"/>
        <v>84.097053307316273</v>
      </c>
      <c r="J411" s="306">
        <f t="shared" ca="1" si="188"/>
        <v>728.07191627499469</v>
      </c>
      <c r="K411" s="307">
        <f t="shared" ca="1" si="189"/>
        <v>934.52257716064548</v>
      </c>
      <c r="L411" s="304">
        <f t="shared" ca="1" si="174"/>
        <v>1184.6607795024352</v>
      </c>
      <c r="M411" s="306">
        <f t="shared" ca="1" si="190"/>
        <v>-1.3826342594656171</v>
      </c>
      <c r="N411" s="304">
        <f t="shared" ca="1" si="191"/>
        <v>-79.219107677575849</v>
      </c>
      <c r="P411" s="310">
        <f t="shared" ca="1" si="192"/>
        <v>23</v>
      </c>
      <c r="Q411" s="304">
        <f t="shared" ca="1" si="193"/>
        <v>0</v>
      </c>
      <c r="R411" s="306">
        <f t="shared" ca="1" si="194"/>
        <v>0</v>
      </c>
      <c r="S411" s="307">
        <f t="shared" ca="1" si="195"/>
        <v>2.9362999999999984</v>
      </c>
      <c r="T411" s="304">
        <f t="shared" ca="1" si="175"/>
        <v>28.805102999999985</v>
      </c>
      <c r="U411" s="311">
        <f t="shared" ca="1" si="176"/>
        <v>0</v>
      </c>
      <c r="V411" s="306">
        <f t="shared" ca="1" si="177"/>
        <v>1.1156313575767192</v>
      </c>
      <c r="W411" s="304">
        <f t="shared" ca="1" si="178"/>
        <v>16.099983519697638</v>
      </c>
      <c r="Y411" s="314" t="str">
        <f t="shared" ca="1" si="196"/>
        <v/>
      </c>
      <c r="Z411" s="315" t="str">
        <f t="shared" ca="1" si="197"/>
        <v/>
      </c>
      <c r="AA411" s="316" t="str">
        <f t="shared" ca="1" si="198"/>
        <v/>
      </c>
      <c r="AC411" s="310" t="e">
        <f t="shared" ca="1" si="199"/>
        <v>#N/A</v>
      </c>
      <c r="AD411" s="323" t="e">
        <f t="shared" ca="1" si="200"/>
        <v>#N/A</v>
      </c>
      <c r="AE411" s="324" t="e">
        <f t="shared" ca="1" si="179"/>
        <v>#N/A</v>
      </c>
      <c r="AG411" s="306">
        <f t="shared" ca="1" si="201"/>
        <v>4.2089450093492742</v>
      </c>
      <c r="AH411" s="304">
        <f t="shared" ca="1" si="202"/>
        <v>-5.4238315707496794</v>
      </c>
    </row>
    <row r="412" spans="1:34" x14ac:dyDescent="0.2">
      <c r="A412" s="347">
        <f t="shared" ca="1" si="180"/>
        <v>0.1</v>
      </c>
      <c r="B412" s="304">
        <f t="shared" ca="1" si="181"/>
        <v>27.400000000000084</v>
      </c>
      <c r="D412" s="306">
        <f t="shared" ca="1" si="182"/>
        <v>-1.0256315086110073</v>
      </c>
      <c r="E412" s="307">
        <f t="shared" ca="1" si="183"/>
        <v>-4.4236928245618081</v>
      </c>
      <c r="F412" s="304">
        <f t="shared" ca="1" si="184"/>
        <v>4.5410327236802992</v>
      </c>
      <c r="G412" s="306">
        <f t="shared" ca="1" si="185"/>
        <v>15.628103456132347</v>
      </c>
      <c r="H412" s="307">
        <f t="shared" ca="1" si="186"/>
        <v>-83.055083213625494</v>
      </c>
      <c r="I412" s="304">
        <f t="shared" ca="1" si="187"/>
        <v>84.512629028198091</v>
      </c>
      <c r="J412" s="306">
        <f t="shared" ca="1" si="188"/>
        <v>729.63985477815095</v>
      </c>
      <c r="K412" s="307">
        <f t="shared" ca="1" si="189"/>
        <v>926.23918730340574</v>
      </c>
      <c r="L412" s="304">
        <f t="shared" ca="1" si="174"/>
        <v>1179.1070137087449</v>
      </c>
      <c r="M412" s="306">
        <f t="shared" ca="1" si="190"/>
        <v>-1.3848055307296741</v>
      </c>
      <c r="N412" s="304">
        <f t="shared" ca="1" si="191"/>
        <v>-79.343512357184352</v>
      </c>
      <c r="P412" s="310">
        <f t="shared" ca="1" si="192"/>
        <v>23</v>
      </c>
      <c r="Q412" s="304">
        <f t="shared" ca="1" si="193"/>
        <v>0</v>
      </c>
      <c r="R412" s="306">
        <f t="shared" ca="1" si="194"/>
        <v>0</v>
      </c>
      <c r="S412" s="307">
        <f t="shared" ca="1" si="195"/>
        <v>2.9362999999999984</v>
      </c>
      <c r="T412" s="304">
        <f t="shared" ca="1" si="175"/>
        <v>28.805102999999985</v>
      </c>
      <c r="U412" s="311">
        <f t="shared" ca="1" si="176"/>
        <v>0</v>
      </c>
      <c r="V412" s="306">
        <f t="shared" ca="1" si="177"/>
        <v>1.1165578672029042</v>
      </c>
      <c r="W412" s="304">
        <f t="shared" ca="1" si="178"/>
        <v>16.272999879838842</v>
      </c>
      <c r="Y412" s="314" t="str">
        <f t="shared" ca="1" si="196"/>
        <v/>
      </c>
      <c r="Z412" s="315" t="str">
        <f t="shared" ca="1" si="197"/>
        <v/>
      </c>
      <c r="AA412" s="316" t="str">
        <f t="shared" ca="1" si="198"/>
        <v/>
      </c>
      <c r="AC412" s="310" t="e">
        <f t="shared" ca="1" si="199"/>
        <v>#N/A</v>
      </c>
      <c r="AD412" s="323" t="e">
        <f t="shared" ca="1" si="200"/>
        <v>#N/A</v>
      </c>
      <c r="AE412" s="324" t="e">
        <f t="shared" ca="1" si="179"/>
        <v>#N/A</v>
      </c>
      <c r="AG412" s="306">
        <f t="shared" ca="1" si="201"/>
        <v>4.1537650699220574</v>
      </c>
      <c r="AH412" s="304">
        <f t="shared" ca="1" si="202"/>
        <v>-5.483085352211166</v>
      </c>
    </row>
    <row r="413" spans="1:34" x14ac:dyDescent="0.2">
      <c r="A413" s="347">
        <f t="shared" ca="1" si="180"/>
        <v>0.1</v>
      </c>
      <c r="B413" s="304">
        <f t="shared" ca="1" si="181"/>
        <v>27.500000000000085</v>
      </c>
      <c r="D413" s="306">
        <f t="shared" ca="1" si="182"/>
        <v>-1.0248300744955858</v>
      </c>
      <c r="E413" s="307">
        <f t="shared" ca="1" si="183"/>
        <v>-4.3635715606196905</v>
      </c>
      <c r="F413" s="304">
        <f t="shared" ca="1" si="184"/>
        <v>4.4823022484254214</v>
      </c>
      <c r="G413" s="306">
        <f t="shared" ca="1" si="185"/>
        <v>15.525620448682789</v>
      </c>
      <c r="H413" s="307">
        <f t="shared" ca="1" si="186"/>
        <v>-83.491440369687467</v>
      </c>
      <c r="I413" s="304">
        <f t="shared" ca="1" si="187"/>
        <v>84.922703120671073</v>
      </c>
      <c r="J413" s="306">
        <f t="shared" ca="1" si="188"/>
        <v>731.19754097339171</v>
      </c>
      <c r="K413" s="307">
        <f t="shared" ca="1" si="189"/>
        <v>917.91186112424009</v>
      </c>
      <c r="L413" s="304">
        <f t="shared" ca="1" si="174"/>
        <v>1173.5467731275567</v>
      </c>
      <c r="M413" s="306">
        <f t="shared" ca="1" si="190"/>
        <v>-1.3869416730971511</v>
      </c>
      <c r="N413" s="304">
        <f t="shared" ca="1" si="191"/>
        <v>-79.46590429927987</v>
      </c>
      <c r="P413" s="310">
        <f t="shared" ca="1" si="192"/>
        <v>23</v>
      </c>
      <c r="Q413" s="304">
        <f t="shared" ca="1" si="193"/>
        <v>0</v>
      </c>
      <c r="R413" s="306">
        <f t="shared" ca="1" si="194"/>
        <v>0</v>
      </c>
      <c r="S413" s="307">
        <f t="shared" ca="1" si="195"/>
        <v>2.9362999999999984</v>
      </c>
      <c r="T413" s="304">
        <f t="shared" ca="1" si="175"/>
        <v>28.805102999999985</v>
      </c>
      <c r="U413" s="311">
        <f t="shared" ca="1" si="176"/>
        <v>0</v>
      </c>
      <c r="V413" s="306">
        <f t="shared" ca="1" si="177"/>
        <v>1.1174900308078111</v>
      </c>
      <c r="W413" s="304">
        <f t="shared" ca="1" si="178"/>
        <v>16.445021200711867</v>
      </c>
      <c r="Y413" s="314" t="str">
        <f t="shared" ca="1" si="196"/>
        <v/>
      </c>
      <c r="Z413" s="315" t="str">
        <f t="shared" ca="1" si="197"/>
        <v/>
      </c>
      <c r="AA413" s="316" t="str">
        <f t="shared" ca="1" si="198"/>
        <v/>
      </c>
      <c r="AC413" s="310" t="e">
        <f t="shared" ca="1" si="199"/>
        <v>#N/A</v>
      </c>
      <c r="AD413" s="323" t="e">
        <f t="shared" ca="1" si="200"/>
        <v>#N/A</v>
      </c>
      <c r="AE413" s="324" t="e">
        <f t="shared" ca="1" si="179"/>
        <v>#N/A</v>
      </c>
      <c r="AG413" s="306">
        <f t="shared" ca="1" si="201"/>
        <v>4.0988033697440258</v>
      </c>
      <c r="AH413" s="304">
        <f t="shared" ca="1" si="202"/>
        <v>-5.5420086094196268</v>
      </c>
    </row>
    <row r="414" spans="1:34" x14ac:dyDescent="0.2">
      <c r="A414" s="347">
        <f t="shared" ca="1" si="180"/>
        <v>0.1</v>
      </c>
      <c r="B414" s="304">
        <f t="shared" ca="1" si="181"/>
        <v>27.600000000000087</v>
      </c>
      <c r="D414" s="306">
        <f t="shared" ca="1" si="182"/>
        <v>-1.0239038310969977</v>
      </c>
      <c r="E414" s="307">
        <f t="shared" ca="1" si="183"/>
        <v>-4.3037977879278673</v>
      </c>
      <c r="F414" s="304">
        <f t="shared" ca="1" si="184"/>
        <v>4.4239184502777524</v>
      </c>
      <c r="G414" s="306">
        <f t="shared" ca="1" si="185"/>
        <v>15.423230065573089</v>
      </c>
      <c r="H414" s="307">
        <f t="shared" ca="1" si="186"/>
        <v>-83.921820148480251</v>
      </c>
      <c r="I414" s="304">
        <f t="shared" ca="1" si="187"/>
        <v>85.327298812803534</v>
      </c>
      <c r="J414" s="306">
        <f t="shared" ca="1" si="188"/>
        <v>732.74498349910448</v>
      </c>
      <c r="K414" s="307">
        <f t="shared" ca="1" si="189"/>
        <v>909.54119809833173</v>
      </c>
      <c r="L414" s="304">
        <f t="shared" ca="1" si="174"/>
        <v>1167.9813362726527</v>
      </c>
      <c r="M414" s="306">
        <f t="shared" ca="1" si="190"/>
        <v>-1.3890435461632036</v>
      </c>
      <c r="N414" s="304">
        <f t="shared" ca="1" si="191"/>
        <v>-79.586332755036906</v>
      </c>
      <c r="P414" s="310">
        <f t="shared" ca="1" si="192"/>
        <v>23</v>
      </c>
      <c r="Q414" s="304">
        <f t="shared" ca="1" si="193"/>
        <v>0</v>
      </c>
      <c r="R414" s="306">
        <f t="shared" ca="1" si="194"/>
        <v>0</v>
      </c>
      <c r="S414" s="307">
        <f t="shared" ca="1" si="195"/>
        <v>2.9362999999999984</v>
      </c>
      <c r="T414" s="304">
        <f t="shared" ca="1" si="175"/>
        <v>28.805102999999985</v>
      </c>
      <c r="U414" s="311">
        <f t="shared" ca="1" si="176"/>
        <v>0</v>
      </c>
      <c r="V414" s="306">
        <f t="shared" ca="1" si="177"/>
        <v>1.1184277938368357</v>
      </c>
      <c r="W414" s="304">
        <f t="shared" ca="1" si="178"/>
        <v>16.616023869167176</v>
      </c>
      <c r="Y414" s="314" t="str">
        <f t="shared" ca="1" si="196"/>
        <v/>
      </c>
      <c r="Z414" s="315" t="str">
        <f t="shared" ca="1" si="197"/>
        <v/>
      </c>
      <c r="AA414" s="316" t="str">
        <f t="shared" ca="1" si="198"/>
        <v/>
      </c>
      <c r="AC414" s="310" t="e">
        <f t="shared" ca="1" si="199"/>
        <v>#N/A</v>
      </c>
      <c r="AD414" s="323" t="e">
        <f t="shared" ca="1" si="200"/>
        <v>#N/A</v>
      </c>
      <c r="AE414" s="324" t="e">
        <f t="shared" ca="1" si="179"/>
        <v>#N/A</v>
      </c>
      <c r="AG414" s="306">
        <f t="shared" ca="1" si="201"/>
        <v>4.0440720972859951</v>
      </c>
      <c r="AH414" s="304">
        <f t="shared" ca="1" si="202"/>
        <v>-5.6005929914218155</v>
      </c>
    </row>
    <row r="415" spans="1:34" x14ac:dyDescent="0.2">
      <c r="A415" s="347">
        <f t="shared" ca="1" si="180"/>
        <v>0.1</v>
      </c>
      <c r="B415" s="304">
        <f t="shared" ca="1" si="181"/>
        <v>27.700000000000088</v>
      </c>
      <c r="D415" s="306">
        <f t="shared" ca="1" si="182"/>
        <v>-1.0228548805091489</v>
      </c>
      <c r="E415" s="307">
        <f t="shared" ca="1" si="183"/>
        <v>-4.2443796367473556</v>
      </c>
      <c r="F415" s="304">
        <f t="shared" ca="1" si="184"/>
        <v>4.3658894405856179</v>
      </c>
      <c r="G415" s="306">
        <f t="shared" ca="1" si="185"/>
        <v>15.320944577522173</v>
      </c>
      <c r="H415" s="307">
        <f t="shared" ca="1" si="186"/>
        <v>-84.346258112154985</v>
      </c>
      <c r="I415" s="304">
        <f t="shared" ca="1" si="187"/>
        <v>85.726440496907244</v>
      </c>
      <c r="J415" s="306">
        <f t="shared" ca="1" si="188"/>
        <v>734.28219223125927</v>
      </c>
      <c r="K415" s="307">
        <f t="shared" ca="1" si="189"/>
        <v>901.12779418529999</v>
      </c>
      <c r="L415" s="304">
        <f t="shared" ca="1" si="174"/>
        <v>1162.4119920584133</v>
      </c>
      <c r="M415" s="306">
        <f t="shared" ca="1" si="190"/>
        <v>-1.3911119811020687</v>
      </c>
      <c r="N415" s="304">
        <f t="shared" ca="1" si="191"/>
        <v>-79.70484534723127</v>
      </c>
      <c r="P415" s="310">
        <f t="shared" ca="1" si="192"/>
        <v>23</v>
      </c>
      <c r="Q415" s="304">
        <f t="shared" ca="1" si="193"/>
        <v>0</v>
      </c>
      <c r="R415" s="306">
        <f t="shared" ca="1" si="194"/>
        <v>0</v>
      </c>
      <c r="S415" s="307">
        <f t="shared" ca="1" si="195"/>
        <v>2.9362999999999984</v>
      </c>
      <c r="T415" s="304">
        <f t="shared" ca="1" si="175"/>
        <v>28.805102999999985</v>
      </c>
      <c r="U415" s="311">
        <f t="shared" ca="1" si="176"/>
        <v>0</v>
      </c>
      <c r="V415" s="306">
        <f t="shared" ca="1" si="177"/>
        <v>1.1193711020049271</v>
      </c>
      <c r="W415" s="304">
        <f t="shared" ca="1" si="178"/>
        <v>16.785985171353218</v>
      </c>
      <c r="Y415" s="314" t="str">
        <f t="shared" ca="1" si="196"/>
        <v/>
      </c>
      <c r="Z415" s="315" t="str">
        <f t="shared" ca="1" si="197"/>
        <v/>
      </c>
      <c r="AA415" s="316" t="str">
        <f t="shared" ca="1" si="198"/>
        <v/>
      </c>
      <c r="AC415" s="310" t="e">
        <f t="shared" ca="1" si="199"/>
        <v>#N/A</v>
      </c>
      <c r="AD415" s="323" t="e">
        <f t="shared" ca="1" si="200"/>
        <v>#N/A</v>
      </c>
      <c r="AE415" s="324" t="e">
        <f t="shared" ca="1" si="179"/>
        <v>#N/A</v>
      </c>
      <c r="AG415" s="306">
        <f t="shared" ca="1" si="201"/>
        <v>3.9895829717759197</v>
      </c>
      <c r="AH415" s="304">
        <f t="shared" ca="1" si="202"/>
        <v>-5.6588304564135763</v>
      </c>
    </row>
    <row r="416" spans="1:34" x14ac:dyDescent="0.2">
      <c r="A416" s="347">
        <f t="shared" ca="1" si="180"/>
        <v>0.1</v>
      </c>
      <c r="B416" s="304">
        <f t="shared" ca="1" si="181"/>
        <v>27.80000000000009</v>
      </c>
      <c r="D416" s="306">
        <f t="shared" ca="1" si="182"/>
        <v>-1.0216853359372533</v>
      </c>
      <c r="E416" s="307">
        <f t="shared" ca="1" si="183"/>
        <v>-4.185324927367871</v>
      </c>
      <c r="F416" s="304">
        <f t="shared" ca="1" si="184"/>
        <v>4.3082230296627042</v>
      </c>
      <c r="G416" s="306">
        <f t="shared" ca="1" si="185"/>
        <v>15.218776043928449</v>
      </c>
      <c r="H416" s="307">
        <f t="shared" ca="1" si="186"/>
        <v>-84.764790604891772</v>
      </c>
      <c r="I416" s="304">
        <f t="shared" ca="1" si="187"/>
        <v>86.120153684061663</v>
      </c>
      <c r="J416" s="306">
        <f t="shared" ca="1" si="188"/>
        <v>735.80917826233178</v>
      </c>
      <c r="K416" s="307">
        <f t="shared" ca="1" si="189"/>
        <v>892.67224174944761</v>
      </c>
      <c r="L416" s="304">
        <f t="shared" ca="1" si="174"/>
        <v>1156.84003993857</v>
      </c>
      <c r="M416" s="306">
        <f t="shared" ca="1" si="190"/>
        <v>-1.3931477818110396</v>
      </c>
      <c r="N416" s="304">
        <f t="shared" ca="1" si="191"/>
        <v>-79.821488135785046</v>
      </c>
      <c r="P416" s="310">
        <f t="shared" ca="1" si="192"/>
        <v>23</v>
      </c>
      <c r="Q416" s="304">
        <f t="shared" ca="1" si="193"/>
        <v>0</v>
      </c>
      <c r="R416" s="306">
        <f t="shared" ca="1" si="194"/>
        <v>0</v>
      </c>
      <c r="S416" s="307">
        <f t="shared" ca="1" si="195"/>
        <v>2.9362999999999984</v>
      </c>
      <c r="T416" s="304">
        <f t="shared" ca="1" si="175"/>
        <v>28.805102999999985</v>
      </c>
      <c r="U416" s="311">
        <f t="shared" ca="1" si="176"/>
        <v>0</v>
      </c>
      <c r="V416" s="306">
        <f t="shared" ca="1" si="177"/>
        <v>1.1203199013041609</v>
      </c>
      <c r="W416" s="304">
        <f t="shared" ca="1" si="178"/>
        <v>16.954883283775501</v>
      </c>
      <c r="Y416" s="314" t="str">
        <f t="shared" ca="1" si="196"/>
        <v/>
      </c>
      <c r="Z416" s="315" t="str">
        <f t="shared" ca="1" si="197"/>
        <v/>
      </c>
      <c r="AA416" s="316" t="str">
        <f t="shared" ca="1" si="198"/>
        <v/>
      </c>
      <c r="AC416" s="310" t="e">
        <f t="shared" ca="1" si="199"/>
        <v>#N/A</v>
      </c>
      <c r="AD416" s="323" t="e">
        <f t="shared" ca="1" si="200"/>
        <v>#N/A</v>
      </c>
      <c r="AE416" s="324" t="e">
        <f t="shared" ca="1" si="179"/>
        <v>#N/A</v>
      </c>
      <c r="AG416" s="306">
        <f t="shared" ca="1" si="201"/>
        <v>3.93534725393872</v>
      </c>
      <c r="AH416" s="304">
        <f t="shared" ca="1" si="202"/>
        <v>-5.7167132688598672</v>
      </c>
    </row>
    <row r="417" spans="1:34" x14ac:dyDescent="0.2">
      <c r="A417" s="347">
        <f t="shared" ca="1" si="180"/>
        <v>0.1</v>
      </c>
      <c r="B417" s="304">
        <f t="shared" ca="1" si="181"/>
        <v>27.900000000000091</v>
      </c>
      <c r="D417" s="306">
        <f t="shared" ca="1" si="182"/>
        <v>-1.0203973200000298</v>
      </c>
      <c r="E417" s="307">
        <f t="shared" ca="1" si="183"/>
        <v>-4.1266411731183794</v>
      </c>
      <c r="F417" s="304">
        <f t="shared" ca="1" si="184"/>
        <v>4.2509267298248128</v>
      </c>
      <c r="G417" s="306">
        <f t="shared" ca="1" si="185"/>
        <v>15.116736311928445</v>
      </c>
      <c r="H417" s="307">
        <f t="shared" ca="1" si="186"/>
        <v>-85.177454722203606</v>
      </c>
      <c r="I417" s="304">
        <f t="shared" ca="1" si="187"/>
        <v>86.508464959664039</v>
      </c>
      <c r="J417" s="306">
        <f t="shared" ca="1" si="188"/>
        <v>737.32595388012464</v>
      </c>
      <c r="K417" s="307">
        <f t="shared" ca="1" si="189"/>
        <v>884.17512948309286</v>
      </c>
      <c r="L417" s="304">
        <f t="shared" ca="1" si="174"/>
        <v>1151.2667900455044</v>
      </c>
      <c r="M417" s="306">
        <f t="shared" ca="1" si="190"/>
        <v>-1.395151726000907</v>
      </c>
      <c r="N417" s="304">
        <f t="shared" ca="1" si="191"/>
        <v>-79.936305680244203</v>
      </c>
      <c r="P417" s="310">
        <f t="shared" ca="1" si="192"/>
        <v>23</v>
      </c>
      <c r="Q417" s="304">
        <f t="shared" ca="1" si="193"/>
        <v>0</v>
      </c>
      <c r="R417" s="306">
        <f t="shared" ca="1" si="194"/>
        <v>0</v>
      </c>
      <c r="S417" s="307">
        <f t="shared" ca="1" si="195"/>
        <v>2.9362999999999984</v>
      </c>
      <c r="T417" s="304">
        <f t="shared" ca="1" si="175"/>
        <v>28.805102999999985</v>
      </c>
      <c r="U417" s="311">
        <f t="shared" ca="1" si="176"/>
        <v>0</v>
      </c>
      <c r="V417" s="306">
        <f t="shared" ca="1" si="177"/>
        <v>1.121274138011062</v>
      </c>
      <c r="W417" s="304">
        <f t="shared" ca="1" si="178"/>
        <v>17.122697263896374</v>
      </c>
      <c r="Y417" s="314" t="str">
        <f t="shared" ca="1" si="196"/>
        <v/>
      </c>
      <c r="Z417" s="315" t="str">
        <f t="shared" ca="1" si="197"/>
        <v/>
      </c>
      <c r="AA417" s="316" t="str">
        <f t="shared" ca="1" si="198"/>
        <v/>
      </c>
      <c r="AC417" s="310" t="e">
        <f t="shared" ca="1" si="199"/>
        <v>#N/A</v>
      </c>
      <c r="AD417" s="323" t="e">
        <f t="shared" ca="1" si="200"/>
        <v>#N/A</v>
      </c>
      <c r="AE417" s="324" t="e">
        <f t="shared" ca="1" si="179"/>
        <v>#N/A</v>
      </c>
      <c r="AG417" s="306">
        <f t="shared" ca="1" si="201"/>
        <v>3.8813757564608444</v>
      </c>
      <c r="AH417" s="304">
        <f t="shared" ca="1" si="202"/>
        <v>-5.7742339964497873</v>
      </c>
    </row>
    <row r="418" spans="1:34" x14ac:dyDescent="0.2">
      <c r="A418" s="347">
        <f t="shared" ca="1" si="180"/>
        <v>0.1</v>
      </c>
      <c r="B418" s="304">
        <f t="shared" ca="1" si="181"/>
        <v>28.000000000000092</v>
      </c>
      <c r="D418" s="306">
        <f t="shared" ca="1" si="182"/>
        <v>-1.018992963082145</v>
      </c>
      <c r="E418" s="307">
        <f t="shared" ca="1" si="183"/>
        <v>-4.0683355835423054</v>
      </c>
      <c r="F418" s="304">
        <f t="shared" ca="1" si="184"/>
        <v>4.1940077585917077</v>
      </c>
      <c r="G418" s="306">
        <f t="shared" ca="1" si="185"/>
        <v>15.01483701562023</v>
      </c>
      <c r="H418" s="307">
        <f t="shared" ca="1" si="186"/>
        <v>-85.584288280557843</v>
      </c>
      <c r="I418" s="304">
        <f t="shared" ca="1" si="187"/>
        <v>86.891401939980625</v>
      </c>
      <c r="J418" s="306">
        <f t="shared" ca="1" si="188"/>
        <v>738.83253254650208</v>
      </c>
      <c r="K418" s="307">
        <f t="shared" ca="1" si="189"/>
        <v>875.63704233295482</v>
      </c>
      <c r="L418" s="304">
        <f t="shared" ca="1" si="174"/>
        <v>1145.6935633295157</v>
      </c>
      <c r="M418" s="306">
        <f t="shared" ca="1" si="190"/>
        <v>-1.3971245662357012</v>
      </c>
      <c r="N418" s="304">
        <f t="shared" ca="1" si="191"/>
        <v>-80.049341099351523</v>
      </c>
      <c r="P418" s="310">
        <f t="shared" ca="1" si="192"/>
        <v>23</v>
      </c>
      <c r="Q418" s="304">
        <f t="shared" ca="1" si="193"/>
        <v>0</v>
      </c>
      <c r="R418" s="306">
        <f t="shared" ca="1" si="194"/>
        <v>0</v>
      </c>
      <c r="S418" s="307">
        <f t="shared" ca="1" si="195"/>
        <v>2.9362999999999984</v>
      </c>
      <c r="T418" s="304">
        <f t="shared" ca="1" si="175"/>
        <v>28.805102999999985</v>
      </c>
      <c r="U418" s="311">
        <f t="shared" ca="1" si="176"/>
        <v>0</v>
      </c>
      <c r="V418" s="306">
        <f t="shared" ca="1" si="177"/>
        <v>1.1222337586936706</v>
      </c>
      <c r="W418" s="304">
        <f t="shared" ca="1" si="178"/>
        <v>17.289407040299768</v>
      </c>
      <c r="Y418" s="314" t="str">
        <f t="shared" ca="1" si="196"/>
        <v/>
      </c>
      <c r="Z418" s="315" t="str">
        <f t="shared" ca="1" si="197"/>
        <v/>
      </c>
      <c r="AA418" s="316" t="str">
        <f t="shared" ca="1" si="198"/>
        <v/>
      </c>
      <c r="AC418" s="310">
        <f t="shared" ca="1" si="199"/>
        <v>28.000000000000092</v>
      </c>
      <c r="AD418" s="323">
        <f t="shared" ca="1" si="200"/>
        <v>738.83253254650208</v>
      </c>
      <c r="AE418" s="324" t="e">
        <f t="shared" ca="1" si="179"/>
        <v>#N/A</v>
      </c>
      <c r="AG418" s="306">
        <f t="shared" ca="1" si="201"/>
        <v>3.8276788541985365</v>
      </c>
      <c r="AH418" s="304">
        <f t="shared" ca="1" si="202"/>
        <v>-5.8313855068952023</v>
      </c>
    </row>
    <row r="419" spans="1:34" x14ac:dyDescent="0.2">
      <c r="A419" s="347">
        <f t="shared" ca="1" si="180"/>
        <v>0.1</v>
      </c>
      <c r="B419" s="304">
        <f t="shared" ca="1" si="181"/>
        <v>28.100000000000094</v>
      </c>
      <c r="D419" s="306">
        <f t="shared" ca="1" si="182"/>
        <v>-1.0174744017364579</v>
      </c>
      <c r="E419" s="307">
        <f t="shared" ca="1" si="183"/>
        <v>-4.010415067728653</v>
      </c>
      <c r="F419" s="304">
        <f t="shared" ca="1" si="184"/>
        <v>4.1374730420455883</v>
      </c>
      <c r="G419" s="306">
        <f t="shared" ca="1" si="185"/>
        <v>14.913089575446584</v>
      </c>
      <c r="H419" s="307">
        <f t="shared" ca="1" si="186"/>
        <v>-85.985329787330713</v>
      </c>
      <c r="I419" s="304">
        <f t="shared" ca="1" si="187"/>
        <v>87.268993229676454</v>
      </c>
      <c r="J419" s="306">
        <f t="shared" ca="1" si="188"/>
        <v>740.32892887605544</v>
      </c>
      <c r="K419" s="307">
        <f t="shared" ca="1" si="189"/>
        <v>867.05856142956043</v>
      </c>
      <c r="L419" s="304">
        <f t="shared" ca="1" si="174"/>
        <v>1140.1216916974549</v>
      </c>
      <c r="M419" s="306">
        <f t="shared" ca="1" si="190"/>
        <v>-1.3990670309244047</v>
      </c>
      <c r="N419" s="304">
        <f t="shared" ca="1" si="191"/>
        <v>-80.16063612786742</v>
      </c>
      <c r="P419" s="310">
        <f t="shared" ca="1" si="192"/>
        <v>23</v>
      </c>
      <c r="Q419" s="304">
        <f t="shared" ca="1" si="193"/>
        <v>0</v>
      </c>
      <c r="R419" s="306">
        <f t="shared" ca="1" si="194"/>
        <v>0</v>
      </c>
      <c r="S419" s="307">
        <f t="shared" ca="1" si="195"/>
        <v>2.9362999999999984</v>
      </c>
      <c r="T419" s="304">
        <f t="shared" ca="1" si="175"/>
        <v>28.805102999999985</v>
      </c>
      <c r="U419" s="311">
        <f t="shared" ca="1" si="176"/>
        <v>0</v>
      </c>
      <c r="V419" s="306">
        <f t="shared" ca="1" si="177"/>
        <v>1.1231987102183658</v>
      </c>
      <c r="W419" s="304">
        <f t="shared" ca="1" si="178"/>
        <v>17.45499340244551</v>
      </c>
      <c r="Y419" s="314" t="str">
        <f t="shared" ca="1" si="196"/>
        <v/>
      </c>
      <c r="Z419" s="315" t="str">
        <f t="shared" ca="1" si="197"/>
        <v/>
      </c>
      <c r="AA419" s="316" t="str">
        <f t="shared" ca="1" si="198"/>
        <v/>
      </c>
      <c r="AC419" s="310" t="e">
        <f t="shared" ca="1" si="199"/>
        <v>#N/A</v>
      </c>
      <c r="AD419" s="323" t="e">
        <f t="shared" ca="1" si="200"/>
        <v>#N/A</v>
      </c>
      <c r="AE419" s="324" t="e">
        <f t="shared" ca="1" si="179"/>
        <v>#N/A</v>
      </c>
      <c r="AG419" s="306">
        <f t="shared" ca="1" si="201"/>
        <v>3.7742664941471702</v>
      </c>
      <c r="AH419" s="304">
        <f t="shared" ca="1" si="202"/>
        <v>-5.8881609645811999</v>
      </c>
    </row>
    <row r="420" spans="1:34" x14ac:dyDescent="0.2">
      <c r="A420" s="347">
        <f t="shared" ca="1" si="180"/>
        <v>0.1</v>
      </c>
      <c r="B420" s="304">
        <f t="shared" ca="1" si="181"/>
        <v>28.200000000000095</v>
      </c>
      <c r="D420" s="306">
        <f t="shared" ca="1" si="182"/>
        <v>-1.0158437771356468</v>
      </c>
      <c r="E420" s="307">
        <f t="shared" ca="1" si="183"/>
        <v>-3.9528862377901657</v>
      </c>
      <c r="F420" s="304">
        <f t="shared" ca="1" si="184"/>
        <v>4.0813292183375882</v>
      </c>
      <c r="G420" s="306">
        <f t="shared" ca="1" si="185"/>
        <v>14.81150519773302</v>
      </c>
      <c r="H420" s="307">
        <f t="shared" ca="1" si="186"/>
        <v>-86.380618411109722</v>
      </c>
      <c r="I420" s="304">
        <f t="shared" ca="1" si="187"/>
        <v>87.641268380302549</v>
      </c>
      <c r="J420" s="306">
        <f t="shared" ca="1" si="188"/>
        <v>741.81515861471439</v>
      </c>
      <c r="K420" s="307">
        <f t="shared" ca="1" si="189"/>
        <v>858.44026401963845</v>
      </c>
      <c r="L420" s="304">
        <f t="shared" ca="1" si="174"/>
        <v>1134.5525181500768</v>
      </c>
      <c r="M420" s="306">
        <f t="shared" ca="1" si="190"/>
        <v>-1.4009798252671501</v>
      </c>
      <c r="N420" s="304">
        <f t="shared" ca="1" si="191"/>
        <v>-80.270231170783234</v>
      </c>
      <c r="P420" s="310">
        <f t="shared" ca="1" si="192"/>
        <v>23</v>
      </c>
      <c r="Q420" s="304">
        <f t="shared" ca="1" si="193"/>
        <v>0</v>
      </c>
      <c r="R420" s="306">
        <f t="shared" ca="1" si="194"/>
        <v>0</v>
      </c>
      <c r="S420" s="307">
        <f t="shared" ca="1" si="195"/>
        <v>2.9362999999999984</v>
      </c>
      <c r="T420" s="304">
        <f t="shared" ca="1" si="175"/>
        <v>28.805102999999985</v>
      </c>
      <c r="U420" s="311">
        <f t="shared" ca="1" si="176"/>
        <v>0</v>
      </c>
      <c r="V420" s="306">
        <f t="shared" ca="1" si="177"/>
        <v>1.1241689397564376</v>
      </c>
      <c r="W420" s="304">
        <f t="shared" ca="1" si="178"/>
        <v>17.619437990036975</v>
      </c>
      <c r="Y420" s="314" t="str">
        <f t="shared" ca="1" si="196"/>
        <v/>
      </c>
      <c r="Z420" s="315" t="str">
        <f t="shared" ca="1" si="197"/>
        <v/>
      </c>
      <c r="AA420" s="316" t="str">
        <f t="shared" ca="1" si="198"/>
        <v/>
      </c>
      <c r="AC420" s="310" t="e">
        <f t="shared" ca="1" si="199"/>
        <v>#N/A</v>
      </c>
      <c r="AD420" s="323" t="e">
        <f t="shared" ca="1" si="200"/>
        <v>#N/A</v>
      </c>
      <c r="AE420" s="324" t="e">
        <f t="shared" ca="1" si="179"/>
        <v>#N/A</v>
      </c>
      <c r="AG420" s="306">
        <f t="shared" ca="1" si="201"/>
        <v>3.7211482051871991</v>
      </c>
      <c r="AH420" s="304">
        <f t="shared" ca="1" si="202"/>
        <v>-5.9445538270767697</v>
      </c>
    </row>
    <row r="421" spans="1:34" x14ac:dyDescent="0.2">
      <c r="A421" s="347">
        <f t="shared" ca="1" si="180"/>
        <v>0.1</v>
      </c>
      <c r="B421" s="304">
        <f t="shared" ca="1" si="181"/>
        <v>28.300000000000097</v>
      </c>
      <c r="D421" s="306">
        <f t="shared" ca="1" si="182"/>
        <v>-1.0141032335727198</v>
      </c>
      <c r="E421" s="307">
        <f t="shared" ca="1" si="183"/>
        <v>-3.8957554124799536</v>
      </c>
      <c r="F421" s="304">
        <f t="shared" ca="1" si="184"/>
        <v>4.025582641333985</v>
      </c>
      <c r="G421" s="306">
        <f t="shared" ca="1" si="185"/>
        <v>14.710094874375748</v>
      </c>
      <c r="H421" s="307">
        <f t="shared" ca="1" si="186"/>
        <v>-86.770193952357715</v>
      </c>
      <c r="I421" s="304">
        <f t="shared" ca="1" si="187"/>
        <v>88.008257849720621</v>
      </c>
      <c r="J421" s="306">
        <f t="shared" ca="1" si="188"/>
        <v>743.29123861831988</v>
      </c>
      <c r="K421" s="307">
        <f t="shared" ca="1" si="189"/>
        <v>849.78272340146509</v>
      </c>
      <c r="L421" s="304">
        <f t="shared" ca="1" si="174"/>
        <v>1128.9873969174178</v>
      </c>
      <c r="M421" s="306">
        <f t="shared" ca="1" si="190"/>
        <v>-1.4028636321582704</v>
      </c>
      <c r="N421" s="304">
        <f t="shared" ca="1" si="191"/>
        <v>-80.37816535506208</v>
      </c>
      <c r="P421" s="310">
        <f t="shared" ca="1" si="192"/>
        <v>23</v>
      </c>
      <c r="Q421" s="304">
        <f t="shared" ca="1" si="193"/>
        <v>0</v>
      </c>
      <c r="R421" s="306">
        <f t="shared" ca="1" si="194"/>
        <v>0</v>
      </c>
      <c r="S421" s="307">
        <f t="shared" ca="1" si="195"/>
        <v>2.9362999999999984</v>
      </c>
      <c r="T421" s="304">
        <f t="shared" ca="1" si="175"/>
        <v>28.805102999999985</v>
      </c>
      <c r="U421" s="311">
        <f t="shared" ca="1" si="176"/>
        <v>0</v>
      </c>
      <c r="V421" s="306">
        <f t="shared" ca="1" si="177"/>
        <v>1.1251443947904156</v>
      </c>
      <c r="W421" s="304">
        <f t="shared" ca="1" si="178"/>
        <v>17.782723282025866</v>
      </c>
      <c r="Y421" s="314" t="str">
        <f t="shared" ca="1" si="196"/>
        <v/>
      </c>
      <c r="Z421" s="315" t="str">
        <f t="shared" ca="1" si="197"/>
        <v/>
      </c>
      <c r="AA421" s="316" t="str">
        <f t="shared" ca="1" si="198"/>
        <v/>
      </c>
      <c r="AC421" s="310" t="e">
        <f t="shared" ca="1" si="199"/>
        <v>#N/A</v>
      </c>
      <c r="AD421" s="323" t="e">
        <f t="shared" ca="1" si="200"/>
        <v>#N/A</v>
      </c>
      <c r="AE421" s="324" t="e">
        <f t="shared" ca="1" si="179"/>
        <v>#N/A</v>
      </c>
      <c r="AG421" s="306">
        <f t="shared" ca="1" si="201"/>
        <v>3.6683331076208248</v>
      </c>
      <c r="AH421" s="304">
        <f t="shared" ca="1" si="202"/>
        <v>-6.000557841513805</v>
      </c>
    </row>
    <row r="422" spans="1:34" x14ac:dyDescent="0.2">
      <c r="A422" s="347">
        <f t="shared" ca="1" si="180"/>
        <v>0.1</v>
      </c>
      <c r="B422" s="304">
        <f t="shared" ca="1" si="181"/>
        <v>28.400000000000098</v>
      </c>
      <c r="D422" s="306">
        <f t="shared" ca="1" si="182"/>
        <v>-1.0122549170099679</v>
      </c>
      <c r="E422" s="307">
        <f t="shared" ca="1" si="183"/>
        <v>-3.8390286209381044</v>
      </c>
      <c r="F422" s="304">
        <f t="shared" ca="1" si="184"/>
        <v>3.970239384393941</v>
      </c>
      <c r="G422" s="306">
        <f t="shared" ca="1" si="185"/>
        <v>14.608869382674751</v>
      </c>
      <c r="H422" s="307">
        <f t="shared" ca="1" si="186"/>
        <v>-87.15409681445152</v>
      </c>
      <c r="I422" s="304">
        <f t="shared" ca="1" si="187"/>
        <v>88.369992962446474</v>
      </c>
      <c r="J422" s="306">
        <f t="shared" ca="1" si="188"/>
        <v>744.75718683117236</v>
      </c>
      <c r="K422" s="307">
        <f t="shared" ca="1" si="189"/>
        <v>841.08650886312466</v>
      </c>
      <c r="L422" s="304">
        <f t="shared" ca="1" si="174"/>
        <v>1123.4276935914661</v>
      </c>
      <c r="M422" s="306">
        <f t="shared" ca="1" si="190"/>
        <v>-1.4047191130484318</v>
      </c>
      <c r="N422" s="304">
        <f t="shared" ca="1" si="191"/>
        <v>-80.484476579035515</v>
      </c>
      <c r="P422" s="310">
        <f t="shared" ca="1" si="192"/>
        <v>23</v>
      </c>
      <c r="Q422" s="304">
        <f t="shared" ca="1" si="193"/>
        <v>0</v>
      </c>
      <c r="R422" s="306">
        <f t="shared" ca="1" si="194"/>
        <v>0</v>
      </c>
      <c r="S422" s="307">
        <f t="shared" ca="1" si="195"/>
        <v>2.9362999999999984</v>
      </c>
      <c r="T422" s="304">
        <f t="shared" ca="1" si="175"/>
        <v>28.805102999999985</v>
      </c>
      <c r="U422" s="311">
        <f t="shared" ca="1" si="176"/>
        <v>0</v>
      </c>
      <c r="V422" s="306">
        <f t="shared" ca="1" si="177"/>
        <v>1.1261250231201567</v>
      </c>
      <c r="W422" s="304">
        <f t="shared" ca="1" si="178"/>
        <v>17.944832585277215</v>
      </c>
      <c r="Y422" s="314" t="str">
        <f t="shared" ca="1" si="196"/>
        <v/>
      </c>
      <c r="Z422" s="315" t="str">
        <f t="shared" ca="1" si="197"/>
        <v/>
      </c>
      <c r="AA422" s="316" t="str">
        <f t="shared" ca="1" si="198"/>
        <v/>
      </c>
      <c r="AC422" s="310" t="e">
        <f t="shared" ca="1" si="199"/>
        <v>#N/A</v>
      </c>
      <c r="AD422" s="323" t="e">
        <f t="shared" ca="1" si="200"/>
        <v>#N/A</v>
      </c>
      <c r="AE422" s="324" t="e">
        <f t="shared" ca="1" si="179"/>
        <v>#N/A</v>
      </c>
      <c r="AG422" s="306">
        <f t="shared" ca="1" si="201"/>
        <v>3.6158299225121171</v>
      </c>
      <c r="AH422" s="304">
        <f t="shared" ca="1" si="202"/>
        <v>-6.0561670408425146</v>
      </c>
    </row>
    <row r="423" spans="1:34" x14ac:dyDescent="0.2">
      <c r="A423" s="347">
        <f t="shared" ca="1" si="180"/>
        <v>0.1</v>
      </c>
      <c r="B423" s="304">
        <f t="shared" ca="1" si="181"/>
        <v>28.500000000000099</v>
      </c>
      <c r="D423" s="306">
        <f t="shared" ca="1" si="182"/>
        <v>-1.0103009736758244</v>
      </c>
      <c r="E423" s="307">
        <f t="shared" ca="1" si="183"/>
        <v>-3.7827116065599338</v>
      </c>
      <c r="F423" s="304">
        <f t="shared" ca="1" si="184"/>
        <v>3.9153052442706882</v>
      </c>
      <c r="G423" s="306">
        <f t="shared" ca="1" si="185"/>
        <v>14.507839285307169</v>
      </c>
      <c r="H423" s="307">
        <f t="shared" ca="1" si="186"/>
        <v>-87.532367975107519</v>
      </c>
      <c r="I423" s="304">
        <f t="shared" ca="1" si="187"/>
        <v>88.726505870894798</v>
      </c>
      <c r="J423" s="306">
        <f t="shared" ca="1" si="188"/>
        <v>746.21302226457146</v>
      </c>
      <c r="K423" s="307">
        <f t="shared" ca="1" si="189"/>
        <v>832.35218562364673</v>
      </c>
      <c r="L423" s="304">
        <f t="shared" ca="1" si="174"/>
        <v>1117.8747852553468</v>
      </c>
      <c r="M423" s="306">
        <f t="shared" ca="1" si="190"/>
        <v>-1.4065469087679559</v>
      </c>
      <c r="N423" s="304">
        <f t="shared" ca="1" si="191"/>
        <v>-80.58920155957631</v>
      </c>
      <c r="P423" s="310">
        <f t="shared" ca="1" si="192"/>
        <v>23</v>
      </c>
      <c r="Q423" s="304">
        <f t="shared" ca="1" si="193"/>
        <v>0</v>
      </c>
      <c r="R423" s="306">
        <f t="shared" ca="1" si="194"/>
        <v>0</v>
      </c>
      <c r="S423" s="307">
        <f t="shared" ca="1" si="195"/>
        <v>2.9362999999999984</v>
      </c>
      <c r="T423" s="304">
        <f t="shared" ca="1" si="175"/>
        <v>28.805102999999985</v>
      </c>
      <c r="U423" s="311">
        <f t="shared" ca="1" si="176"/>
        <v>0</v>
      </c>
      <c r="V423" s="306">
        <f t="shared" ca="1" si="177"/>
        <v>1.1271107728686911</v>
      </c>
      <c r="W423" s="304">
        <f t="shared" ca="1" si="178"/>
        <v>18.105750022917601</v>
      </c>
      <c r="Y423" s="314" t="str">
        <f t="shared" ca="1" si="196"/>
        <v/>
      </c>
      <c r="Z423" s="315" t="str">
        <f t="shared" ca="1" si="197"/>
        <v/>
      </c>
      <c r="AA423" s="316" t="str">
        <f t="shared" ca="1" si="198"/>
        <v/>
      </c>
      <c r="AC423" s="310" t="e">
        <f t="shared" ca="1" si="199"/>
        <v>#N/A</v>
      </c>
      <c r="AD423" s="323" t="e">
        <f t="shared" ca="1" si="200"/>
        <v>#N/A</v>
      </c>
      <c r="AE423" s="324" t="e">
        <f t="shared" ca="1" si="179"/>
        <v>#N/A</v>
      </c>
      <c r="AG423" s="306">
        <f t="shared" ca="1" si="201"/>
        <v>3.5636469808420408</v>
      </c>
      <c r="AH423" s="304">
        <f t="shared" ca="1" si="202"/>
        <v>-6.1113757399711286</v>
      </c>
    </row>
    <row r="424" spans="1:34" x14ac:dyDescent="0.2">
      <c r="A424" s="347">
        <f t="shared" ca="1" si="180"/>
        <v>0.1</v>
      </c>
      <c r="B424" s="304">
        <f t="shared" ca="1" si="181"/>
        <v>28.600000000000101</v>
      </c>
      <c r="D424" s="306">
        <f t="shared" ca="1" si="182"/>
        <v>-1.0082435487091301</v>
      </c>
      <c r="E424" s="307">
        <f t="shared" ca="1" si="183"/>
        <v>-3.7268098309777171</v>
      </c>
      <c r="F424" s="304">
        <f t="shared" ca="1" si="184"/>
        <v>3.8607857451282817</v>
      </c>
      <c r="G424" s="306">
        <f t="shared" ca="1" si="185"/>
        <v>14.407014930436256</v>
      </c>
      <c r="H424" s="307">
        <f t="shared" ca="1" si="186"/>
        <v>-87.905048958205285</v>
      </c>
      <c r="I424" s="304">
        <f t="shared" ca="1" si="187"/>
        <v>89.077829517508349</v>
      </c>
      <c r="J424" s="306">
        <f t="shared" ca="1" si="188"/>
        <v>747.65876497535862</v>
      </c>
      <c r="K424" s="307">
        <f t="shared" ca="1" si="189"/>
        <v>823.58031477698114</v>
      </c>
      <c r="L424" s="304">
        <f t="shared" ca="1" si="174"/>
        <v>1112.3300606081946</v>
      </c>
      <c r="M424" s="306">
        <f t="shared" ca="1" si="190"/>
        <v>-1.4083476403133111</v>
      </c>
      <c r="N424" s="304">
        <f t="shared" ca="1" si="191"/>
        <v>-80.69237587716124</v>
      </c>
      <c r="P424" s="310">
        <f t="shared" ca="1" si="192"/>
        <v>23</v>
      </c>
      <c r="Q424" s="304">
        <f t="shared" ca="1" si="193"/>
        <v>0</v>
      </c>
      <c r="R424" s="306">
        <f t="shared" ca="1" si="194"/>
        <v>0</v>
      </c>
      <c r="S424" s="307">
        <f t="shared" ca="1" si="195"/>
        <v>2.9362999999999984</v>
      </c>
      <c r="T424" s="304">
        <f t="shared" ca="1" si="175"/>
        <v>28.805102999999985</v>
      </c>
      <c r="U424" s="311">
        <f t="shared" ca="1" si="176"/>
        <v>0</v>
      </c>
      <c r="V424" s="306">
        <f t="shared" ca="1" si="177"/>
        <v>1.128101592487833</v>
      </c>
      <c r="W424" s="304">
        <f t="shared" ca="1" si="178"/>
        <v>18.265460522388867</v>
      </c>
      <c r="Y424" s="314" t="str">
        <f t="shared" ca="1" si="196"/>
        <v/>
      </c>
      <c r="Z424" s="315" t="str">
        <f t="shared" ca="1" si="197"/>
        <v/>
      </c>
      <c r="AA424" s="316" t="str">
        <f t="shared" ca="1" si="198"/>
        <v/>
      </c>
      <c r="AC424" s="310" t="e">
        <f t="shared" ca="1" si="199"/>
        <v>#N/A</v>
      </c>
      <c r="AD424" s="323" t="e">
        <f t="shared" ca="1" si="200"/>
        <v>#N/A</v>
      </c>
      <c r="AE424" s="324" t="e">
        <f t="shared" ca="1" si="179"/>
        <v>#N/A</v>
      </c>
      <c r="AG424" s="306">
        <f t="shared" ca="1" si="201"/>
        <v>3.5117922324886823</v>
      </c>
      <c r="AH424" s="304">
        <f t="shared" ca="1" si="202"/>
        <v>-6.1661785317977085</v>
      </c>
    </row>
    <row r="425" spans="1:34" x14ac:dyDescent="0.2">
      <c r="A425" s="347">
        <f t="shared" ca="1" si="180"/>
        <v>0.1</v>
      </c>
      <c r="B425" s="304">
        <f t="shared" ca="1" si="181"/>
        <v>28.700000000000102</v>
      </c>
      <c r="D425" s="306">
        <f t="shared" ca="1" si="182"/>
        <v>-1.0060847848502554</v>
      </c>
      <c r="E425" s="307">
        <f t="shared" ca="1" si="183"/>
        <v>-3.6713284781478981</v>
      </c>
      <c r="F425" s="304">
        <f t="shared" ca="1" si="184"/>
        <v>3.8066861426662095</v>
      </c>
      <c r="G425" s="306">
        <f t="shared" ca="1" si="185"/>
        <v>14.306406451951231</v>
      </c>
      <c r="H425" s="307">
        <f t="shared" ca="1" si="186"/>
        <v>-88.272181806020072</v>
      </c>
      <c r="I425" s="304">
        <f t="shared" ca="1" si="187"/>
        <v>89.423997597756127</v>
      </c>
      <c r="J425" s="306">
        <f t="shared" ca="1" si="188"/>
        <v>749.09443604447802</v>
      </c>
      <c r="K425" s="307">
        <f t="shared" ca="1" si="189"/>
        <v>814.77145323876982</v>
      </c>
      <c r="L425" s="304">
        <f t="shared" ca="1" si="174"/>
        <v>1106.7949200848418</v>
      </c>
      <c r="M425" s="306">
        <f t="shared" ca="1" si="190"/>
        <v>-1.4101219095986461</v>
      </c>
      <c r="N425" s="304">
        <f t="shared" ca="1" si="191"/>
        <v>-80.794034018930631</v>
      </c>
      <c r="P425" s="310">
        <f t="shared" ca="1" si="192"/>
        <v>23</v>
      </c>
      <c r="Q425" s="304">
        <f t="shared" ca="1" si="193"/>
        <v>0</v>
      </c>
      <c r="R425" s="306">
        <f t="shared" ca="1" si="194"/>
        <v>0</v>
      </c>
      <c r="S425" s="307">
        <f t="shared" ca="1" si="195"/>
        <v>2.9362999999999984</v>
      </c>
      <c r="T425" s="304">
        <f t="shared" ca="1" si="175"/>
        <v>28.805102999999985</v>
      </c>
      <c r="U425" s="311">
        <f t="shared" ca="1" si="176"/>
        <v>0</v>
      </c>
      <c r="V425" s="306">
        <f t="shared" ca="1" si="177"/>
        <v>1.1290974307635564</v>
      </c>
      <c r="W425" s="304">
        <f t="shared" ca="1" si="178"/>
        <v>18.423949803229512</v>
      </c>
      <c r="Y425" s="314" t="str">
        <f t="shared" ca="1" si="196"/>
        <v/>
      </c>
      <c r="Z425" s="315" t="str">
        <f t="shared" ca="1" si="197"/>
        <v/>
      </c>
      <c r="AA425" s="316" t="str">
        <f t="shared" ca="1" si="198"/>
        <v/>
      </c>
      <c r="AC425" s="310" t="e">
        <f t="shared" ca="1" si="199"/>
        <v>#N/A</v>
      </c>
      <c r="AD425" s="323" t="e">
        <f t="shared" ca="1" si="200"/>
        <v>#N/A</v>
      </c>
      <c r="AE425" s="324" t="e">
        <f t="shared" ca="1" si="179"/>
        <v>#N/A</v>
      </c>
      <c r="AG425" s="306">
        <f t="shared" ca="1" si="201"/>
        <v>3.4602732550419653</v>
      </c>
      <c r="AH425" s="304">
        <f t="shared" ca="1" si="202"/>
        <v>-6.2205702831416669</v>
      </c>
    </row>
    <row r="426" spans="1:34" x14ac:dyDescent="0.2">
      <c r="A426" s="347">
        <f t="shared" ca="1" si="180"/>
        <v>0.1</v>
      </c>
      <c r="B426" s="304">
        <f t="shared" ca="1" si="181"/>
        <v>28.800000000000104</v>
      </c>
      <c r="D426" s="306">
        <f t="shared" ca="1" si="182"/>
        <v>-1.0038268211785271</v>
      </c>
      <c r="E426" s="307">
        <f t="shared" ca="1" si="183"/>
        <v>-3.6162724585358959</v>
      </c>
      <c r="F426" s="304">
        <f t="shared" ca="1" si="184"/>
        <v>3.7530114283442622</v>
      </c>
      <c r="G426" s="306">
        <f t="shared" ca="1" si="185"/>
        <v>14.206023769833378</v>
      </c>
      <c r="H426" s="307">
        <f t="shared" ca="1" si="186"/>
        <v>-88.633809051873655</v>
      </c>
      <c r="I426" s="304">
        <f t="shared" ca="1" si="187"/>
        <v>89.765044523985352</v>
      </c>
      <c r="J426" s="306">
        <f t="shared" ca="1" si="188"/>
        <v>750.52005755556729</v>
      </c>
      <c r="K426" s="307">
        <f t="shared" ca="1" si="189"/>
        <v>805.92615369587509</v>
      </c>
      <c r="L426" s="304">
        <f t="shared" ca="1" si="174"/>
        <v>1101.2707759693976</v>
      </c>
      <c r="M426" s="306">
        <f t="shared" ca="1" si="190"/>
        <v>-1.41187030017413</v>
      </c>
      <c r="N426" s="304">
        <f t="shared" ca="1" si="191"/>
        <v>-80.894209419846305</v>
      </c>
      <c r="P426" s="310">
        <f t="shared" ca="1" si="192"/>
        <v>23</v>
      </c>
      <c r="Q426" s="304">
        <f t="shared" ca="1" si="193"/>
        <v>0</v>
      </c>
      <c r="R426" s="306">
        <f t="shared" ca="1" si="194"/>
        <v>0</v>
      </c>
      <c r="S426" s="307">
        <f t="shared" ca="1" si="195"/>
        <v>2.9362999999999984</v>
      </c>
      <c r="T426" s="304">
        <f t="shared" ca="1" si="175"/>
        <v>28.805102999999985</v>
      </c>
      <c r="U426" s="311">
        <f t="shared" ca="1" si="176"/>
        <v>0</v>
      </c>
      <c r="V426" s="306">
        <f t="shared" ca="1" si="177"/>
        <v>1.1300982368211399</v>
      </c>
      <c r="W426" s="304">
        <f t="shared" ca="1" si="178"/>
        <v>18.581204364605092</v>
      </c>
      <c r="Y426" s="314" t="str">
        <f t="shared" ca="1" si="196"/>
        <v/>
      </c>
      <c r="Z426" s="315" t="str">
        <f t="shared" ca="1" si="197"/>
        <v/>
      </c>
      <c r="AA426" s="316" t="str">
        <f t="shared" ca="1" si="198"/>
        <v/>
      </c>
      <c r="AC426" s="310" t="e">
        <f t="shared" ca="1" si="199"/>
        <v>#N/A</v>
      </c>
      <c r="AD426" s="323" t="e">
        <f t="shared" ca="1" si="200"/>
        <v>#N/A</v>
      </c>
      <c r="AE426" s="324" t="e">
        <f t="shared" ca="1" si="179"/>
        <v>#N/A</v>
      </c>
      <c r="AG426" s="306">
        <f t="shared" ca="1" si="201"/>
        <v>3.4090972624610476</v>
      </c>
      <c r="AH426" s="304">
        <f t="shared" ca="1" si="202"/>
        <v>-6.274546130582543</v>
      </c>
    </row>
    <row r="427" spans="1:34" x14ac:dyDescent="0.2">
      <c r="A427" s="347">
        <f t="shared" ca="1" si="180"/>
        <v>0.1</v>
      </c>
      <c r="B427" s="304">
        <f t="shared" ca="1" si="181"/>
        <v>28.900000000000105</v>
      </c>
      <c r="D427" s="306">
        <f t="shared" ca="1" si="182"/>
        <v>-1.0014717918953753</v>
      </c>
      <c r="E427" s="307">
        <f t="shared" ca="1" si="183"/>
        <v>-3.5616464133909034</v>
      </c>
      <c r="F427" s="304">
        <f t="shared" ca="1" si="184"/>
        <v>3.6997663337003348</v>
      </c>
      <c r="G427" s="306">
        <f t="shared" ca="1" si="185"/>
        <v>14.10587659064384</v>
      </c>
      <c r="H427" s="307">
        <f t="shared" ca="1" si="186"/>
        <v>-88.989973693212747</v>
      </c>
      <c r="I427" s="304">
        <f t="shared" ca="1" si="187"/>
        <v>90.101005390112988</v>
      </c>
      <c r="J427" s="306">
        <f t="shared" ca="1" si="188"/>
        <v>751.93565257359114</v>
      </c>
      <c r="K427" s="307">
        <f t="shared" ca="1" si="189"/>
        <v>797.04496455862079</v>
      </c>
      <c r="L427" s="304">
        <f t="shared" ca="1" si="174"/>
        <v>1095.7590525017465</v>
      </c>
      <c r="M427" s="306">
        <f t="shared" ca="1" si="190"/>
        <v>-1.4135933779127641</v>
      </c>
      <c r="N427" s="304">
        <f t="shared" ca="1" si="191"/>
        <v>-80.992934502042985</v>
      </c>
      <c r="P427" s="310">
        <f t="shared" ca="1" si="192"/>
        <v>23</v>
      </c>
      <c r="Q427" s="304">
        <f t="shared" ca="1" si="193"/>
        <v>0</v>
      </c>
      <c r="R427" s="306">
        <f t="shared" ca="1" si="194"/>
        <v>0</v>
      </c>
      <c r="S427" s="307">
        <f t="shared" ca="1" si="195"/>
        <v>2.9362999999999984</v>
      </c>
      <c r="T427" s="304">
        <f t="shared" ca="1" si="175"/>
        <v>28.805102999999985</v>
      </c>
      <c r="U427" s="311">
        <f t="shared" ca="1" si="176"/>
        <v>0</v>
      </c>
      <c r="V427" s="306">
        <f t="shared" ca="1" si="177"/>
        <v>1.1311039601300847</v>
      </c>
      <c r="W427" s="304">
        <f t="shared" ca="1" si="178"/>
        <v>18.737211472608891</v>
      </c>
      <c r="Y427" s="314" t="str">
        <f t="shared" ca="1" si="196"/>
        <v/>
      </c>
      <c r="Z427" s="315" t="str">
        <f t="shared" ca="1" si="197"/>
        <v/>
      </c>
      <c r="AA427" s="316" t="str">
        <f t="shared" ca="1" si="198"/>
        <v/>
      </c>
      <c r="AC427" s="310" t="e">
        <f t="shared" ca="1" si="199"/>
        <v>#N/A</v>
      </c>
      <c r="AD427" s="323" t="e">
        <f t="shared" ca="1" si="200"/>
        <v>#N/A</v>
      </c>
      <c r="AE427" s="324" t="e">
        <f t="shared" ca="1" si="179"/>
        <v>#N/A</v>
      </c>
      <c r="AG427" s="306">
        <f t="shared" ca="1" si="201"/>
        <v>3.3582711135819387</v>
      </c>
      <c r="AH427" s="304">
        <f t="shared" ca="1" si="202"/>
        <v>-6.3281014762132966</v>
      </c>
    </row>
    <row r="428" spans="1:34" x14ac:dyDescent="0.2">
      <c r="A428" s="347">
        <f t="shared" ca="1" si="180"/>
        <v>0.1</v>
      </c>
      <c r="B428" s="304">
        <f t="shared" ca="1" si="181"/>
        <v>29.000000000000107</v>
      </c>
      <c r="D428" s="306">
        <f t="shared" ca="1" si="182"/>
        <v>-0.99902182515261084</v>
      </c>
      <c r="E428" s="307">
        <f t="shared" ca="1" si="183"/>
        <v>-3.5074547191031096</v>
      </c>
      <c r="F428" s="304">
        <f t="shared" ca="1" si="184"/>
        <v>3.6469553347538994</v>
      </c>
      <c r="G428" s="306">
        <f t="shared" ca="1" si="185"/>
        <v>14.005974408128578</v>
      </c>
      <c r="H428" s="307">
        <f t="shared" ca="1" si="186"/>
        <v>-89.340719165123062</v>
      </c>
      <c r="I428" s="304">
        <f t="shared" ca="1" si="187"/>
        <v>90.431915937143231</v>
      </c>
      <c r="J428" s="306">
        <f t="shared" ca="1" si="188"/>
        <v>753.3412451235298</v>
      </c>
      <c r="K428" s="307">
        <f t="shared" ca="1" si="189"/>
        <v>788.12842991570403</v>
      </c>
      <c r="L428" s="304">
        <f t="shared" ca="1" si="174"/>
        <v>1090.2611859759397</v>
      </c>
      <c r="M428" s="306">
        <f t="shared" ca="1" si="190"/>
        <v>-1.4152916916672422</v>
      </c>
      <c r="N428" s="304">
        <f t="shared" ca="1" si="191"/>
        <v>-81.090240712463597</v>
      </c>
      <c r="P428" s="310">
        <f t="shared" ca="1" si="192"/>
        <v>23</v>
      </c>
      <c r="Q428" s="304">
        <f t="shared" ca="1" si="193"/>
        <v>0</v>
      </c>
      <c r="R428" s="306">
        <f t="shared" ca="1" si="194"/>
        <v>0</v>
      </c>
      <c r="S428" s="307">
        <f t="shared" ca="1" si="195"/>
        <v>2.9362999999999984</v>
      </c>
      <c r="T428" s="304">
        <f t="shared" ca="1" si="175"/>
        <v>28.805102999999985</v>
      </c>
      <c r="U428" s="311">
        <f t="shared" ca="1" si="176"/>
        <v>0</v>
      </c>
      <c r="V428" s="306">
        <f t="shared" ca="1" si="177"/>
        <v>1.1321145505088017</v>
      </c>
      <c r="W428" s="304">
        <f t="shared" ca="1" si="178"/>
        <v>18.891959147353141</v>
      </c>
      <c r="Y428" s="314" t="str">
        <f t="shared" ca="1" si="196"/>
        <v/>
      </c>
      <c r="Z428" s="315" t="str">
        <f t="shared" ca="1" si="197"/>
        <v/>
      </c>
      <c r="AA428" s="316" t="str">
        <f t="shared" ca="1" si="198"/>
        <v/>
      </c>
      <c r="AC428" s="310">
        <f t="shared" ca="1" si="199"/>
        <v>29.000000000000107</v>
      </c>
      <c r="AD428" s="323">
        <f t="shared" ca="1" si="200"/>
        <v>753.3412451235298</v>
      </c>
      <c r="AE428" s="324" t="e">
        <f t="shared" ca="1" si="179"/>
        <v>#N/A</v>
      </c>
      <c r="AG428" s="306">
        <f t="shared" ca="1" si="201"/>
        <v>3.3078013204818522</v>
      </c>
      <c r="AH428" s="304">
        <f t="shared" ca="1" si="202"/>
        <v>-6.381231983315363</v>
      </c>
    </row>
    <row r="429" spans="1:34" x14ac:dyDescent="0.2">
      <c r="A429" s="347">
        <f t="shared" ca="1" si="180"/>
        <v>0.1</v>
      </c>
      <c r="B429" s="304">
        <f t="shared" ca="1" si="181"/>
        <v>29.100000000000108</v>
      </c>
      <c r="D429" s="306">
        <f t="shared" ca="1" si="182"/>
        <v>-0.99647904192519765</v>
      </c>
      <c r="E429" s="307">
        <f t="shared" ca="1" si="183"/>
        <v>-3.453701491636151</v>
      </c>
      <c r="F429" s="304">
        <f t="shared" ca="1" si="184"/>
        <v>3.5945826564882237</v>
      </c>
      <c r="G429" s="306">
        <f t="shared" ca="1" si="185"/>
        <v>13.906326503936059</v>
      </c>
      <c r="H429" s="307">
        <f t="shared" ca="1" si="186"/>
        <v>-89.686089314286676</v>
      </c>
      <c r="I429" s="304">
        <f t="shared" ca="1" si="187"/>
        <v>90.757812519497634</v>
      </c>
      <c r="J429" s="306">
        <f t="shared" ca="1" si="188"/>
        <v>754.73686016913302</v>
      </c>
      <c r="K429" s="307">
        <f t="shared" ca="1" si="189"/>
        <v>779.17708949173357</v>
      </c>
      <c r="L429" s="304">
        <f t="shared" ca="1" si="174"/>
        <v>1084.7786248294028</v>
      </c>
      <c r="M429" s="306">
        <f t="shared" ca="1" si="190"/>
        <v>-1.4169657738983406</v>
      </c>
      <c r="N429" s="304">
        <f t="shared" ca="1" si="191"/>
        <v>-81.186158558863383</v>
      </c>
      <c r="P429" s="310">
        <f t="shared" ca="1" si="192"/>
        <v>23</v>
      </c>
      <c r="Q429" s="304">
        <f t="shared" ca="1" si="193"/>
        <v>0</v>
      </c>
      <c r="R429" s="306">
        <f t="shared" ca="1" si="194"/>
        <v>0</v>
      </c>
      <c r="S429" s="307">
        <f t="shared" ca="1" si="195"/>
        <v>2.9362999999999984</v>
      </c>
      <c r="T429" s="304">
        <f t="shared" ca="1" si="175"/>
        <v>28.805102999999985</v>
      </c>
      <c r="U429" s="311">
        <f t="shared" ca="1" si="176"/>
        <v>0</v>
      </c>
      <c r="V429" s="306">
        <f t="shared" ca="1" si="177"/>
        <v>1.1331299581290857</v>
      </c>
      <c r="W429" s="304">
        <f t="shared" ca="1" si="178"/>
        <v>19.04543614987125</v>
      </c>
      <c r="Y429" s="314" t="str">
        <f t="shared" ca="1" si="196"/>
        <v/>
      </c>
      <c r="Z429" s="315" t="str">
        <f t="shared" ca="1" si="197"/>
        <v/>
      </c>
      <c r="AA429" s="316" t="str">
        <f t="shared" ca="1" si="198"/>
        <v/>
      </c>
      <c r="AC429" s="310" t="e">
        <f t="shared" ca="1" si="199"/>
        <v>#N/A</v>
      </c>
      <c r="AD429" s="323" t="e">
        <f t="shared" ca="1" si="200"/>
        <v>#N/A</v>
      </c>
      <c r="AE429" s="324" t="e">
        <f t="shared" ca="1" si="179"/>
        <v>#N/A</v>
      </c>
      <c r="AG429" s="306">
        <f t="shared" ca="1" si="201"/>
        <v>3.2576940567062538</v>
      </c>
      <c r="AH429" s="304">
        <f t="shared" ca="1" si="202"/>
        <v>-6.4339335719623856</v>
      </c>
    </row>
    <row r="430" spans="1:34" x14ac:dyDescent="0.2">
      <c r="A430" s="347">
        <f t="shared" ca="1" si="180"/>
        <v>0.1</v>
      </c>
      <c r="B430" s="304">
        <f t="shared" ca="1" si="181"/>
        <v>29.200000000000109</v>
      </c>
      <c r="D430" s="306">
        <f t="shared" ca="1" si="182"/>
        <v>-0.99384555492791515</v>
      </c>
      <c r="E430" s="307">
        <f t="shared" ca="1" si="183"/>
        <v>-3.4003905910275316</v>
      </c>
      <c r="F430" s="304">
        <f t="shared" ca="1" si="184"/>
        <v>3.542652277404394</v>
      </c>
      <c r="G430" s="306">
        <f t="shared" ca="1" si="185"/>
        <v>13.806941948443267</v>
      </c>
      <c r="H430" s="307">
        <f t="shared" ca="1" si="186"/>
        <v>-90.026128373389426</v>
      </c>
      <c r="I430" s="304">
        <f t="shared" ca="1" si="187"/>
        <v>91.078732072145556</v>
      </c>
      <c r="J430" s="306">
        <f t="shared" ca="1" si="188"/>
        <v>756.12252359175204</v>
      </c>
      <c r="K430" s="307">
        <f t="shared" ca="1" si="189"/>
        <v>770.19147860734972</v>
      </c>
      <c r="L430" s="304">
        <f t="shared" ca="1" si="174"/>
        <v>1079.3128297218259</v>
      </c>
      <c r="M430" s="306">
        <f t="shared" ca="1" si="190"/>
        <v>-1.4186161412762428</v>
      </c>
      <c r="N430" s="304">
        <f t="shared" ca="1" si="191"/>
        <v>-81.280717644263248</v>
      </c>
      <c r="P430" s="310">
        <f t="shared" ca="1" si="192"/>
        <v>23</v>
      </c>
      <c r="Q430" s="304">
        <f t="shared" ca="1" si="193"/>
        <v>0</v>
      </c>
      <c r="R430" s="306">
        <f t="shared" ca="1" si="194"/>
        <v>0</v>
      </c>
      <c r="S430" s="307">
        <f t="shared" ca="1" si="195"/>
        <v>2.9362999999999984</v>
      </c>
      <c r="T430" s="304">
        <f t="shared" ca="1" si="175"/>
        <v>28.805102999999985</v>
      </c>
      <c r="U430" s="311">
        <f t="shared" ca="1" si="176"/>
        <v>0</v>
      </c>
      <c r="V430" s="306">
        <f t="shared" ca="1" si="177"/>
        <v>1.1341501335203614</v>
      </c>
      <c r="W430" s="304">
        <f t="shared" ca="1" si="178"/>
        <v>19.197631968850182</v>
      </c>
      <c r="Y430" s="314" t="str">
        <f t="shared" ca="1" si="196"/>
        <v/>
      </c>
      <c r="Z430" s="315" t="str">
        <f t="shared" ca="1" si="197"/>
        <v/>
      </c>
      <c r="AA430" s="316" t="str">
        <f t="shared" ca="1" si="198"/>
        <v/>
      </c>
      <c r="AC430" s="310" t="e">
        <f t="shared" ca="1" si="199"/>
        <v>#N/A</v>
      </c>
      <c r="AD430" s="323" t="e">
        <f t="shared" ca="1" si="200"/>
        <v>#N/A</v>
      </c>
      <c r="AE430" s="324" t="e">
        <f t="shared" ca="1" si="179"/>
        <v>#N/A</v>
      </c>
      <c r="AG430" s="306">
        <f t="shared" ca="1" si="201"/>
        <v>3.2079551653638037</v>
      </c>
      <c r="AH430" s="304">
        <f t="shared" ca="1" si="202"/>
        <v>-6.4862024145595685</v>
      </c>
    </row>
    <row r="431" spans="1:34" x14ac:dyDescent="0.2">
      <c r="A431" s="347">
        <f t="shared" ca="1" si="180"/>
        <v>0.1</v>
      </c>
      <c r="B431" s="304">
        <f t="shared" ca="1" si="181"/>
        <v>29.300000000000111</v>
      </c>
      <c r="D431" s="306">
        <f t="shared" ca="1" si="182"/>
        <v>-0.99112346757524261</v>
      </c>
      <c r="E431" s="307">
        <f t="shared" ca="1" si="183"/>
        <v>-3.3475256259502153</v>
      </c>
      <c r="F431" s="304">
        <f t="shared" ca="1" si="184"/>
        <v>3.4911679341406301</v>
      </c>
      <c r="G431" s="306">
        <f t="shared" ca="1" si="185"/>
        <v>13.707829601685743</v>
      </c>
      <c r="H431" s="307">
        <f t="shared" ca="1" si="186"/>
        <v>-90.360880935984454</v>
      </c>
      <c r="I431" s="304">
        <f t="shared" ca="1" si="187"/>
        <v>91.394712078522417</v>
      </c>
      <c r="J431" s="306">
        <f t="shared" ca="1" si="188"/>
        <v>757.49826216925851</v>
      </c>
      <c r="K431" s="307">
        <f t="shared" ca="1" si="189"/>
        <v>761.17212814188099</v>
      </c>
      <c r="L431" s="304">
        <f t="shared" ca="1" si="174"/>
        <v>1073.8652736025533</v>
      </c>
      <c r="M431" s="306">
        <f t="shared" ca="1" si="190"/>
        <v>-1.4202432952561284</v>
      </c>
      <c r="N431" s="304">
        <f t="shared" ca="1" si="191"/>
        <v>-81.373946699928609</v>
      </c>
      <c r="P431" s="310">
        <f t="shared" ca="1" si="192"/>
        <v>23</v>
      </c>
      <c r="Q431" s="304">
        <f t="shared" ca="1" si="193"/>
        <v>0</v>
      </c>
      <c r="R431" s="306">
        <f t="shared" ca="1" si="194"/>
        <v>0</v>
      </c>
      <c r="S431" s="307">
        <f t="shared" ca="1" si="195"/>
        <v>2.9362999999999984</v>
      </c>
      <c r="T431" s="304">
        <f t="shared" ca="1" si="175"/>
        <v>28.805102999999985</v>
      </c>
      <c r="U431" s="311">
        <f t="shared" ca="1" si="176"/>
        <v>0</v>
      </c>
      <c r="V431" s="306">
        <f t="shared" ca="1" si="177"/>
        <v>1.1351750275737198</v>
      </c>
      <c r="W431" s="304">
        <f t="shared" ca="1" si="178"/>
        <v>19.348536807212351</v>
      </c>
      <c r="Y431" s="314" t="str">
        <f t="shared" ca="1" si="196"/>
        <v/>
      </c>
      <c r="Z431" s="315" t="str">
        <f t="shared" ca="1" si="197"/>
        <v/>
      </c>
      <c r="AA431" s="316" t="str">
        <f t="shared" ca="1" si="198"/>
        <v/>
      </c>
      <c r="AC431" s="310" t="e">
        <f t="shared" ca="1" si="199"/>
        <v>#N/A</v>
      </c>
      <c r="AD431" s="323" t="e">
        <f t="shared" ca="1" si="200"/>
        <v>#N/A</v>
      </c>
      <c r="AE431" s="324" t="e">
        <f t="shared" ca="1" si="179"/>
        <v>#N/A</v>
      </c>
      <c r="AG431" s="306">
        <f t="shared" ca="1" si="201"/>
        <v>3.1585901670938439</v>
      </c>
      <c r="AH431" s="304">
        <f t="shared" ca="1" si="202"/>
        <v>-6.5380349313252024</v>
      </c>
    </row>
    <row r="432" spans="1:34" x14ac:dyDescent="0.2">
      <c r="A432" s="347">
        <f t="shared" ca="1" si="180"/>
        <v>0.1</v>
      </c>
      <c r="B432" s="304">
        <f t="shared" ca="1" si="181"/>
        <v>29.400000000000112</v>
      </c>
      <c r="D432" s="306">
        <f t="shared" ca="1" si="182"/>
        <v>-0.98831487298380039</v>
      </c>
      <c r="E432" s="307">
        <f t="shared" ca="1" si="183"/>
        <v>-3.2951099583285348</v>
      </c>
      <c r="F432" s="304">
        <f t="shared" ca="1" si="184"/>
        <v>3.4401331261503332</v>
      </c>
      <c r="G432" s="306">
        <f t="shared" ca="1" si="185"/>
        <v>13.608998114387363</v>
      </c>
      <c r="H432" s="307">
        <f t="shared" ca="1" si="186"/>
        <v>-90.690391931817302</v>
      </c>
      <c r="I432" s="304">
        <f t="shared" ca="1" si="187"/>
        <v>91.705790539224026</v>
      </c>
      <c r="J432" s="306">
        <f t="shared" ca="1" si="188"/>
        <v>758.86410355506212</v>
      </c>
      <c r="K432" s="307">
        <f t="shared" ca="1" si="189"/>
        <v>752.11956449849094</v>
      </c>
      <c r="L432" s="304">
        <f t="shared" ca="1" si="174"/>
        <v>1068.4374417652293</v>
      </c>
      <c r="M432" s="306">
        <f t="shared" ca="1" si="190"/>
        <v>-1.4218477226292752</v>
      </c>
      <c r="N432" s="304">
        <f t="shared" ca="1" si="191"/>
        <v>-81.465873616945174</v>
      </c>
      <c r="P432" s="310">
        <f t="shared" ca="1" si="192"/>
        <v>23</v>
      </c>
      <c r="Q432" s="304">
        <f t="shared" ca="1" si="193"/>
        <v>0</v>
      </c>
      <c r="R432" s="306">
        <f t="shared" ca="1" si="194"/>
        <v>0</v>
      </c>
      <c r="S432" s="307">
        <f t="shared" ca="1" si="195"/>
        <v>2.9362999999999984</v>
      </c>
      <c r="T432" s="304">
        <f t="shared" ca="1" si="175"/>
        <v>28.805102999999985</v>
      </c>
      <c r="U432" s="311">
        <f t="shared" ca="1" si="176"/>
        <v>0</v>
      </c>
      <c r="V432" s="306">
        <f t="shared" ca="1" si="177"/>
        <v>1.1362045915457391</v>
      </c>
      <c r="W432" s="304">
        <f t="shared" ca="1" si="178"/>
        <v>19.498141568565277</v>
      </c>
      <c r="Y432" s="314" t="str">
        <f t="shared" ca="1" si="196"/>
        <v/>
      </c>
      <c r="Z432" s="315" t="str">
        <f t="shared" ca="1" si="197"/>
        <v/>
      </c>
      <c r="AA432" s="316" t="str">
        <f t="shared" ca="1" si="198"/>
        <v/>
      </c>
      <c r="AC432" s="310" t="e">
        <f t="shared" ca="1" si="199"/>
        <v>#N/A</v>
      </c>
      <c r="AD432" s="323" t="e">
        <f t="shared" ca="1" si="200"/>
        <v>#N/A</v>
      </c>
      <c r="AE432" s="324" t="e">
        <f t="shared" ca="1" si="179"/>
        <v>#N/A</v>
      </c>
      <c r="AG432" s="306">
        <f t="shared" ca="1" si="201"/>
        <v>3.1096042679105347</v>
      </c>
      <c r="AH432" s="304">
        <f t="shared" ca="1" si="202"/>
        <v>-6.589427785720928</v>
      </c>
    </row>
    <row r="433" spans="1:34" x14ac:dyDescent="0.2">
      <c r="A433" s="347">
        <f t="shared" ca="1" si="180"/>
        <v>0.1</v>
      </c>
      <c r="B433" s="304">
        <f t="shared" ca="1" si="181"/>
        <v>29.500000000000114</v>
      </c>
      <c r="D433" s="306">
        <f t="shared" ca="1" si="182"/>
        <v>-0.98542185301667096</v>
      </c>
      <c r="E433" s="307">
        <f t="shared" ca="1" si="183"/>
        <v>-3.2431467080019756</v>
      </c>
      <c r="F433" s="304">
        <f t="shared" ca="1" si="184"/>
        <v>3.3895511204327429</v>
      </c>
      <c r="G433" s="306">
        <f t="shared" ca="1" si="185"/>
        <v>13.510455929085696</v>
      </c>
      <c r="H433" s="307">
        <f t="shared" ca="1" si="186"/>
        <v>-91.014706602617494</v>
      </c>
      <c r="I433" s="304">
        <f t="shared" ca="1" si="187"/>
        <v>92.012005941465659</v>
      </c>
      <c r="J433" s="306">
        <f t="shared" ca="1" si="188"/>
        <v>760.22007625723575</v>
      </c>
      <c r="K433" s="307">
        <f t="shared" ca="1" si="189"/>
        <v>743.0343095717692</v>
      </c>
      <c r="L433" s="304">
        <f t="shared" ca="1" si="174"/>
        <v>1063.0308318884045</v>
      </c>
      <c r="M433" s="306">
        <f t="shared" ca="1" si="190"/>
        <v>-1.4234298960508651</v>
      </c>
      <c r="N433" s="304">
        <f t="shared" ca="1" si="191"/>
        <v>-81.556525476460052</v>
      </c>
      <c r="P433" s="310">
        <f t="shared" ca="1" si="192"/>
        <v>23</v>
      </c>
      <c r="Q433" s="304">
        <f t="shared" ca="1" si="193"/>
        <v>0</v>
      </c>
      <c r="R433" s="306">
        <f t="shared" ca="1" si="194"/>
        <v>0</v>
      </c>
      <c r="S433" s="307">
        <f t="shared" ca="1" si="195"/>
        <v>2.9362999999999984</v>
      </c>
      <c r="T433" s="304">
        <f t="shared" ca="1" si="175"/>
        <v>28.805102999999985</v>
      </c>
      <c r="U433" s="311">
        <f t="shared" ca="1" si="176"/>
        <v>0</v>
      </c>
      <c r="V433" s="306">
        <f t="shared" ca="1" si="177"/>
        <v>1.1372387770621002</v>
      </c>
      <c r="W433" s="304">
        <f t="shared" ca="1" si="178"/>
        <v>19.646437843537203</v>
      </c>
      <c r="Y433" s="314" t="str">
        <f t="shared" ca="1" si="196"/>
        <v/>
      </c>
      <c r="Z433" s="315" t="str">
        <f t="shared" ca="1" si="197"/>
        <v/>
      </c>
      <c r="AA433" s="316" t="str">
        <f t="shared" ca="1" si="198"/>
        <v/>
      </c>
      <c r="AC433" s="310" t="e">
        <f t="shared" ca="1" si="199"/>
        <v>#N/A</v>
      </c>
      <c r="AD433" s="323" t="e">
        <f t="shared" ca="1" si="200"/>
        <v>#N/A</v>
      </c>
      <c r="AE433" s="324" t="e">
        <f t="shared" ca="1" si="179"/>
        <v>#N/A</v>
      </c>
      <c r="AG433" s="306">
        <f t="shared" ca="1" si="201"/>
        <v>3.0610023669272808</v>
      </c>
      <c r="AH433" s="304">
        <f t="shared" ca="1" si="202"/>
        <v>-6.6403778798369677</v>
      </c>
    </row>
    <row r="434" spans="1:34" x14ac:dyDescent="0.2">
      <c r="A434" s="347">
        <f t="shared" ca="1" si="180"/>
        <v>0.1</v>
      </c>
      <c r="B434" s="304">
        <f t="shared" ca="1" si="181"/>
        <v>29.600000000000115</v>
      </c>
      <c r="D434" s="306">
        <f t="shared" ca="1" si="182"/>
        <v>-0.982446477368904</v>
      </c>
      <c r="E434" s="307">
        <f t="shared" ca="1" si="183"/>
        <v>-3.1916387574303657</v>
      </c>
      <c r="F434" s="304">
        <f t="shared" ca="1" si="184"/>
        <v>3.3394249563100256</v>
      </c>
      <c r="G434" s="306">
        <f t="shared" ca="1" si="185"/>
        <v>13.412211281348805</v>
      </c>
      <c r="H434" s="307">
        <f t="shared" ca="1" si="186"/>
        <v>-91.333870478360524</v>
      </c>
      <c r="I434" s="304">
        <f t="shared" ca="1" si="187"/>
        <v>92.313397229294281</v>
      </c>
      <c r="J434" s="306">
        <f t="shared" ca="1" si="188"/>
        <v>761.56620961775752</v>
      </c>
      <c r="K434" s="307">
        <f t="shared" ca="1" si="189"/>
        <v>733.91688071772035</v>
      </c>
      <c r="L434" s="304">
        <f t="shared" ca="1" si="174"/>
        <v>1057.646954060752</v>
      </c>
      <c r="M434" s="306">
        <f t="shared" ca="1" si="190"/>
        <v>-1.4249902745456127</v>
      </c>
      <c r="N434" s="304">
        <f t="shared" ca="1" si="191"/>
        <v>-81.645928578652075</v>
      </c>
      <c r="P434" s="310">
        <f t="shared" ca="1" si="192"/>
        <v>23</v>
      </c>
      <c r="Q434" s="304">
        <f t="shared" ca="1" si="193"/>
        <v>0</v>
      </c>
      <c r="R434" s="306">
        <f t="shared" ca="1" si="194"/>
        <v>0</v>
      </c>
      <c r="S434" s="307">
        <f t="shared" ca="1" si="195"/>
        <v>2.9362999999999984</v>
      </c>
      <c r="T434" s="304">
        <f t="shared" ca="1" si="175"/>
        <v>28.805102999999985</v>
      </c>
      <c r="U434" s="311">
        <f t="shared" ca="1" si="176"/>
        <v>0</v>
      </c>
      <c r="V434" s="306">
        <f t="shared" ca="1" si="177"/>
        <v>1.1382775361209914</v>
      </c>
      <c r="W434" s="304">
        <f t="shared" ca="1" si="178"/>
        <v>19.793417896015761</v>
      </c>
      <c r="Y434" s="314" t="str">
        <f t="shared" ca="1" si="196"/>
        <v/>
      </c>
      <c r="Z434" s="315" t="str">
        <f t="shared" ca="1" si="197"/>
        <v/>
      </c>
      <c r="AA434" s="316" t="str">
        <f t="shared" ca="1" si="198"/>
        <v/>
      </c>
      <c r="AC434" s="310" t="e">
        <f t="shared" ca="1" si="199"/>
        <v>#N/A</v>
      </c>
      <c r="AD434" s="323" t="e">
        <f t="shared" ca="1" si="200"/>
        <v>#N/A</v>
      </c>
      <c r="AE434" s="324" t="e">
        <f t="shared" ca="1" si="179"/>
        <v>#N/A</v>
      </c>
      <c r="AG434" s="306">
        <f t="shared" ca="1" si="201"/>
        <v>3.0127890639645543</v>
      </c>
      <c r="AH434" s="304">
        <f t="shared" ca="1" si="202"/>
        <v>-6.6908823497385193</v>
      </c>
    </row>
    <row r="435" spans="1:34" x14ac:dyDescent="0.2">
      <c r="A435" s="347">
        <f t="shared" ca="1" si="180"/>
        <v>0.1</v>
      </c>
      <c r="B435" s="304">
        <f t="shared" ca="1" si="181"/>
        <v>29.700000000000117</v>
      </c>
      <c r="D435" s="306">
        <f t="shared" ca="1" si="182"/>
        <v>-0.97939080269348477</v>
      </c>
      <c r="E435" s="307">
        <f t="shared" ca="1" si="183"/>
        <v>-3.1405887564344583</v>
      </c>
      <c r="F435" s="304">
        <f t="shared" ca="1" si="184"/>
        <v>3.2897574502450975</v>
      </c>
      <c r="G435" s="306">
        <f t="shared" ca="1" si="185"/>
        <v>13.314272201079456</v>
      </c>
      <c r="H435" s="307">
        <f t="shared" ca="1" si="186"/>
        <v>-91.647929354003963</v>
      </c>
      <c r="I435" s="304">
        <f t="shared" ca="1" si="187"/>
        <v>92.610003774543387</v>
      </c>
      <c r="J435" s="306">
        <f t="shared" ca="1" si="188"/>
        <v>762.90253379187891</v>
      </c>
      <c r="K435" s="307">
        <f t="shared" ca="1" si="189"/>
        <v>724.76779072610213</v>
      </c>
      <c r="L435" s="304">
        <f t="shared" ca="1" si="174"/>
        <v>1052.2873307894872</v>
      </c>
      <c r="M435" s="306">
        <f t="shared" ca="1" si="190"/>
        <v>-1.4265293039922784</v>
      </c>
      <c r="N435" s="304">
        <f t="shared" ca="1" si="191"/>
        <v>-81.734108470492373</v>
      </c>
      <c r="P435" s="310">
        <f t="shared" ca="1" si="192"/>
        <v>23</v>
      </c>
      <c r="Q435" s="304">
        <f t="shared" ca="1" si="193"/>
        <v>0</v>
      </c>
      <c r="R435" s="306">
        <f t="shared" ca="1" si="194"/>
        <v>0</v>
      </c>
      <c r="S435" s="307">
        <f t="shared" ca="1" si="195"/>
        <v>2.9362999999999984</v>
      </c>
      <c r="T435" s="304">
        <f t="shared" ca="1" si="175"/>
        <v>28.805102999999985</v>
      </c>
      <c r="U435" s="311">
        <f t="shared" ca="1" si="176"/>
        <v>0</v>
      </c>
      <c r="V435" s="306">
        <f t="shared" ca="1" si="177"/>
        <v>1.1393208210963151</v>
      </c>
      <c r="W435" s="304">
        <f t="shared" ca="1" si="178"/>
        <v>19.939074649306946</v>
      </c>
      <c r="Y435" s="314" t="str">
        <f t="shared" ca="1" si="196"/>
        <v/>
      </c>
      <c r="Z435" s="315" t="str">
        <f t="shared" ca="1" si="197"/>
        <v/>
      </c>
      <c r="AA435" s="316" t="str">
        <f t="shared" ca="1" si="198"/>
        <v/>
      </c>
      <c r="AC435" s="310" t="e">
        <f t="shared" ca="1" si="199"/>
        <v>#N/A</v>
      </c>
      <c r="AD435" s="323" t="e">
        <f t="shared" ca="1" si="200"/>
        <v>#N/A</v>
      </c>
      <c r="AE435" s="324" t="e">
        <f t="shared" ca="1" si="179"/>
        <v>#N/A</v>
      </c>
      <c r="AG435" s="306">
        <f t="shared" ca="1" si="201"/>
        <v>2.9649686670440145</v>
      </c>
      <c r="AH435" s="304">
        <f t="shared" ca="1" si="202"/>
        <v>-6.7409385607791341</v>
      </c>
    </row>
    <row r="436" spans="1:34" x14ac:dyDescent="0.2">
      <c r="A436" s="347">
        <f t="shared" ca="1" si="180"/>
        <v>0.1</v>
      </c>
      <c r="B436" s="304">
        <f t="shared" ca="1" si="181"/>
        <v>29.800000000000118</v>
      </c>
      <c r="D436" s="306">
        <f t="shared" ca="1" si="182"/>
        <v>-0.97625687176706477</v>
      </c>
      <c r="E436" s="307">
        <f t="shared" ca="1" si="183"/>
        <v>-3.0899991269658047</v>
      </c>
      <c r="F436" s="304">
        <f t="shared" ca="1" si="184"/>
        <v>3.24055120069439</v>
      </c>
      <c r="G436" s="306">
        <f t="shared" ca="1" si="185"/>
        <v>13.21664651390275</v>
      </c>
      <c r="H436" s="307">
        <f t="shared" ca="1" si="186"/>
        <v>-91.956929266700541</v>
      </c>
      <c r="I436" s="304">
        <f t="shared" ca="1" si="187"/>
        <v>92.901865348519365</v>
      </c>
      <c r="J436" s="306">
        <f t="shared" ca="1" si="188"/>
        <v>764.229079727628</v>
      </c>
      <c r="K436" s="307">
        <f t="shared" ca="1" si="189"/>
        <v>715.58754779506694</v>
      </c>
      <c r="L436" s="304">
        <f t="shared" ca="1" si="174"/>
        <v>1046.9534969905274</v>
      </c>
      <c r="M436" s="306">
        <f t="shared" ca="1" si="190"/>
        <v>-1.4280474175880733</v>
      </c>
      <c r="N436" s="304">
        <f t="shared" ca="1" si="191"/>
        <v>-81.821089972352851</v>
      </c>
      <c r="P436" s="310">
        <f t="shared" ca="1" si="192"/>
        <v>23</v>
      </c>
      <c r="Q436" s="304">
        <f t="shared" ca="1" si="193"/>
        <v>0</v>
      </c>
      <c r="R436" s="306">
        <f t="shared" ca="1" si="194"/>
        <v>0</v>
      </c>
      <c r="S436" s="307">
        <f t="shared" ca="1" si="195"/>
        <v>2.9362999999999984</v>
      </c>
      <c r="T436" s="304">
        <f t="shared" ca="1" si="175"/>
        <v>28.805102999999985</v>
      </c>
      <c r="U436" s="311">
        <f t="shared" ca="1" si="176"/>
        <v>0</v>
      </c>
      <c r="V436" s="306">
        <f t="shared" ca="1" si="177"/>
        <v>1.1403685847406957</v>
      </c>
      <c r="W436" s="304">
        <f t="shared" ca="1" si="178"/>
        <v>20.083401672230384</v>
      </c>
      <c r="Y436" s="314" t="str">
        <f t="shared" ca="1" si="196"/>
        <v/>
      </c>
      <c r="Z436" s="315" t="str">
        <f t="shared" ca="1" si="197"/>
        <v/>
      </c>
      <c r="AA436" s="316" t="str">
        <f t="shared" ca="1" si="198"/>
        <v/>
      </c>
      <c r="AC436" s="310" t="e">
        <f t="shared" ca="1" si="199"/>
        <v>#N/A</v>
      </c>
      <c r="AD436" s="323" t="e">
        <f t="shared" ca="1" si="200"/>
        <v>#N/A</v>
      </c>
      <c r="AE436" s="324" t="e">
        <f t="shared" ca="1" si="179"/>
        <v>#N/A</v>
      </c>
      <c r="AG436" s="306">
        <f t="shared" ca="1" si="201"/>
        <v>2.9175451997712356</v>
      </c>
      <c r="AH436" s="304">
        <f t="shared" ca="1" si="202"/>
        <v>-6.790544102886952</v>
      </c>
    </row>
    <row r="437" spans="1:34" x14ac:dyDescent="0.2">
      <c r="A437" s="347">
        <f t="shared" ca="1" si="180"/>
        <v>0.1</v>
      </c>
      <c r="B437" s="304">
        <f t="shared" ca="1" si="181"/>
        <v>29.900000000000119</v>
      </c>
      <c r="D437" s="306">
        <f t="shared" ca="1" si="182"/>
        <v>-0.97304671269469301</v>
      </c>
      <c r="E437" s="307">
        <f t="shared" ca="1" si="183"/>
        <v>-3.0398720679002773</v>
      </c>
      <c r="F437" s="304">
        <f t="shared" ca="1" si="184"/>
        <v>3.1918085929902276</v>
      </c>
      <c r="G437" s="306">
        <f t="shared" ca="1" si="185"/>
        <v>13.119341842633281</v>
      </c>
      <c r="H437" s="307">
        <f t="shared" ca="1" si="186"/>
        <v>-92.260916473490568</v>
      </c>
      <c r="I437" s="304">
        <f t="shared" ca="1" si="187"/>
        <v>93.189022094409125</v>
      </c>
      <c r="J437" s="306">
        <f t="shared" ca="1" si="188"/>
        <v>765.54587914545482</v>
      </c>
      <c r="K437" s="307">
        <f t="shared" ca="1" si="189"/>
        <v>706.37665550805741</v>
      </c>
      <c r="L437" s="304">
        <f t="shared" ca="1" si="174"/>
        <v>1041.6469999588805</v>
      </c>
      <c r="M437" s="306">
        <f t="shared" ca="1" si="190"/>
        <v>-1.4295450362939026</v>
      </c>
      <c r="N437" s="304">
        <f t="shared" ca="1" si="191"/>
        <v>-81.906897203516706</v>
      </c>
      <c r="P437" s="310">
        <f t="shared" ca="1" si="192"/>
        <v>23</v>
      </c>
      <c r="Q437" s="304">
        <f t="shared" ca="1" si="193"/>
        <v>0</v>
      </c>
      <c r="R437" s="306">
        <f t="shared" ca="1" si="194"/>
        <v>0</v>
      </c>
      <c r="S437" s="307">
        <f t="shared" ca="1" si="195"/>
        <v>2.9362999999999984</v>
      </c>
      <c r="T437" s="304">
        <f t="shared" ca="1" si="175"/>
        <v>28.805102999999985</v>
      </c>
      <c r="U437" s="311">
        <f t="shared" ca="1" si="176"/>
        <v>0</v>
      </c>
      <c r="V437" s="306">
        <f t="shared" ca="1" si="177"/>
        <v>1.1414207801882914</v>
      </c>
      <c r="W437" s="304">
        <f t="shared" ca="1" si="178"/>
        <v>20.226393165166886</v>
      </c>
      <c r="Y437" s="314" t="str">
        <f t="shared" ca="1" si="196"/>
        <v/>
      </c>
      <c r="Z437" s="315" t="str">
        <f t="shared" ca="1" si="197"/>
        <v/>
      </c>
      <c r="AA437" s="316" t="str">
        <f t="shared" ca="1" si="198"/>
        <v/>
      </c>
      <c r="AC437" s="310" t="e">
        <f t="shared" ca="1" si="199"/>
        <v>#N/A</v>
      </c>
      <c r="AD437" s="323" t="e">
        <f t="shared" ca="1" si="200"/>
        <v>#N/A</v>
      </c>
      <c r="AE437" s="324" t="e">
        <f t="shared" ca="1" si="179"/>
        <v>#N/A</v>
      </c>
      <c r="AG437" s="306">
        <f t="shared" ca="1" si="201"/>
        <v>2.8705224086092445</v>
      </c>
      <c r="AH437" s="304">
        <f t="shared" ca="1" si="202"/>
        <v>-6.839696785829239</v>
      </c>
    </row>
    <row r="438" spans="1:34" x14ac:dyDescent="0.2">
      <c r="A438" s="347">
        <f t="shared" ca="1" si="180"/>
        <v>0.1</v>
      </c>
      <c r="B438" s="304">
        <f t="shared" ca="1" si="181"/>
        <v>30.000000000000121</v>
      </c>
      <c r="D438" s="306">
        <f t="shared" ca="1" si="182"/>
        <v>-0.96976233815283785</v>
      </c>
      <c r="E438" s="307">
        <f t="shared" ca="1" si="183"/>
        <v>-2.9902095598495819</v>
      </c>
      <c r="F438" s="304">
        <f t="shared" ca="1" si="184"/>
        <v>3.1435318042474916</v>
      </c>
      <c r="G438" s="306">
        <f t="shared" ca="1" si="185"/>
        <v>13.022365608817998</v>
      </c>
      <c r="H438" s="307">
        <f t="shared" ca="1" si="186"/>
        <v>-92.559937429475525</v>
      </c>
      <c r="I438" s="304">
        <f t="shared" ca="1" si="187"/>
        <v>93.471514500398186</v>
      </c>
      <c r="J438" s="306">
        <f t="shared" ca="1" si="188"/>
        <v>766.85296451802742</v>
      </c>
      <c r="K438" s="307">
        <f t="shared" ca="1" si="189"/>
        <v>697.13561281290913</v>
      </c>
      <c r="L438" s="304">
        <f t="shared" ca="1" si="174"/>
        <v>1036.3693993176937</v>
      </c>
      <c r="M438" s="306">
        <f t="shared" ca="1" si="190"/>
        <v>-1.431022569261355</v>
      </c>
      <c r="N438" s="304">
        <f t="shared" ca="1" si="191"/>
        <v>-81.991553606643166</v>
      </c>
      <c r="P438" s="310">
        <f t="shared" ca="1" si="192"/>
        <v>23</v>
      </c>
      <c r="Q438" s="304">
        <f t="shared" ca="1" si="193"/>
        <v>0</v>
      </c>
      <c r="R438" s="306">
        <f t="shared" ca="1" si="194"/>
        <v>0</v>
      </c>
      <c r="S438" s="307">
        <f t="shared" ca="1" si="195"/>
        <v>2.9362999999999984</v>
      </c>
      <c r="T438" s="304">
        <f t="shared" ca="1" si="175"/>
        <v>28.805102999999985</v>
      </c>
      <c r="U438" s="311">
        <f t="shared" ca="1" si="176"/>
        <v>0</v>
      </c>
      <c r="V438" s="306">
        <f t="shared" ca="1" si="177"/>
        <v>1.1424773609574135</v>
      </c>
      <c r="W438" s="304">
        <f t="shared" ca="1" si="178"/>
        <v>20.368043946073286</v>
      </c>
      <c r="Y438" s="314" t="str">
        <f t="shared" ca="1" si="196"/>
        <v/>
      </c>
      <c r="Z438" s="315" t="str">
        <f t="shared" ca="1" si="197"/>
        <v/>
      </c>
      <c r="AA438" s="316" t="str">
        <f t="shared" ca="1" si="198"/>
        <v/>
      </c>
      <c r="AC438" s="310">
        <f t="shared" ca="1" si="199"/>
        <v>30.000000000000121</v>
      </c>
      <c r="AD438" s="323">
        <f t="shared" ca="1" si="200"/>
        <v>766.85296451802742</v>
      </c>
      <c r="AE438" s="324" t="e">
        <f t="shared" ca="1" si="179"/>
        <v>#N/A</v>
      </c>
      <c r="AG438" s="306">
        <f t="shared" ca="1" si="201"/>
        <v>2.823903770044657</v>
      </c>
      <c r="AH438" s="304">
        <f t="shared" ca="1" si="202"/>
        <v>-6.8883946344606812</v>
      </c>
    </row>
    <row r="439" spans="1:34" x14ac:dyDescent="0.2">
      <c r="A439" s="347">
        <f t="shared" ca="1" si="180"/>
        <v>0.1</v>
      </c>
      <c r="B439" s="304">
        <f t="shared" ca="1" si="181"/>
        <v>30.100000000000122</v>
      </c>
      <c r="D439" s="306">
        <f t="shared" ca="1" si="182"/>
        <v>-0.96640574466989715</v>
      </c>
      <c r="E439" s="307">
        <f t="shared" ca="1" si="183"/>
        <v>-2.941013369985507</v>
      </c>
      <c r="F439" s="304">
        <f t="shared" ca="1" si="184"/>
        <v>3.0957228082896067</v>
      </c>
      <c r="G439" s="306">
        <f t="shared" ca="1" si="185"/>
        <v>12.925725034351007</v>
      </c>
      <c r="H439" s="307">
        <f t="shared" ca="1" si="186"/>
        <v>-92.854038766474076</v>
      </c>
      <c r="I439" s="304">
        <f t="shared" ca="1" si="187"/>
        <v>93.74938337348955</v>
      </c>
      <c r="J439" s="306">
        <f t="shared" ca="1" si="188"/>
        <v>768.15036905018587</v>
      </c>
      <c r="K439" s="307">
        <f t="shared" ca="1" si="189"/>
        <v>687.86491400311161</v>
      </c>
      <c r="L439" s="304">
        <f t="shared" ca="1" si="174"/>
        <v>1031.1222669443448</v>
      </c>
      <c r="M439" s="306">
        <f t="shared" ca="1" si="190"/>
        <v>-1.4324804142422833</v>
      </c>
      <c r="N439" s="304">
        <f t="shared" ca="1" si="191"/>
        <v>-82.075081971234695</v>
      </c>
      <c r="P439" s="310">
        <f t="shared" ca="1" si="192"/>
        <v>23</v>
      </c>
      <c r="Q439" s="304">
        <f t="shared" ca="1" si="193"/>
        <v>0</v>
      </c>
      <c r="R439" s="306">
        <f t="shared" ca="1" si="194"/>
        <v>0</v>
      </c>
      <c r="S439" s="307">
        <f t="shared" ca="1" si="195"/>
        <v>2.9362999999999984</v>
      </c>
      <c r="T439" s="304">
        <f t="shared" ca="1" si="175"/>
        <v>28.805102999999985</v>
      </c>
      <c r="U439" s="311">
        <f t="shared" ca="1" si="176"/>
        <v>0</v>
      </c>
      <c r="V439" s="306">
        <f t="shared" ca="1" si="177"/>
        <v>1.1435382809529608</v>
      </c>
      <c r="W439" s="304">
        <f t="shared" ca="1" si="178"/>
        <v>20.508349436479456</v>
      </c>
      <c r="Y439" s="314" t="str">
        <f t="shared" ca="1" si="196"/>
        <v/>
      </c>
      <c r="Z439" s="315" t="str">
        <f t="shared" ca="1" si="197"/>
        <v/>
      </c>
      <c r="AA439" s="316" t="str">
        <f t="shared" ca="1" si="198"/>
        <v/>
      </c>
      <c r="AC439" s="310" t="e">
        <f t="shared" ca="1" si="199"/>
        <v>#N/A</v>
      </c>
      <c r="AD439" s="323" t="e">
        <f t="shared" ca="1" si="200"/>
        <v>#N/A</v>
      </c>
      <c r="AE439" s="324" t="e">
        <f t="shared" ca="1" si="179"/>
        <v>#N/A</v>
      </c>
      <c r="AG439" s="306">
        <f t="shared" ca="1" si="201"/>
        <v>2.7776924976480393</v>
      </c>
      <c r="AH439" s="304">
        <f t="shared" ca="1" si="202"/>
        <v>-6.9366358839605278</v>
      </c>
    </row>
    <row r="440" spans="1:34" x14ac:dyDescent="0.2">
      <c r="A440" s="347">
        <f t="shared" ca="1" si="180"/>
        <v>0.1</v>
      </c>
      <c r="B440" s="304">
        <f t="shared" ca="1" si="181"/>
        <v>30.200000000000124</v>
      </c>
      <c r="D440" s="306">
        <f t="shared" ca="1" si="182"/>
        <v>-0.96297891194349783</v>
      </c>
      <c r="E440" s="307">
        <f t="shared" ca="1" si="183"/>
        <v>-2.8922850568716241</v>
      </c>
      <c r="F440" s="304">
        <f t="shared" ca="1" si="184"/>
        <v>3.0483833805889273</v>
      </c>
      <c r="G440" s="306">
        <f t="shared" ca="1" si="185"/>
        <v>12.829427143156657</v>
      </c>
      <c r="H440" s="307">
        <f t="shared" ca="1" si="186"/>
        <v>-93.143267272161239</v>
      </c>
      <c r="I440" s="304">
        <f t="shared" ca="1" si="187"/>
        <v>94.022669814012559</v>
      </c>
      <c r="J440" s="306">
        <f t="shared" ca="1" si="188"/>
        <v>769.43812665906125</v>
      </c>
      <c r="K440" s="307">
        <f t="shared" ca="1" si="189"/>
        <v>678.56504870117988</v>
      </c>
      <c r="L440" s="304">
        <f t="shared" ca="1" si="174"/>
        <v>1025.907186871912</v>
      </c>
      <c r="M440" s="306">
        <f t="shared" ca="1" si="190"/>
        <v>-1.4339189579817957</v>
      </c>
      <c r="N440" s="304">
        <f t="shared" ca="1" si="191"/>
        <v>-82.157504456153717</v>
      </c>
      <c r="P440" s="310">
        <f t="shared" ca="1" si="192"/>
        <v>23</v>
      </c>
      <c r="Q440" s="304">
        <f t="shared" ca="1" si="193"/>
        <v>0</v>
      </c>
      <c r="R440" s="306">
        <f t="shared" ca="1" si="194"/>
        <v>0</v>
      </c>
      <c r="S440" s="307">
        <f t="shared" ca="1" si="195"/>
        <v>2.9362999999999984</v>
      </c>
      <c r="T440" s="304">
        <f t="shared" ca="1" si="175"/>
        <v>28.805102999999985</v>
      </c>
      <c r="U440" s="311">
        <f t="shared" ca="1" si="176"/>
        <v>0</v>
      </c>
      <c r="V440" s="306">
        <f t="shared" ca="1" si="177"/>
        <v>1.1446034944686689</v>
      </c>
      <c r="W440" s="304">
        <f t="shared" ca="1" si="178"/>
        <v>20.647305647481385</v>
      </c>
      <c r="Y440" s="314" t="str">
        <f t="shared" ca="1" si="196"/>
        <v/>
      </c>
      <c r="Z440" s="315" t="str">
        <f t="shared" ca="1" si="197"/>
        <v/>
      </c>
      <c r="AA440" s="316" t="str">
        <f t="shared" ca="1" si="198"/>
        <v/>
      </c>
      <c r="AC440" s="310" t="e">
        <f t="shared" ca="1" si="199"/>
        <v>#N/A</v>
      </c>
      <c r="AD440" s="323" t="e">
        <f t="shared" ca="1" si="200"/>
        <v>#N/A</v>
      </c>
      <c r="AE440" s="324" t="e">
        <f t="shared" ca="1" si="179"/>
        <v>#N/A</v>
      </c>
      <c r="AG440" s="306">
        <f t="shared" ca="1" si="201"/>
        <v>2.7318915490298048</v>
      </c>
      <c r="AH440" s="304">
        <f t="shared" ca="1" si="202"/>
        <v>-6.9844189750636749</v>
      </c>
    </row>
    <row r="441" spans="1:34" x14ac:dyDescent="0.2">
      <c r="A441" s="347">
        <f t="shared" ca="1" si="180"/>
        <v>0.1</v>
      </c>
      <c r="B441" s="304">
        <f t="shared" ca="1" si="181"/>
        <v>30.300000000000125</v>
      </c>
      <c r="D441" s="306">
        <f t="shared" ca="1" si="182"/>
        <v>-0.95948380219374485</v>
      </c>
      <c r="E441" s="307">
        <f t="shared" ca="1" si="183"/>
        <v>-2.8440259752975781</v>
      </c>
      <c r="F441" s="304">
        <f t="shared" ca="1" si="184"/>
        <v>3.0015151032169576</v>
      </c>
      <c r="G441" s="306">
        <f t="shared" ca="1" si="185"/>
        <v>12.733478762937283</v>
      </c>
      <c r="H441" s="307">
        <f t="shared" ca="1" si="186"/>
        <v>-93.427669869691002</v>
      </c>
      <c r="I441" s="304">
        <f t="shared" ca="1" si="187"/>
        <v>94.291415190812273</v>
      </c>
      <c r="J441" s="306">
        <f t="shared" ca="1" si="188"/>
        <v>770.71627195436599</v>
      </c>
      <c r="K441" s="307">
        <f t="shared" ca="1" si="189"/>
        <v>669.23650184408723</v>
      </c>
      <c r="L441" s="304">
        <f t="shared" ca="1" si="174"/>
        <v>1020.7257551643081</v>
      </c>
      <c r="M441" s="306">
        <f t="shared" ca="1" si="190"/>
        <v>-1.4353385765954134</v>
      </c>
      <c r="N441" s="304">
        <f t="shared" ca="1" si="191"/>
        <v>-82.238842611232229</v>
      </c>
      <c r="P441" s="310">
        <f t="shared" ca="1" si="192"/>
        <v>23</v>
      </c>
      <c r="Q441" s="304">
        <f t="shared" ca="1" si="193"/>
        <v>0</v>
      </c>
      <c r="R441" s="306">
        <f t="shared" ca="1" si="194"/>
        <v>0</v>
      </c>
      <c r="S441" s="307">
        <f t="shared" ca="1" si="195"/>
        <v>2.9362999999999984</v>
      </c>
      <c r="T441" s="304">
        <f t="shared" ca="1" si="175"/>
        <v>28.805102999999985</v>
      </c>
      <c r="U441" s="311">
        <f t="shared" ca="1" si="176"/>
        <v>0</v>
      </c>
      <c r="V441" s="306">
        <f t="shared" ca="1" si="177"/>
        <v>1.1456729561891787</v>
      </c>
      <c r="W441" s="304">
        <f t="shared" ca="1" si="178"/>
        <v>20.784909165744065</v>
      </c>
      <c r="Y441" s="314" t="str">
        <f t="shared" ca="1" si="196"/>
        <v/>
      </c>
      <c r="Z441" s="315" t="str">
        <f t="shared" ca="1" si="197"/>
        <v/>
      </c>
      <c r="AA441" s="316" t="str">
        <f t="shared" ca="1" si="198"/>
        <v/>
      </c>
      <c r="AC441" s="310" t="e">
        <f t="shared" ca="1" si="199"/>
        <v>#N/A</v>
      </c>
      <c r="AD441" s="323" t="e">
        <f t="shared" ca="1" si="200"/>
        <v>#N/A</v>
      </c>
      <c r="AE441" s="324" t="e">
        <f t="shared" ca="1" si="179"/>
        <v>#N/A</v>
      </c>
      <c r="AG441" s="306">
        <f t="shared" ca="1" si="201"/>
        <v>2.6865036326928786</v>
      </c>
      <c r="AH441" s="304">
        <f t="shared" ca="1" si="202"/>
        <v>-7.0317425492903984</v>
      </c>
    </row>
    <row r="442" spans="1:34" x14ac:dyDescent="0.2">
      <c r="A442" s="347">
        <f t="shared" ca="1" si="180"/>
        <v>0.1</v>
      </c>
      <c r="B442" s="304">
        <f t="shared" ca="1" si="181"/>
        <v>30.400000000000126</v>
      </c>
      <c r="D442" s="306">
        <f t="shared" ca="1" si="182"/>
        <v>-0.95592235955170879</v>
      </c>
      <c r="E442" s="307">
        <f t="shared" ca="1" si="183"/>
        <v>-2.7962372811110994</v>
      </c>
      <c r="F442" s="304">
        <f t="shared" ca="1" si="184"/>
        <v>2.9551193697998901</v>
      </c>
      <c r="G442" s="306">
        <f t="shared" ca="1" si="185"/>
        <v>12.637886526982111</v>
      </c>
      <c r="H442" s="307">
        <f t="shared" ca="1" si="186"/>
        <v>-93.707293597802106</v>
      </c>
      <c r="I442" s="304">
        <f t="shared" ca="1" si="187"/>
        <v>94.555661117109011</v>
      </c>
      <c r="J442" s="306">
        <f t="shared" ca="1" si="188"/>
        <v>771.98484021886202</v>
      </c>
      <c r="K442" s="307">
        <f t="shared" ca="1" si="189"/>
        <v>659.8797536707126</v>
      </c>
      <c r="L442" s="304">
        <f t="shared" ca="1" si="174"/>
        <v>1015.5795797633302</v>
      </c>
      <c r="M442" s="306">
        <f t="shared" ca="1" si="190"/>
        <v>-1.4367396359311329</v>
      </c>
      <c r="N442" s="304">
        <f t="shared" ca="1" si="191"/>
        <v>-82.31911739801636</v>
      </c>
      <c r="P442" s="310">
        <f t="shared" ca="1" si="192"/>
        <v>23</v>
      </c>
      <c r="Q442" s="304">
        <f t="shared" ca="1" si="193"/>
        <v>0</v>
      </c>
      <c r="R442" s="306">
        <f t="shared" ca="1" si="194"/>
        <v>0</v>
      </c>
      <c r="S442" s="307">
        <f t="shared" ca="1" si="195"/>
        <v>2.9362999999999984</v>
      </c>
      <c r="T442" s="304">
        <f t="shared" ca="1" si="175"/>
        <v>28.805102999999985</v>
      </c>
      <c r="U442" s="311">
        <f t="shared" ca="1" si="176"/>
        <v>0</v>
      </c>
      <c r="V442" s="306">
        <f t="shared" ca="1" si="177"/>
        <v>1.1467466211919264</v>
      </c>
      <c r="W442" s="304">
        <f t="shared" ca="1" si="178"/>
        <v>20.921157139526986</v>
      </c>
      <c r="Y442" s="314" t="str">
        <f t="shared" ca="1" si="196"/>
        <v/>
      </c>
      <c r="Z442" s="315" t="str">
        <f t="shared" ca="1" si="197"/>
        <v/>
      </c>
      <c r="AA442" s="316" t="str">
        <f t="shared" ca="1" si="198"/>
        <v/>
      </c>
      <c r="AC442" s="310" t="e">
        <f t="shared" ca="1" si="199"/>
        <v>#N/A</v>
      </c>
      <c r="AD442" s="323" t="e">
        <f t="shared" ca="1" si="200"/>
        <v>#N/A</v>
      </c>
      <c r="AE442" s="324" t="e">
        <f t="shared" ca="1" si="179"/>
        <v>#N/A</v>
      </c>
      <c r="AG442" s="306">
        <f t="shared" ca="1" si="201"/>
        <v>2.6415312147830745</v>
      </c>
      <c r="AH442" s="304">
        <f t="shared" ca="1" si="202"/>
        <v>-7.078605444179435</v>
      </c>
    </row>
    <row r="443" spans="1:34" x14ac:dyDescent="0.2">
      <c r="A443" s="347">
        <f t="shared" ca="1" si="180"/>
        <v>0.1</v>
      </c>
      <c r="B443" s="304">
        <f t="shared" ca="1" si="181"/>
        <v>30.500000000000128</v>
      </c>
      <c r="D443" s="306">
        <f t="shared" ca="1" si="182"/>
        <v>-0.95229650948230882</v>
      </c>
      <c r="E443" s="307">
        <f t="shared" ca="1" si="183"/>
        <v>-2.7489199360432561</v>
      </c>
      <c r="F443" s="304">
        <f t="shared" ca="1" si="184"/>
        <v>2.9091973904752919</v>
      </c>
      <c r="G443" s="306">
        <f t="shared" ca="1" si="185"/>
        <v>12.542656876033881</v>
      </c>
      <c r="H443" s="307">
        <f t="shared" ca="1" si="186"/>
        <v>-93.982185591406434</v>
      </c>
      <c r="I443" s="304">
        <f t="shared" ca="1" si="187"/>
        <v>94.815449427018393</v>
      </c>
      <c r="J443" s="306">
        <f t="shared" ca="1" si="188"/>
        <v>773.24386738901285</v>
      </c>
      <c r="K443" s="307">
        <f t="shared" ca="1" si="189"/>
        <v>650.49527971125212</v>
      </c>
      <c r="L443" s="304">
        <f t="shared" ca="1" si="174"/>
        <v>1010.4702803058274</v>
      </c>
      <c r="M443" s="306">
        <f t="shared" ca="1" si="190"/>
        <v>-1.4381224919170723</v>
      </c>
      <c r="N443" s="304">
        <f t="shared" ca="1" si="191"/>
        <v>-82.398349209685094</v>
      </c>
      <c r="P443" s="310">
        <f t="shared" ca="1" si="192"/>
        <v>23</v>
      </c>
      <c r="Q443" s="304">
        <f t="shared" ca="1" si="193"/>
        <v>0</v>
      </c>
      <c r="R443" s="306">
        <f t="shared" ca="1" si="194"/>
        <v>0</v>
      </c>
      <c r="S443" s="307">
        <f t="shared" ca="1" si="195"/>
        <v>2.9362999999999984</v>
      </c>
      <c r="T443" s="304">
        <f t="shared" ca="1" si="175"/>
        <v>28.805102999999985</v>
      </c>
      <c r="U443" s="311">
        <f t="shared" ca="1" si="176"/>
        <v>0</v>
      </c>
      <c r="V443" s="306">
        <f t="shared" ca="1" si="177"/>
        <v>1.1478244449488646</v>
      </c>
      <c r="W443" s="304">
        <f t="shared" ca="1" si="178"/>
        <v>21.056047264744958</v>
      </c>
      <c r="Y443" s="314" t="str">
        <f t="shared" ca="1" si="196"/>
        <v/>
      </c>
      <c r="Z443" s="315" t="str">
        <f t="shared" ca="1" si="197"/>
        <v/>
      </c>
      <c r="AA443" s="316" t="str">
        <f t="shared" ca="1" si="198"/>
        <v/>
      </c>
      <c r="AC443" s="310" t="e">
        <f t="shared" ca="1" si="199"/>
        <v>#N/A</v>
      </c>
      <c r="AD443" s="323" t="e">
        <f t="shared" ca="1" si="200"/>
        <v>#N/A</v>
      </c>
      <c r="AE443" s="324" t="e">
        <f t="shared" ca="1" si="179"/>
        <v>#N/A</v>
      </c>
      <c r="AG443" s="306">
        <f t="shared" ca="1" si="201"/>
        <v>2.5969765257380928</v>
      </c>
      <c r="AH443" s="304">
        <f t="shared" ca="1" si="202"/>
        <v>-7.1250066885287602</v>
      </c>
    </row>
    <row r="444" spans="1:34" x14ac:dyDescent="0.2">
      <c r="A444" s="347">
        <f t="shared" ca="1" si="180"/>
        <v>0.1</v>
      </c>
      <c r="B444" s="304">
        <f t="shared" ca="1" si="181"/>
        <v>30.600000000000129</v>
      </c>
      <c r="D444" s="306">
        <f t="shared" ca="1" si="182"/>
        <v>-0.94860815824086508</v>
      </c>
      <c r="E444" s="307">
        <f t="shared" ca="1" si="183"/>
        <v>-2.7020747125224656</v>
      </c>
      <c r="F444" s="304">
        <f t="shared" ca="1" si="184"/>
        <v>2.8637501968458232</v>
      </c>
      <c r="G444" s="306">
        <f t="shared" ca="1" si="185"/>
        <v>12.447796060209795</v>
      </c>
      <c r="H444" s="307">
        <f t="shared" ca="1" si="186"/>
        <v>-94.252393062658683</v>
      </c>
      <c r="I444" s="304">
        <f t="shared" ca="1" si="187"/>
        <v>95.070822152721945</v>
      </c>
      <c r="J444" s="306">
        <f t="shared" ca="1" si="188"/>
        <v>774.49339003582509</v>
      </c>
      <c r="K444" s="307">
        <f t="shared" ca="1" si="189"/>
        <v>641.0835507785489</v>
      </c>
      <c r="L444" s="304">
        <f t="shared" ca="1" si="174"/>
        <v>1005.3994879091679</v>
      </c>
      <c r="M444" s="306">
        <f t="shared" ca="1" si="190"/>
        <v>-1.4394874908953668</v>
      </c>
      <c r="N444" s="304">
        <f t="shared" ca="1" si="191"/>
        <v>-82.476557890181027</v>
      </c>
      <c r="P444" s="310">
        <f t="shared" ca="1" si="192"/>
        <v>23</v>
      </c>
      <c r="Q444" s="304">
        <f t="shared" ca="1" si="193"/>
        <v>0</v>
      </c>
      <c r="R444" s="306">
        <f t="shared" ca="1" si="194"/>
        <v>0</v>
      </c>
      <c r="S444" s="307">
        <f t="shared" ca="1" si="195"/>
        <v>2.9362999999999984</v>
      </c>
      <c r="T444" s="304">
        <f t="shared" ca="1" si="175"/>
        <v>28.805102999999985</v>
      </c>
      <c r="U444" s="311">
        <f t="shared" ca="1" si="176"/>
        <v>0</v>
      </c>
      <c r="V444" s="306">
        <f t="shared" ca="1" si="177"/>
        <v>1.1489063833280109</v>
      </c>
      <c r="W444" s="304">
        <f t="shared" ca="1" si="178"/>
        <v>21.189577771075967</v>
      </c>
      <c r="Y444" s="314" t="str">
        <f t="shared" ca="1" si="196"/>
        <v/>
      </c>
      <c r="Z444" s="315" t="str">
        <f t="shared" ca="1" si="197"/>
        <v/>
      </c>
      <c r="AA444" s="316" t="str">
        <f t="shared" ca="1" si="198"/>
        <v/>
      </c>
      <c r="AC444" s="310" t="e">
        <f t="shared" ca="1" si="199"/>
        <v>#N/A</v>
      </c>
      <c r="AD444" s="323" t="e">
        <f t="shared" ca="1" si="200"/>
        <v>#N/A</v>
      </c>
      <c r="AE444" s="324" t="e">
        <f t="shared" ca="1" si="179"/>
        <v>#N/A</v>
      </c>
      <c r="AG444" s="306">
        <f t="shared" ca="1" si="201"/>
        <v>2.5528415668358084</v>
      </c>
      <c r="AH444" s="304">
        <f t="shared" ca="1" si="202"/>
        <v>-7.1709454976483906</v>
      </c>
    </row>
    <row r="445" spans="1:34" x14ac:dyDescent="0.2">
      <c r="A445" s="347">
        <f t="shared" ca="1" si="180"/>
        <v>0.1</v>
      </c>
      <c r="B445" s="304">
        <f t="shared" ca="1" si="181"/>
        <v>30.700000000000131</v>
      </c>
      <c r="D445" s="306">
        <f t="shared" ca="1" si="182"/>
        <v>-0.94485919236247151</v>
      </c>
      <c r="E445" s="307">
        <f t="shared" ca="1" si="183"/>
        <v>-2.6557021984731231</v>
      </c>
      <c r="F445" s="304">
        <f t="shared" ca="1" si="184"/>
        <v>2.818778646926154</v>
      </c>
      <c r="G445" s="306">
        <f t="shared" ca="1" si="185"/>
        <v>12.353310140973548</v>
      </c>
      <c r="H445" s="307">
        <f t="shared" ca="1" si="186"/>
        <v>-94.517963282506003</v>
      </c>
      <c r="I445" s="304">
        <f t="shared" ca="1" si="187"/>
        <v>95.321821502278453</v>
      </c>
      <c r="J445" s="306">
        <f t="shared" ca="1" si="188"/>
        <v>775.73344534588421</v>
      </c>
      <c r="K445" s="307">
        <f t="shared" ca="1" si="189"/>
        <v>631.64503296129067</v>
      </c>
      <c r="L445" s="304">
        <f t="shared" ca="1" si="174"/>
        <v>1000.3688449231443</v>
      </c>
      <c r="M445" s="306">
        <f t="shared" ca="1" si="190"/>
        <v>-1.4408349699429239</v>
      </c>
      <c r="N445" s="304">
        <f t="shared" ca="1" si="191"/>
        <v>-82.553762752588369</v>
      </c>
      <c r="P445" s="310">
        <f t="shared" ca="1" si="192"/>
        <v>23</v>
      </c>
      <c r="Q445" s="304">
        <f t="shared" ca="1" si="193"/>
        <v>0</v>
      </c>
      <c r="R445" s="306">
        <f t="shared" ca="1" si="194"/>
        <v>0</v>
      </c>
      <c r="S445" s="307">
        <f t="shared" ca="1" si="195"/>
        <v>2.9362999999999984</v>
      </c>
      <c r="T445" s="304">
        <f t="shared" ca="1" si="175"/>
        <v>28.805102999999985</v>
      </c>
      <c r="U445" s="311">
        <f t="shared" ca="1" si="176"/>
        <v>0</v>
      </c>
      <c r="V445" s="306">
        <f t="shared" ca="1" si="177"/>
        <v>1.1499923925948314</v>
      </c>
      <c r="W445" s="304">
        <f t="shared" ca="1" si="178"/>
        <v>21.321747408127557</v>
      </c>
      <c r="Y445" s="314" t="str">
        <f t="shared" ca="1" si="196"/>
        <v/>
      </c>
      <c r="Z445" s="315" t="str">
        <f t="shared" ca="1" si="197"/>
        <v/>
      </c>
      <c r="AA445" s="316" t="str">
        <f t="shared" ca="1" si="198"/>
        <v/>
      </c>
      <c r="AC445" s="310" t="e">
        <f t="shared" ca="1" si="199"/>
        <v>#N/A</v>
      </c>
      <c r="AD445" s="323" t="e">
        <f t="shared" ca="1" si="200"/>
        <v>#N/A</v>
      </c>
      <c r="AE445" s="324" t="e">
        <f t="shared" ca="1" si="179"/>
        <v>#N/A</v>
      </c>
      <c r="AG445" s="306">
        <f t="shared" ca="1" si="201"/>
        <v>2.509128116642497</v>
      </c>
      <c r="AH445" s="304">
        <f t="shared" ca="1" si="202"/>
        <v>-7.2164212686292206</v>
      </c>
    </row>
    <row r="446" spans="1:34" x14ac:dyDescent="0.2">
      <c r="A446" s="347">
        <f t="shared" ca="1" si="180"/>
        <v>0.1</v>
      </c>
      <c r="B446" s="304">
        <f t="shared" ca="1" si="181"/>
        <v>30.800000000000132</v>
      </c>
      <c r="D446" s="306">
        <f t="shared" ca="1" si="182"/>
        <v>-0.94105147818344737</v>
      </c>
      <c r="E446" s="307">
        <f t="shared" ca="1" si="183"/>
        <v>-2.609802802094852</v>
      </c>
      <c r="F446" s="304">
        <f t="shared" ca="1" si="184"/>
        <v>2.774283430079449</v>
      </c>
      <c r="G446" s="306">
        <f t="shared" ca="1" si="185"/>
        <v>12.259204993155203</v>
      </c>
      <c r="H446" s="307">
        <f t="shared" ca="1" si="186"/>
        <v>-94.778943562715483</v>
      </c>
      <c r="I446" s="304">
        <f t="shared" ca="1" si="187"/>
        <v>95.568489838066441</v>
      </c>
      <c r="J446" s="306">
        <f t="shared" ca="1" si="188"/>
        <v>776.96407110259065</v>
      </c>
      <c r="K446" s="307">
        <f t="shared" ca="1" si="189"/>
        <v>622.18018761902954</v>
      </c>
      <c r="L446" s="304">
        <f t="shared" ca="1" si="174"/>
        <v>995.38000464644779</v>
      </c>
      <c r="M446" s="306">
        <f t="shared" ca="1" si="190"/>
        <v>-1.4421652571796379</v>
      </c>
      <c r="N446" s="304">
        <f t="shared" ca="1" si="191"/>
        <v>-82.629982596792203</v>
      </c>
      <c r="P446" s="310">
        <f t="shared" ca="1" si="192"/>
        <v>23</v>
      </c>
      <c r="Q446" s="304">
        <f t="shared" ca="1" si="193"/>
        <v>0</v>
      </c>
      <c r="R446" s="306">
        <f t="shared" ca="1" si="194"/>
        <v>0</v>
      </c>
      <c r="S446" s="307">
        <f t="shared" ca="1" si="195"/>
        <v>2.9362999999999984</v>
      </c>
      <c r="T446" s="304">
        <f t="shared" ca="1" si="175"/>
        <v>28.805102999999985</v>
      </c>
      <c r="U446" s="311">
        <f t="shared" ca="1" si="176"/>
        <v>0</v>
      </c>
      <c r="V446" s="306">
        <f t="shared" ca="1" si="177"/>
        <v>1.1510824294134627</v>
      </c>
      <c r="W446" s="304">
        <f t="shared" ca="1" si="178"/>
        <v>21.452555431672614</v>
      </c>
      <c r="Y446" s="314" t="str">
        <f t="shared" ca="1" si="196"/>
        <v/>
      </c>
      <c r="Z446" s="315" t="str">
        <f t="shared" ca="1" si="197"/>
        <v/>
      </c>
      <c r="AA446" s="316" t="str">
        <f t="shared" ca="1" si="198"/>
        <v/>
      </c>
      <c r="AC446" s="310" t="e">
        <f t="shared" ca="1" si="199"/>
        <v>#N/A</v>
      </c>
      <c r="AD446" s="323" t="e">
        <f t="shared" ca="1" si="200"/>
        <v>#N/A</v>
      </c>
      <c r="AE446" s="324" t="e">
        <f t="shared" ca="1" si="179"/>
        <v>#N/A</v>
      </c>
      <c r="AG446" s="306">
        <f t="shared" ca="1" si="201"/>
        <v>2.4658377373615599</v>
      </c>
      <c r="AH446" s="304">
        <f t="shared" ca="1" si="202"/>
        <v>-7.2614335756317709</v>
      </c>
    </row>
    <row r="447" spans="1:34" x14ac:dyDescent="0.2">
      <c r="A447" s="347">
        <f t="shared" ca="1" si="180"/>
        <v>0.1</v>
      </c>
      <c r="B447" s="304">
        <f t="shared" ca="1" si="181"/>
        <v>30.900000000000134</v>
      </c>
      <c r="D447" s="306">
        <f t="shared" ca="1" si="182"/>
        <v>-0.9371868613940374</v>
      </c>
      <c r="E447" s="307">
        <f t="shared" ca="1" si="183"/>
        <v>-2.564376756618497</v>
      </c>
      <c r="F447" s="304">
        <f t="shared" ca="1" si="184"/>
        <v>2.7302650719398671</v>
      </c>
      <c r="G447" s="306">
        <f t="shared" ca="1" si="185"/>
        <v>12.165486307015799</v>
      </c>
      <c r="H447" s="307">
        <f t="shared" ca="1" si="186"/>
        <v>-95.035381238377326</v>
      </c>
      <c r="I447" s="304">
        <f t="shared" ca="1" si="187"/>
        <v>95.81086965584808</v>
      </c>
      <c r="J447" s="306">
        <f t="shared" ca="1" si="188"/>
        <v>778.18530566759921</v>
      </c>
      <c r="K447" s="307">
        <f t="shared" ca="1" si="189"/>
        <v>612.68947137897487</v>
      </c>
      <c r="L447" s="304">
        <f t="shared" ca="1" si="174"/>
        <v>990.4346310058138</v>
      </c>
      <c r="M447" s="306">
        <f t="shared" ca="1" si="190"/>
        <v>-1.443478672064616</v>
      </c>
      <c r="N447" s="304">
        <f t="shared" ca="1" si="191"/>
        <v>-82.705235726451107</v>
      </c>
      <c r="P447" s="310">
        <f t="shared" ca="1" si="192"/>
        <v>23</v>
      </c>
      <c r="Q447" s="304">
        <f t="shared" ca="1" si="193"/>
        <v>0</v>
      </c>
      <c r="R447" s="306">
        <f t="shared" ca="1" si="194"/>
        <v>0</v>
      </c>
      <c r="S447" s="307">
        <f t="shared" ca="1" si="195"/>
        <v>2.9362999999999984</v>
      </c>
      <c r="T447" s="304">
        <f t="shared" ca="1" si="175"/>
        <v>28.805102999999985</v>
      </c>
      <c r="U447" s="311">
        <f t="shared" ca="1" si="176"/>
        <v>0</v>
      </c>
      <c r="V447" s="306">
        <f t="shared" ca="1" si="177"/>
        <v>1.1521764508477768</v>
      </c>
      <c r="W447" s="304">
        <f t="shared" ca="1" si="178"/>
        <v>21.582001589965039</v>
      </c>
      <c r="Y447" s="314" t="str">
        <f t="shared" ca="1" si="196"/>
        <v/>
      </c>
      <c r="Z447" s="315" t="str">
        <f t="shared" ca="1" si="197"/>
        <v/>
      </c>
      <c r="AA447" s="316" t="str">
        <f t="shared" ca="1" si="198"/>
        <v/>
      </c>
      <c r="AC447" s="310" t="e">
        <f t="shared" ca="1" si="199"/>
        <v>#N/A</v>
      </c>
      <c r="AD447" s="323" t="e">
        <f t="shared" ca="1" si="200"/>
        <v>#N/A</v>
      </c>
      <c r="AE447" s="324" t="e">
        <f t="shared" ca="1" si="179"/>
        <v>#N/A</v>
      </c>
      <c r="AG447" s="306">
        <f t="shared" ca="1" si="201"/>
        <v>2.4229717810831088</v>
      </c>
      <c r="AH447" s="304">
        <f t="shared" ca="1" si="202"/>
        <v>-7.3059821651985919</v>
      </c>
    </row>
    <row r="448" spans="1:34" x14ac:dyDescent="0.2">
      <c r="A448" s="347">
        <f t="shared" ca="1" si="180"/>
        <v>0.1</v>
      </c>
      <c r="B448" s="304">
        <f t="shared" ca="1" si="181"/>
        <v>31.000000000000135</v>
      </c>
      <c r="D448" s="306">
        <f t="shared" ca="1" si="182"/>
        <v>-0.93326716662159748</v>
      </c>
      <c r="E448" s="307">
        <f t="shared" ca="1" si="183"/>
        <v>-2.5194241250352283</v>
      </c>
      <c r="F448" s="304">
        <f t="shared" ca="1" si="184"/>
        <v>2.6867239393178135</v>
      </c>
      <c r="G448" s="306">
        <f t="shared" ca="1" si="185"/>
        <v>12.072159590353639</v>
      </c>
      <c r="H448" s="307">
        <f t="shared" ca="1" si="186"/>
        <v>-95.28732365088085</v>
      </c>
      <c r="I448" s="304">
        <f t="shared" ca="1" si="187"/>
        <v>96.049003564444561</v>
      </c>
      <c r="J448" s="306">
        <f t="shared" ca="1" si="188"/>
        <v>779.39718796246768</v>
      </c>
      <c r="K448" s="307">
        <f t="shared" ca="1" si="189"/>
        <v>603.17333613451194</v>
      </c>
      <c r="L448" s="304">
        <f t="shared" ca="1" si="174"/>
        <v>985.5343981959428</v>
      </c>
      <c r="M448" s="306">
        <f t="shared" ca="1" si="190"/>
        <v>-1.4447755256809542</v>
      </c>
      <c r="N448" s="304">
        <f t="shared" ca="1" si="191"/>
        <v>-82.77953996531356</v>
      </c>
      <c r="P448" s="310">
        <f t="shared" ca="1" si="192"/>
        <v>23</v>
      </c>
      <c r="Q448" s="304">
        <f t="shared" ca="1" si="193"/>
        <v>0</v>
      </c>
      <c r="R448" s="306">
        <f t="shared" ca="1" si="194"/>
        <v>0</v>
      </c>
      <c r="S448" s="307">
        <f t="shared" ca="1" si="195"/>
        <v>2.9362999999999984</v>
      </c>
      <c r="T448" s="304">
        <f t="shared" ca="1" si="175"/>
        <v>28.805102999999985</v>
      </c>
      <c r="U448" s="311">
        <f t="shared" ca="1" si="176"/>
        <v>0</v>
      </c>
      <c r="V448" s="306">
        <f t="shared" ca="1" si="177"/>
        <v>1.1532744143622877</v>
      </c>
      <c r="W448" s="304">
        <f t="shared" ca="1" si="178"/>
        <v>21.710086110144754</v>
      </c>
      <c r="Y448" s="314" t="str">
        <f t="shared" ca="1" si="196"/>
        <v/>
      </c>
      <c r="Z448" s="315" t="str">
        <f t="shared" ca="1" si="197"/>
        <v/>
      </c>
      <c r="AA448" s="316" t="str">
        <f t="shared" ca="1" si="198"/>
        <v/>
      </c>
      <c r="AC448" s="310">
        <f t="shared" ca="1" si="199"/>
        <v>31.000000000000135</v>
      </c>
      <c r="AD448" s="323">
        <f t="shared" ca="1" si="200"/>
        <v>779.39718796246768</v>
      </c>
      <c r="AE448" s="324" t="e">
        <f t="shared" ca="1" si="179"/>
        <v>#N/A</v>
      </c>
      <c r="AG448" s="306">
        <f t="shared" ca="1" si="201"/>
        <v>2.3805313959348258</v>
      </c>
      <c r="AH448" s="304">
        <f t="shared" ca="1" si="202"/>
        <v>-7.3500669515938597</v>
      </c>
    </row>
    <row r="449" spans="1:34" x14ac:dyDescent="0.2">
      <c r="A449" s="347">
        <f t="shared" ca="1" si="180"/>
        <v>0.1</v>
      </c>
      <c r="B449" s="304">
        <f t="shared" ca="1" si="181"/>
        <v>31.100000000000136</v>
      </c>
      <c r="D449" s="306">
        <f t="shared" ca="1" si="182"/>
        <v>-0.92929419704342864</v>
      </c>
      <c r="E449" s="307">
        <f t="shared" ca="1" si="183"/>
        <v>-2.4749448047953928</v>
      </c>
      <c r="F449" s="304">
        <f t="shared" ca="1" si="184"/>
        <v>2.6436602450848889</v>
      </c>
      <c r="G449" s="306">
        <f t="shared" ca="1" si="185"/>
        <v>11.979230170649297</v>
      </c>
      <c r="H449" s="307">
        <f t="shared" ca="1" si="186"/>
        <v>-95.534818131360396</v>
      </c>
      <c r="I449" s="304">
        <f t="shared" ca="1" si="187"/>
        <v>96.28293426601364</v>
      </c>
      <c r="J449" s="306">
        <f t="shared" ca="1" si="188"/>
        <v>780.59975745051781</v>
      </c>
      <c r="K449" s="307">
        <f t="shared" ca="1" si="189"/>
        <v>593.63222904539987</v>
      </c>
      <c r="L449" s="304">
        <f t="shared" ca="1" si="174"/>
        <v>980.68099027829498</v>
      </c>
      <c r="M449" s="306">
        <f t="shared" ca="1" si="190"/>
        <v>-1.4460561210095642</v>
      </c>
      <c r="N449" s="304">
        <f t="shared" ca="1" si="191"/>
        <v>-82.852912672907081</v>
      </c>
      <c r="P449" s="310">
        <f t="shared" ca="1" si="192"/>
        <v>23</v>
      </c>
      <c r="Q449" s="304">
        <f t="shared" ca="1" si="193"/>
        <v>0</v>
      </c>
      <c r="R449" s="306">
        <f t="shared" ca="1" si="194"/>
        <v>0</v>
      </c>
      <c r="S449" s="307">
        <f t="shared" ca="1" si="195"/>
        <v>2.9362999999999984</v>
      </c>
      <c r="T449" s="304">
        <f t="shared" ca="1" si="175"/>
        <v>28.805102999999985</v>
      </c>
      <c r="U449" s="311">
        <f t="shared" ca="1" si="176"/>
        <v>0</v>
      </c>
      <c r="V449" s="306">
        <f t="shared" ca="1" si="177"/>
        <v>1.1543762778229119</v>
      </c>
      <c r="W449" s="304">
        <f t="shared" ca="1" si="178"/>
        <v>21.836809684741915</v>
      </c>
      <c r="Y449" s="314" t="str">
        <f t="shared" ca="1" si="196"/>
        <v/>
      </c>
      <c r="Z449" s="315" t="str">
        <f t="shared" ca="1" si="197"/>
        <v/>
      </c>
      <c r="AA449" s="316" t="str">
        <f t="shared" ca="1" si="198"/>
        <v/>
      </c>
      <c r="AC449" s="310" t="e">
        <f t="shared" ca="1" si="199"/>
        <v>#N/A</v>
      </c>
      <c r="AD449" s="323" t="e">
        <f t="shared" ca="1" si="200"/>
        <v>#N/A</v>
      </c>
      <c r="AE449" s="324" t="e">
        <f t="shared" ca="1" si="179"/>
        <v>#N/A</v>
      </c>
      <c r="AG449" s="306">
        <f t="shared" ca="1" si="201"/>
        <v>2.3385175321345431</v>
      </c>
      <c r="AH449" s="304">
        <f t="shared" ca="1" si="202"/>
        <v>-7.3936880121734037</v>
      </c>
    </row>
    <row r="450" spans="1:34" x14ac:dyDescent="0.2">
      <c r="A450" s="347">
        <f t="shared" ca="1" si="180"/>
        <v>0.1</v>
      </c>
      <c r="B450" s="304">
        <f t="shared" ca="1" si="181"/>
        <v>31.200000000000138</v>
      </c>
      <c r="D450" s="306">
        <f t="shared" ca="1" si="182"/>
        <v>-0.92526973402852242</v>
      </c>
      <c r="E450" s="307">
        <f t="shared" ca="1" si="183"/>
        <v>-2.4309385324736663</v>
      </c>
      <c r="F450" s="304">
        <f t="shared" ca="1" si="184"/>
        <v>2.6010740530354832</v>
      </c>
      <c r="G450" s="306">
        <f t="shared" ca="1" si="185"/>
        <v>11.886703197246444</v>
      </c>
      <c r="H450" s="307">
        <f t="shared" ca="1" si="186"/>
        <v>-95.777911984607769</v>
      </c>
      <c r="I450" s="304">
        <f t="shared" ca="1" si="187"/>
        <v>96.512704536919387</v>
      </c>
      <c r="J450" s="306">
        <f t="shared" ca="1" si="188"/>
        <v>781.79305411891255</v>
      </c>
      <c r="K450" s="307">
        <f t="shared" ca="1" si="189"/>
        <v>584.06659253960152</v>
      </c>
      <c r="L450" s="304">
        <f t="shared" ca="1" si="174"/>
        <v>975.87610073687017</v>
      </c>
      <c r="M450" s="306">
        <f t="shared" ca="1" si="190"/>
        <v>-1.4473207531925334</v>
      </c>
      <c r="N450" s="304">
        <f t="shared" ca="1" si="191"/>
        <v>-82.925370759627626</v>
      </c>
      <c r="P450" s="310">
        <f t="shared" ca="1" si="192"/>
        <v>23</v>
      </c>
      <c r="Q450" s="304">
        <f t="shared" ca="1" si="193"/>
        <v>0</v>
      </c>
      <c r="R450" s="306">
        <f t="shared" ca="1" si="194"/>
        <v>0</v>
      </c>
      <c r="S450" s="307">
        <f t="shared" ca="1" si="195"/>
        <v>2.9362999999999984</v>
      </c>
      <c r="T450" s="304">
        <f t="shared" ca="1" si="175"/>
        <v>28.805102999999985</v>
      </c>
      <c r="U450" s="311">
        <f t="shared" ca="1" si="176"/>
        <v>0</v>
      </c>
      <c r="V450" s="306">
        <f t="shared" ca="1" si="177"/>
        <v>1.1554819994975796</v>
      </c>
      <c r="W450" s="304">
        <f t="shared" ca="1" si="178"/>
        <v>21.962173458288738</v>
      </c>
      <c r="Y450" s="314" t="str">
        <f t="shared" ca="1" si="196"/>
        <v/>
      </c>
      <c r="Z450" s="315" t="str">
        <f t="shared" ca="1" si="197"/>
        <v/>
      </c>
      <c r="AA450" s="316" t="str">
        <f t="shared" ca="1" si="198"/>
        <v/>
      </c>
      <c r="AC450" s="310" t="e">
        <f t="shared" ca="1" si="199"/>
        <v>#N/A</v>
      </c>
      <c r="AD450" s="323" t="e">
        <f t="shared" ca="1" si="200"/>
        <v>#N/A</v>
      </c>
      <c r="AE450" s="324" t="e">
        <f t="shared" ca="1" si="179"/>
        <v>#N/A</v>
      </c>
      <c r="AG450" s="306">
        <f t="shared" ca="1" si="201"/>
        <v>2.2969309479446247</v>
      </c>
      <c r="AH450" s="304">
        <f t="shared" ca="1" si="202"/>
        <v>-7.4368455827885187</v>
      </c>
    </row>
    <row r="451" spans="1:34" x14ac:dyDescent="0.2">
      <c r="A451" s="347">
        <f t="shared" ca="1" si="180"/>
        <v>0.1</v>
      </c>
      <c r="B451" s="304">
        <f t="shared" ca="1" si="181"/>
        <v>31.300000000000139</v>
      </c>
      <c r="D451" s="306">
        <f t="shared" ca="1" si="182"/>
        <v>-0.92119553680737865</v>
      </c>
      <c r="E451" s="307">
        <f t="shared" ca="1" si="183"/>
        <v>-2.3874048883975556</v>
      </c>
      <c r="F451" s="304">
        <f t="shared" ca="1" si="184"/>
        <v>2.5589652827223701</v>
      </c>
      <c r="G451" s="306">
        <f t="shared" ca="1" si="185"/>
        <v>11.794583643565707</v>
      </c>
      <c r="H451" s="307">
        <f t="shared" ca="1" si="186"/>
        <v>-96.016652473447522</v>
      </c>
      <c r="I451" s="304">
        <f t="shared" ca="1" si="187"/>
        <v>96.738357209184954</v>
      </c>
      <c r="J451" s="306">
        <f t="shared" ca="1" si="188"/>
        <v>782.97711846095319</v>
      </c>
      <c r="K451" s="307">
        <f t="shared" ca="1" si="189"/>
        <v>574.47686431669877</v>
      </c>
      <c r="L451" s="304">
        <f t="shared" ca="1" si="174"/>
        <v>971.12143198910212</v>
      </c>
      <c r="M451" s="306">
        <f t="shared" ca="1" si="190"/>
        <v>-1.4485697097864771</v>
      </c>
      <c r="N451" s="304">
        <f t="shared" ca="1" si="191"/>
        <v>-82.99693070125565</v>
      </c>
      <c r="P451" s="310">
        <f t="shared" ca="1" si="192"/>
        <v>23</v>
      </c>
      <c r="Q451" s="304">
        <f t="shared" ca="1" si="193"/>
        <v>0</v>
      </c>
      <c r="R451" s="306">
        <f t="shared" ca="1" si="194"/>
        <v>0</v>
      </c>
      <c r="S451" s="307">
        <f t="shared" ca="1" si="195"/>
        <v>2.9362999999999984</v>
      </c>
      <c r="T451" s="304">
        <f t="shared" ca="1" si="175"/>
        <v>28.805102999999985</v>
      </c>
      <c r="U451" s="311">
        <f t="shared" ca="1" si="176"/>
        <v>0</v>
      </c>
      <c r="V451" s="306">
        <f t="shared" ca="1" si="177"/>
        <v>1.1565915380567005</v>
      </c>
      <c r="W451" s="304">
        <f t="shared" ca="1" si="178"/>
        <v>22.086179014047651</v>
      </c>
      <c r="Y451" s="314" t="str">
        <f t="shared" ca="1" si="196"/>
        <v/>
      </c>
      <c r="Z451" s="315" t="str">
        <f t="shared" ca="1" si="197"/>
        <v/>
      </c>
      <c r="AA451" s="316" t="str">
        <f t="shared" ca="1" si="198"/>
        <v/>
      </c>
      <c r="AC451" s="310" t="e">
        <f t="shared" ca="1" si="199"/>
        <v>#N/A</v>
      </c>
      <c r="AD451" s="323" t="e">
        <f t="shared" ca="1" si="200"/>
        <v>#N/A</v>
      </c>
      <c r="AE451" s="324" t="e">
        <f t="shared" ca="1" si="179"/>
        <v>#N/A</v>
      </c>
      <c r="AG451" s="306">
        <f t="shared" ca="1" si="201"/>
        <v>2.2557722155286228</v>
      </c>
      <c r="AH451" s="304">
        <f t="shared" ca="1" si="202"/>
        <v>-7.4795400532264242</v>
      </c>
    </row>
    <row r="452" spans="1:34" x14ac:dyDescent="0.2">
      <c r="A452" s="347">
        <f t="shared" ca="1" si="180"/>
        <v>0.1</v>
      </c>
      <c r="B452" s="304">
        <f t="shared" ca="1" si="181"/>
        <v>31.400000000000141</v>
      </c>
      <c r="D452" s="306">
        <f t="shared" ca="1" si="182"/>
        <v>-0.91707334216913372</v>
      </c>
      <c r="E452" s="307">
        <f t="shared" ca="1" si="183"/>
        <v>-2.3443433012361661</v>
      </c>
      <c r="F452" s="304">
        <f t="shared" ca="1" si="184"/>
        <v>2.5173337142635956</v>
      </c>
      <c r="G452" s="306">
        <f t="shared" ca="1" si="185"/>
        <v>11.702876309348794</v>
      </c>
      <c r="H452" s="307">
        <f t="shared" ca="1" si="186"/>
        <v>-96.251086803571141</v>
      </c>
      <c r="I452" s="304">
        <f t="shared" ca="1" si="187"/>
        <v>96.959935152518042</v>
      </c>
      <c r="J452" s="306">
        <f t="shared" ca="1" si="188"/>
        <v>784.1519914585989</v>
      </c>
      <c r="K452" s="307">
        <f t="shared" ca="1" si="189"/>
        <v>564.86347735284778</v>
      </c>
      <c r="L452" s="304">
        <f t="shared" ref="L452:L515" ca="1" si="203">SQRT(pos_x^2+pos_z^2)</f>
        <v>966.41869485003122</v>
      </c>
      <c r="M452" s="306">
        <f t="shared" ca="1" si="190"/>
        <v>-1.4498032710063131</v>
      </c>
      <c r="N452" s="304">
        <f t="shared" ca="1" si="191"/>
        <v>-83.067608552923261</v>
      </c>
      <c r="P452" s="310">
        <f t="shared" ca="1" si="192"/>
        <v>23</v>
      </c>
      <c r="Q452" s="304">
        <f t="shared" ca="1" si="193"/>
        <v>0</v>
      </c>
      <c r="R452" s="306">
        <f t="shared" ca="1" si="194"/>
        <v>0</v>
      </c>
      <c r="S452" s="307">
        <f t="shared" ca="1" si="195"/>
        <v>2.9362999999999984</v>
      </c>
      <c r="T452" s="304">
        <f t="shared" ref="T452:T515" ca="1" si="204">m*g</f>
        <v>28.805102999999985</v>
      </c>
      <c r="U452" s="311">
        <f t="shared" ref="U452:U515" ca="1" si="205">IF(pos_xz&lt;L_rampe,Poids*COS(Beta),0)</f>
        <v>0</v>
      </c>
      <c r="V452" s="306">
        <f t="shared" ref="V452:V515" ca="1" si="206">Rho_moyen*(20000-Alt_rampe-pos_z)/(20000+Alt_rampe+pos_z)</f>
        <v>1.1577048525734919</v>
      </c>
      <c r="W452" s="304">
        <f t="shared" ref="W452:W515" ca="1" si="207">1/2*Rho*Sref*Cx*vit_xz^2</f>
        <v>22.208828360863286</v>
      </c>
      <c r="Y452" s="314" t="str">
        <f t="shared" ca="1" si="196"/>
        <v/>
      </c>
      <c r="Z452" s="315" t="str">
        <f t="shared" ca="1" si="197"/>
        <v/>
      </c>
      <c r="AA452" s="316" t="str">
        <f t="shared" ca="1" si="198"/>
        <v/>
      </c>
      <c r="AC452" s="310" t="e">
        <f t="shared" ca="1" si="199"/>
        <v>#N/A</v>
      </c>
      <c r="AD452" s="323" t="e">
        <f t="shared" ca="1" si="200"/>
        <v>#N/A</v>
      </c>
      <c r="AE452" s="324" t="e">
        <f t="shared" ref="AE452:AE515" ca="1" si="208">IF(t&lt;T_para, pos_z, NA())</f>
        <v>#N/A</v>
      </c>
      <c r="AG452" s="306">
        <f t="shared" ca="1" si="201"/>
        <v>2.215041726710286</v>
      </c>
      <c r="AH452" s="304">
        <f t="shared" ca="1" si="202"/>
        <v>-7.5217719626903463</v>
      </c>
    </row>
    <row r="453" spans="1:34" x14ac:dyDescent="0.2">
      <c r="A453" s="347">
        <f t="shared" ref="A453:A516" ca="1" si="209">IF(B452+0.01&lt;=T_ini+ROUNDUP(Temps_fin_propu,0), 0.01, IF(K452&gt;0, 0.1, 0.0001))</f>
        <v>0.1</v>
      </c>
      <c r="B453" s="304">
        <f t="shared" ref="B453:B516" ca="1" si="210">B452+pas</f>
        <v>31.500000000000142</v>
      </c>
      <c r="D453" s="306">
        <f t="shared" ref="D453:D516" ca="1" si="211">IF(AND(L452&lt;L_rampe,Poussee&lt;Poids*SIN(M452)),0,(-W452+Poussee)/m*COS(M452)-U452/m*SIN(M452))</f>
        <v>-0.91290486418520511</v>
      </c>
      <c r="E453" s="307">
        <f t="shared" ref="E453:E516" ca="1" si="212">IF(AND(L452&lt;L_rampe,Poussee&lt;Poids*SIN(M452)),0,(-W452+Poussee)/m*SIN(M452)+U452/m*COS(M452)-Poids/m)</f>
        <v>-2.3017530525466237</v>
      </c>
      <c r="F453" s="304">
        <f t="shared" ref="F453:F516" ca="1" si="213">SQRT(acc_x^2+acc_z^2)</f>
        <v>2.4761789931183706</v>
      </c>
      <c r="G453" s="306">
        <f t="shared" ref="G453:G516" ca="1" si="214">G452+acc_x*pas</f>
        <v>11.611585822930273</v>
      </c>
      <c r="H453" s="307">
        <f t="shared" ref="H453:H516" ca="1" si="215">H452+acc_z*pas</f>
        <v>-96.481262108825803</v>
      </c>
      <c r="I453" s="304">
        <f t="shared" ref="I453:I516" ca="1" si="216">SQRT(vit_x^2+vit_z^2)</f>
        <v>97.177481256900364</v>
      </c>
      <c r="J453" s="306">
        <f t="shared" ref="J453:J516" ca="1" si="217">J452+0.5*(vit_x+G452)*pas*(K452&gt;=0)</f>
        <v>785.3177145652129</v>
      </c>
      <c r="K453" s="307">
        <f t="shared" ref="K453:K516" ca="1" si="218">K452+0.5*(vit_z+H452)*pas</f>
        <v>555.22685990722789</v>
      </c>
      <c r="L453" s="304">
        <f t="shared" ca="1" si="203"/>
        <v>961.76960794795843</v>
      </c>
      <c r="M453" s="306">
        <f t="shared" ref="M453:M516" ca="1" si="219">IF(AND(L452&gt;L_rampe,G453&gt;0),ATAN2(G453,H453),$M$4)</f>
        <v>-1.4510217099598743</v>
      </c>
      <c r="N453" s="304">
        <f t="shared" ref="N453:N516" ca="1" si="220">DEGREES(Beta)</f>
        <v>-83.137419962556649</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2.9362999999999984</v>
      </c>
      <c r="T453" s="304">
        <f t="shared" ca="1" si="204"/>
        <v>28.805102999999985</v>
      </c>
      <c r="U453" s="311">
        <f t="shared" ca="1" si="205"/>
        <v>0</v>
      </c>
      <c r="V453" s="306">
        <f t="shared" ca="1" si="206"/>
        <v>1.1588219025241717</v>
      </c>
      <c r="W453" s="304">
        <f t="shared" ca="1" si="207"/>
        <v>22.330123920146242</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t="e">
        <f t="shared" ca="1" si="208"/>
        <v>#N/A</v>
      </c>
      <c r="AG453" s="306">
        <f t="shared" ref="AG453:AG516" ca="1" si="230">IF(AND(L452&lt;L_rampe,Poussee&lt;Poids*SIN(M452)),0,(-W452+Poussee)/m-Poids*SIN(M452)/m)</f>
        <v>2.1747396986353245</v>
      </c>
      <c r="AH453" s="304">
        <f t="shared" ref="AH453:AH516" ca="1" si="231">IF(AND(L452&lt;L_rampe,Poussee&lt;Poids*SIN(M452)), g*SIN(M452), (-W452+Poussee)/m)</f>
        <v>-7.5635419953217653</v>
      </c>
    </row>
    <row r="454" spans="1:34" x14ac:dyDescent="0.2">
      <c r="A454" s="347">
        <f t="shared" ca="1" si="209"/>
        <v>0.1</v>
      </c>
      <c r="B454" s="304">
        <f t="shared" ca="1" si="210"/>
        <v>31.600000000000144</v>
      </c>
      <c r="D454" s="306">
        <f t="shared" ca="1" si="211"/>
        <v>-0.90869179395869204</v>
      </c>
      <c r="E454" s="307">
        <f t="shared" ca="1" si="212"/>
        <v>-2.2596332812753541</v>
      </c>
      <c r="F454" s="304">
        <f t="shared" ca="1" si="213"/>
        <v>2.4355006348295394</v>
      </c>
      <c r="G454" s="306">
        <f t="shared" ca="1" si="214"/>
        <v>11.520716643534405</v>
      </c>
      <c r="H454" s="307">
        <f t="shared" ca="1" si="215"/>
        <v>-96.707225436953337</v>
      </c>
      <c r="I454" s="304">
        <f t="shared" ca="1" si="216"/>
        <v>97.391038415730662</v>
      </c>
      <c r="J454" s="306">
        <f t="shared" ca="1" si="217"/>
        <v>786.47432968853616</v>
      </c>
      <c r="K454" s="307">
        <f t="shared" ca="1" si="218"/>
        <v>545.56743552993896</v>
      </c>
      <c r="L454" s="304">
        <f t="shared" ca="1" si="203"/>
        <v>957.17589708984326</v>
      </c>
      <c r="M454" s="306">
        <f t="shared" ca="1" si="219"/>
        <v>-1.4522252928737549</v>
      </c>
      <c r="N454" s="304">
        <f t="shared" ca="1" si="220"/>
        <v>-83.206380183816066</v>
      </c>
      <c r="P454" s="310">
        <f t="shared" ca="1" si="221"/>
        <v>23</v>
      </c>
      <c r="Q454" s="304">
        <f t="shared" ca="1" si="222"/>
        <v>0</v>
      </c>
      <c r="R454" s="306">
        <f t="shared" ca="1" si="223"/>
        <v>0</v>
      </c>
      <c r="S454" s="307">
        <f t="shared" ca="1" si="224"/>
        <v>2.9362999999999984</v>
      </c>
      <c r="T454" s="304">
        <f t="shared" ca="1" si="204"/>
        <v>28.805102999999985</v>
      </c>
      <c r="U454" s="311">
        <f t="shared" ca="1" si="205"/>
        <v>0</v>
      </c>
      <c r="V454" s="306">
        <f t="shared" ca="1" si="206"/>
        <v>1.1599426477880157</v>
      </c>
      <c r="W454" s="304">
        <f t="shared" ca="1" si="207"/>
        <v>22.450068512995021</v>
      </c>
      <c r="Y454" s="314" t="str">
        <f t="shared" ca="1" si="225"/>
        <v/>
      </c>
      <c r="Z454" s="315" t="str">
        <f t="shared" ca="1" si="226"/>
        <v/>
      </c>
      <c r="AA454" s="316" t="str">
        <f t="shared" ca="1" si="227"/>
        <v/>
      </c>
      <c r="AC454" s="310" t="e">
        <f t="shared" ca="1" si="228"/>
        <v>#N/A</v>
      </c>
      <c r="AD454" s="323" t="e">
        <f t="shared" ca="1" si="229"/>
        <v>#N/A</v>
      </c>
      <c r="AE454" s="324" t="e">
        <f t="shared" ca="1" si="208"/>
        <v>#N/A</v>
      </c>
      <c r="AG454" s="306">
        <f t="shared" ca="1" si="230"/>
        <v>2.1348661793359494</v>
      </c>
      <c r="AH454" s="304">
        <f t="shared" ca="1" si="231"/>
        <v>-7.6048509757675493</v>
      </c>
    </row>
    <row r="455" spans="1:34" x14ac:dyDescent="0.2">
      <c r="A455" s="347">
        <f t="shared" ca="1" si="209"/>
        <v>0.1</v>
      </c>
      <c r="B455" s="304">
        <f t="shared" ca="1" si="210"/>
        <v>31.700000000000145</v>
      </c>
      <c r="D455" s="306">
        <f t="shared" ca="1" si="211"/>
        <v>-0.90443579939871765</v>
      </c>
      <c r="E455" s="307">
        <f t="shared" ca="1" si="212"/>
        <v>-2.2179829882119515</v>
      </c>
      <c r="F455" s="304">
        <f t="shared" ca="1" si="213"/>
        <v>2.3952980297306672</v>
      </c>
      <c r="G455" s="306">
        <f t="shared" ca="1" si="214"/>
        <v>11.430273063594532</v>
      </c>
      <c r="H455" s="307">
        <f t="shared" ca="1" si="215"/>
        <v>-96.929023735774535</v>
      </c>
      <c r="I455" s="304">
        <f t="shared" ca="1" si="216"/>
        <v>97.60064950951238</v>
      </c>
      <c r="J455" s="306">
        <f t="shared" ca="1" si="217"/>
        <v>787.62187917389258</v>
      </c>
      <c r="K455" s="307">
        <f t="shared" ca="1" si="218"/>
        <v>535.88562307130258</v>
      </c>
      <c r="L455" s="304">
        <f t="shared" ca="1" si="203"/>
        <v>952.63929457477866</v>
      </c>
      <c r="M455" s="306">
        <f t="shared" ca="1" si="219"/>
        <v>-1.4534142793107589</v>
      </c>
      <c r="N455" s="304">
        <f t="shared" ca="1" si="220"/>
        <v>-83.274504088554693</v>
      </c>
      <c r="P455" s="310">
        <f t="shared" ca="1" si="221"/>
        <v>23</v>
      </c>
      <c r="Q455" s="304">
        <f t="shared" ca="1" si="222"/>
        <v>0</v>
      </c>
      <c r="R455" s="306">
        <f t="shared" ca="1" si="223"/>
        <v>0</v>
      </c>
      <c r="S455" s="307">
        <f t="shared" ca="1" si="224"/>
        <v>2.9362999999999984</v>
      </c>
      <c r="T455" s="304">
        <f t="shared" ca="1" si="204"/>
        <v>28.805102999999985</v>
      </c>
      <c r="U455" s="311">
        <f t="shared" ca="1" si="205"/>
        <v>0</v>
      </c>
      <c r="V455" s="306">
        <f t="shared" ca="1" si="206"/>
        <v>1.1610670486472874</v>
      </c>
      <c r="W455" s="304">
        <f t="shared" ca="1" si="207"/>
        <v>22.568665347463138</v>
      </c>
      <c r="Y455" s="314" t="str">
        <f t="shared" ca="1" si="225"/>
        <v/>
      </c>
      <c r="Z455" s="315" t="str">
        <f t="shared" ca="1" si="226"/>
        <v/>
      </c>
      <c r="AA455" s="316" t="str">
        <f t="shared" ca="1" si="227"/>
        <v/>
      </c>
      <c r="AC455" s="310" t="e">
        <f t="shared" ca="1" si="228"/>
        <v>#N/A</v>
      </c>
      <c r="AD455" s="323" t="e">
        <f t="shared" ca="1" si="229"/>
        <v>#N/A</v>
      </c>
      <c r="AE455" s="324" t="e">
        <f t="shared" ca="1" si="208"/>
        <v>#N/A</v>
      </c>
      <c r="AG455" s="306">
        <f t="shared" ca="1" si="230"/>
        <v>2.0954210531986392</v>
      </c>
      <c r="AH455" s="304">
        <f t="shared" ca="1" si="231"/>
        <v>-7.6456998647941399</v>
      </c>
    </row>
    <row r="456" spans="1:34" x14ac:dyDescent="0.2">
      <c r="A456" s="347">
        <f t="shared" ca="1" si="209"/>
        <v>0.1</v>
      </c>
      <c r="B456" s="304">
        <f t="shared" ca="1" si="210"/>
        <v>31.800000000000146</v>
      </c>
      <c r="D456" s="306">
        <f t="shared" ca="1" si="211"/>
        <v>-0.90013852501899527</v>
      </c>
      <c r="E456" s="307">
        <f t="shared" ca="1" si="212"/>
        <v>-2.1768010403932134</v>
      </c>
      <c r="F456" s="304">
        <f t="shared" ca="1" si="213"/>
        <v>2.3555704476156829</v>
      </c>
      <c r="G456" s="306">
        <f t="shared" ca="1" si="214"/>
        <v>11.340259211092633</v>
      </c>
      <c r="H456" s="307">
        <f t="shared" ca="1" si="215"/>
        <v>-97.146703839813853</v>
      </c>
      <c r="I456" s="304">
        <f t="shared" ca="1" si="216"/>
        <v>97.806357390076002</v>
      </c>
      <c r="J456" s="306">
        <f t="shared" ca="1" si="217"/>
        <v>788.76040578762695</v>
      </c>
      <c r="K456" s="307">
        <f t="shared" ca="1" si="218"/>
        <v>526.18183669252312</v>
      </c>
      <c r="L456" s="304">
        <f t="shared" ca="1" si="203"/>
        <v>948.16153845395934</v>
      </c>
      <c r="M456" s="306">
        <f t="shared" ca="1" si="219"/>
        <v>-1.4545889223793136</v>
      </c>
      <c r="N456" s="304">
        <f t="shared" ca="1" si="220"/>
        <v>-83.341806178817166</v>
      </c>
      <c r="P456" s="310">
        <f t="shared" ca="1" si="221"/>
        <v>23</v>
      </c>
      <c r="Q456" s="304">
        <f t="shared" ca="1" si="222"/>
        <v>0</v>
      </c>
      <c r="R456" s="306">
        <f t="shared" ca="1" si="223"/>
        <v>0</v>
      </c>
      <c r="S456" s="307">
        <f t="shared" ca="1" si="224"/>
        <v>2.9362999999999984</v>
      </c>
      <c r="T456" s="304">
        <f t="shared" ca="1" si="204"/>
        <v>28.805102999999985</v>
      </c>
      <c r="U456" s="311">
        <f t="shared" ca="1" si="205"/>
        <v>0</v>
      </c>
      <c r="V456" s="306">
        <f t="shared" ca="1" si="206"/>
        <v>1.1621950657870426</v>
      </c>
      <c r="W456" s="304">
        <f t="shared" ca="1" si="207"/>
        <v>22.685918005977189</v>
      </c>
      <c r="Y456" s="314" t="str">
        <f t="shared" ca="1" si="225"/>
        <v/>
      </c>
      <c r="Z456" s="315" t="str">
        <f t="shared" ca="1" si="226"/>
        <v/>
      </c>
      <c r="AA456" s="316" t="str">
        <f t="shared" ca="1" si="227"/>
        <v/>
      </c>
      <c r="AC456" s="310" t="e">
        <f t="shared" ca="1" si="228"/>
        <v>#N/A</v>
      </c>
      <c r="AD456" s="323" t="e">
        <f t="shared" ca="1" si="229"/>
        <v>#N/A</v>
      </c>
      <c r="AE456" s="324" t="e">
        <f t="shared" ca="1" si="208"/>
        <v>#N/A</v>
      </c>
      <c r="AG456" s="306">
        <f t="shared" ca="1" si="230"/>
        <v>2.0564040463351931</v>
      </c>
      <c r="AH456" s="304">
        <f t="shared" ca="1" si="231"/>
        <v>-7.6860897549511806</v>
      </c>
    </row>
    <row r="457" spans="1:34" x14ac:dyDescent="0.2">
      <c r="A457" s="347">
        <f t="shared" ca="1" si="209"/>
        <v>0.1</v>
      </c>
      <c r="B457" s="304">
        <f t="shared" ca="1" si="210"/>
        <v>31.900000000000148</v>
      </c>
      <c r="D457" s="306">
        <f t="shared" ca="1" si="211"/>
        <v>-0.89580159175981167</v>
      </c>
      <c r="E457" s="307">
        <f t="shared" ca="1" si="212"/>
        <v>-2.1360861754552838</v>
      </c>
      <c r="F457" s="304">
        <f t="shared" ca="1" si="213"/>
        <v>2.3163170423693282</v>
      </c>
      <c r="G457" s="306">
        <f t="shared" ca="1" si="214"/>
        <v>11.250679051916652</v>
      </c>
      <c r="H457" s="307">
        <f t="shared" ca="1" si="215"/>
        <v>-97.360312457359385</v>
      </c>
      <c r="I457" s="304">
        <f t="shared" ca="1" si="216"/>
        <v>98.008204865326888</v>
      </c>
      <c r="J457" s="306">
        <f t="shared" ca="1" si="217"/>
        <v>789.88995270077737</v>
      </c>
      <c r="K457" s="307">
        <f t="shared" ca="1" si="218"/>
        <v>516.45648587766448</v>
      </c>
      <c r="L457" s="304">
        <f t="shared" ca="1" si="203"/>
        <v>943.74437173566366</v>
      </c>
      <c r="M457" s="306">
        <f t="shared" ca="1" si="219"/>
        <v>-1.4557494689351813</v>
      </c>
      <c r="N457" s="304">
        <f t="shared" ca="1" si="220"/>
        <v>-83.408300598396835</v>
      </c>
      <c r="P457" s="310">
        <f t="shared" ca="1" si="221"/>
        <v>23</v>
      </c>
      <c r="Q457" s="304">
        <f t="shared" ca="1" si="222"/>
        <v>0</v>
      </c>
      <c r="R457" s="306">
        <f t="shared" ca="1" si="223"/>
        <v>0</v>
      </c>
      <c r="S457" s="307">
        <f t="shared" ca="1" si="224"/>
        <v>2.9362999999999984</v>
      </c>
      <c r="T457" s="304">
        <f t="shared" ca="1" si="204"/>
        <v>28.805102999999985</v>
      </c>
      <c r="U457" s="311">
        <f t="shared" ca="1" si="205"/>
        <v>0</v>
      </c>
      <c r="V457" s="306">
        <f t="shared" ca="1" si="206"/>
        <v>1.1633266602948102</v>
      </c>
      <c r="W457" s="304">
        <f t="shared" ca="1" si="207"/>
        <v>22.801830432911782</v>
      </c>
      <c r="Y457" s="314" t="str">
        <f t="shared" ca="1" si="225"/>
        <v/>
      </c>
      <c r="Z457" s="315" t="str">
        <f t="shared" ca="1" si="226"/>
        <v/>
      </c>
      <c r="AA457" s="316" t="str">
        <f t="shared" ca="1" si="227"/>
        <v/>
      </c>
      <c r="AC457" s="310" t="e">
        <f t="shared" ca="1" si="228"/>
        <v>#N/A</v>
      </c>
      <c r="AD457" s="323" t="e">
        <f t="shared" ca="1" si="229"/>
        <v>#N/A</v>
      </c>
      <c r="AE457" s="324" t="e">
        <f t="shared" ca="1" si="208"/>
        <v>#N/A</v>
      </c>
      <c r="AG457" s="306">
        <f t="shared" ca="1" si="230"/>
        <v>2.0178147318574426</v>
      </c>
      <c r="AH457" s="304">
        <f t="shared" ca="1" si="231"/>
        <v>-7.7260218662865521</v>
      </c>
    </row>
    <row r="458" spans="1:34" x14ac:dyDescent="0.2">
      <c r="A458" s="347">
        <f t="shared" ca="1" si="209"/>
        <v>0.1</v>
      </c>
      <c r="B458" s="304">
        <f t="shared" ca="1" si="210"/>
        <v>32.000000000000149</v>
      </c>
      <c r="D458" s="306">
        <f t="shared" ca="1" si="211"/>
        <v>-0.89142659683271253</v>
      </c>
      <c r="E458" s="307">
        <f t="shared" ca="1" si="212"/>
        <v>-2.0958370059318288</v>
      </c>
      <c r="F458" s="304">
        <f t="shared" ca="1" si="213"/>
        <v>2.2775368565566714</v>
      </c>
      <c r="G458" s="306">
        <f t="shared" ca="1" si="214"/>
        <v>11.161536392233382</v>
      </c>
      <c r="H458" s="307">
        <f t="shared" ca="1" si="215"/>
        <v>-97.56989615795257</v>
      </c>
      <c r="I458" s="304">
        <f t="shared" ca="1" si="216"/>
        <v>98.206234684508686</v>
      </c>
      <c r="J458" s="306">
        <f t="shared" ca="1" si="217"/>
        <v>791.01056347298493</v>
      </c>
      <c r="K458" s="307">
        <f t="shared" ca="1" si="218"/>
        <v>506.70997544689885</v>
      </c>
      <c r="L458" s="304">
        <f t="shared" ca="1" si="203"/>
        <v>939.3895415338867</v>
      </c>
      <c r="M458" s="306">
        <f t="shared" ca="1" si="219"/>
        <v>-1.456896159775799</v>
      </c>
      <c r="N458" s="304">
        <f t="shared" ca="1" si="220"/>
        <v>-83.47400114397054</v>
      </c>
      <c r="P458" s="310">
        <f t="shared" ca="1" si="221"/>
        <v>23</v>
      </c>
      <c r="Q458" s="304">
        <f t="shared" ca="1" si="222"/>
        <v>0</v>
      </c>
      <c r="R458" s="306">
        <f t="shared" ca="1" si="223"/>
        <v>0</v>
      </c>
      <c r="S458" s="307">
        <f t="shared" ca="1" si="224"/>
        <v>2.9362999999999984</v>
      </c>
      <c r="T458" s="304">
        <f t="shared" ca="1" si="204"/>
        <v>28.805102999999985</v>
      </c>
      <c r="U458" s="311">
        <f t="shared" ca="1" si="205"/>
        <v>0</v>
      </c>
      <c r="V458" s="306">
        <f t="shared" ca="1" si="206"/>
        <v>1.164461793660158</v>
      </c>
      <c r="W458" s="304">
        <f t="shared" ca="1" si="207"/>
        <v>22.916406922326406</v>
      </c>
      <c r="Y458" s="314" t="str">
        <f t="shared" ca="1" si="225"/>
        <v/>
      </c>
      <c r="Z458" s="315" t="str">
        <f t="shared" ca="1" si="226"/>
        <v/>
      </c>
      <c r="AA458" s="316" t="str">
        <f t="shared" ca="1" si="227"/>
        <v/>
      </c>
      <c r="AC458" s="310">
        <f t="shared" ca="1" si="228"/>
        <v>32.000000000000149</v>
      </c>
      <c r="AD458" s="323">
        <f t="shared" ca="1" si="229"/>
        <v>791.01056347298493</v>
      </c>
      <c r="AE458" s="324" t="e">
        <f t="shared" ca="1" si="208"/>
        <v>#N/A</v>
      </c>
      <c r="AG458" s="306">
        <f t="shared" ca="1" si="230"/>
        <v>1.9796525350557985</v>
      </c>
      <c r="AH458" s="304">
        <f t="shared" ca="1" si="231"/>
        <v>-7.7654975421148364</v>
      </c>
    </row>
    <row r="459" spans="1:34" x14ac:dyDescent="0.2">
      <c r="A459" s="347">
        <f t="shared" ca="1" si="209"/>
        <v>0.1</v>
      </c>
      <c r="B459" s="304">
        <f t="shared" ca="1" si="210"/>
        <v>32.100000000000151</v>
      </c>
      <c r="D459" s="306">
        <f t="shared" ca="1" si="211"/>
        <v>-0.8870151135871055</v>
      </c>
      <c r="E459" s="307">
        <f t="shared" ca="1" si="212"/>
        <v>-2.0560520234964841</v>
      </c>
      <c r="F459" s="304">
        <f t="shared" ca="1" si="213"/>
        <v>2.2392288259702116</v>
      </c>
      <c r="G459" s="306">
        <f t="shared" ca="1" si="214"/>
        <v>11.072834880874671</v>
      </c>
      <c r="H459" s="307">
        <f t="shared" ca="1" si="215"/>
        <v>-97.775501360302215</v>
      </c>
      <c r="I459" s="304">
        <f t="shared" ca="1" si="216"/>
        <v>98.400489523973278</v>
      </c>
      <c r="J459" s="306">
        <f t="shared" ca="1" si="217"/>
        <v>792.12228203664029</v>
      </c>
      <c r="K459" s="307">
        <f t="shared" ca="1" si="218"/>
        <v>496.94270557098611</v>
      </c>
      <c r="L459" s="304">
        <f t="shared" ca="1" si="203"/>
        <v>935.09879815939576</v>
      </c>
      <c r="M459" s="306">
        <f t="shared" ca="1" si="219"/>
        <v>-1.4580292298275472</v>
      </c>
      <c r="N459" s="304">
        <f t="shared" ca="1" si="220"/>
        <v>-83.538921275828372</v>
      </c>
      <c r="P459" s="310">
        <f t="shared" ca="1" si="221"/>
        <v>23</v>
      </c>
      <c r="Q459" s="304">
        <f t="shared" ca="1" si="222"/>
        <v>0</v>
      </c>
      <c r="R459" s="306">
        <f t="shared" ca="1" si="223"/>
        <v>0</v>
      </c>
      <c r="S459" s="307">
        <f t="shared" ca="1" si="224"/>
        <v>2.9362999999999984</v>
      </c>
      <c r="T459" s="304">
        <f t="shared" ca="1" si="204"/>
        <v>28.805102999999985</v>
      </c>
      <c r="U459" s="311">
        <f t="shared" ca="1" si="205"/>
        <v>0</v>
      </c>
      <c r="V459" s="306">
        <f t="shared" ca="1" si="206"/>
        <v>1.1656004277741383</v>
      </c>
      <c r="W459" s="304">
        <f t="shared" ca="1" si="207"/>
        <v>23.029652105869179</v>
      </c>
      <c r="Y459" s="314" t="str">
        <f t="shared" ca="1" si="225"/>
        <v/>
      </c>
      <c r="Z459" s="315" t="str">
        <f t="shared" ca="1" si="226"/>
        <v/>
      </c>
      <c r="AA459" s="316" t="str">
        <f t="shared" ca="1" si="227"/>
        <v/>
      </c>
      <c r="AC459" s="310" t="e">
        <f t="shared" ca="1" si="228"/>
        <v>#N/A</v>
      </c>
      <c r="AD459" s="323" t="e">
        <f t="shared" ca="1" si="229"/>
        <v>#N/A</v>
      </c>
      <c r="AE459" s="324" t="e">
        <f t="shared" ca="1" si="208"/>
        <v>#N/A</v>
      </c>
      <c r="AG459" s="306">
        <f t="shared" ca="1" si="230"/>
        <v>1.941916738481976</v>
      </c>
      <c r="AH459" s="304">
        <f t="shared" ca="1" si="231"/>
        <v>-7.8045182448409287</v>
      </c>
    </row>
    <row r="460" spans="1:34" x14ac:dyDescent="0.2">
      <c r="A460" s="347">
        <f t="shared" ca="1" si="209"/>
        <v>0.1</v>
      </c>
      <c r="B460" s="304">
        <f t="shared" ca="1" si="210"/>
        <v>32.200000000000152</v>
      </c>
      <c r="D460" s="306">
        <f t="shared" ca="1" si="211"/>
        <v>-0.88256869139807881</v>
      </c>
      <c r="E460" s="307">
        <f t="shared" ca="1" si="212"/>
        <v>-2.0167296031478088</v>
      </c>
      <c r="F460" s="304">
        <f t="shared" ca="1" si="213"/>
        <v>2.2013917841331279</v>
      </c>
      <c r="G460" s="306">
        <f t="shared" ca="1" si="214"/>
        <v>10.984578011734863</v>
      </c>
      <c r="H460" s="307">
        <f t="shared" ca="1" si="215"/>
        <v>-97.977174320616996</v>
      </c>
      <c r="I460" s="304">
        <f t="shared" ca="1" si="216"/>
        <v>98.591011973447451</v>
      </c>
      <c r="J460" s="306">
        <f t="shared" ca="1" si="217"/>
        <v>793.22515268127074</v>
      </c>
      <c r="K460" s="307">
        <f t="shared" ca="1" si="218"/>
        <v>487.15507178694014</v>
      </c>
      <c r="L460" s="304">
        <f t="shared" ca="1" si="203"/>
        <v>930.87389415213704</v>
      </c>
      <c r="M460" s="306">
        <f t="shared" ca="1" si="219"/>
        <v>-1.4591489083262479</v>
      </c>
      <c r="N460" s="304">
        <f t="shared" ca="1" si="220"/>
        <v>-83.603074128215468</v>
      </c>
      <c r="P460" s="310">
        <f t="shared" ca="1" si="221"/>
        <v>23</v>
      </c>
      <c r="Q460" s="304">
        <f t="shared" ca="1" si="222"/>
        <v>0</v>
      </c>
      <c r="R460" s="306">
        <f t="shared" ca="1" si="223"/>
        <v>0</v>
      </c>
      <c r="S460" s="307">
        <f t="shared" ca="1" si="224"/>
        <v>2.9362999999999984</v>
      </c>
      <c r="T460" s="304">
        <f t="shared" ca="1" si="204"/>
        <v>28.805102999999985</v>
      </c>
      <c r="U460" s="311">
        <f t="shared" ca="1" si="205"/>
        <v>0</v>
      </c>
      <c r="V460" s="306">
        <f t="shared" ca="1" si="206"/>
        <v>1.1667425249286261</v>
      </c>
      <c r="W460" s="304">
        <f t="shared" ca="1" si="207"/>
        <v>23.141570940851953</v>
      </c>
      <c r="Y460" s="314" t="str">
        <f t="shared" ca="1" si="225"/>
        <v/>
      </c>
      <c r="Z460" s="315" t="str">
        <f t="shared" ca="1" si="226"/>
        <v/>
      </c>
      <c r="AA460" s="316" t="str">
        <f t="shared" ca="1" si="227"/>
        <v/>
      </c>
      <c r="AC460" s="310" t="e">
        <f t="shared" ca="1" si="228"/>
        <v>#N/A</v>
      </c>
      <c r="AD460" s="323" t="e">
        <f t="shared" ca="1" si="229"/>
        <v>#N/A</v>
      </c>
      <c r="AE460" s="324" t="e">
        <f t="shared" ca="1" si="208"/>
        <v>#N/A</v>
      </c>
      <c r="AG460" s="306">
        <f t="shared" ca="1" si="230"/>
        <v>1.9046064869362267</v>
      </c>
      <c r="AH460" s="304">
        <f t="shared" ca="1" si="231"/>
        <v>-7.8430855518404767</v>
      </c>
    </row>
    <row r="461" spans="1:34" x14ac:dyDescent="0.2">
      <c r="A461" s="347">
        <f t="shared" ca="1" si="209"/>
        <v>0.1</v>
      </c>
      <c r="B461" s="304">
        <f t="shared" ca="1" si="210"/>
        <v>32.300000000000153</v>
      </c>
      <c r="D461" s="306">
        <f t="shared" ca="1" si="211"/>
        <v>-0.87808885557467375</v>
      </c>
      <c r="E461" s="307">
        <f t="shared" ca="1" si="212"/>
        <v>-1.9778680073351964</v>
      </c>
      <c r="F461" s="304">
        <f t="shared" ca="1" si="213"/>
        <v>2.1640244667573749</v>
      </c>
      <c r="G461" s="306">
        <f t="shared" ca="1" si="214"/>
        <v>10.896769126177395</v>
      </c>
      <c r="H461" s="307">
        <f t="shared" ca="1" si="215"/>
        <v>-98.17496112135052</v>
      </c>
      <c r="I461" s="304">
        <f t="shared" ca="1" si="216"/>
        <v>98.777844522787092</v>
      </c>
      <c r="J461" s="306">
        <f t="shared" ca="1" si="217"/>
        <v>794.31922003816635</v>
      </c>
      <c r="K461" s="307">
        <f t="shared" ca="1" si="218"/>
        <v>477.34746501484176</v>
      </c>
      <c r="L461" s="304">
        <f t="shared" ca="1" si="203"/>
        <v>926.71658325409089</v>
      </c>
      <c r="M461" s="306">
        <f t="shared" ca="1" si="219"/>
        <v>-1.4602554189911652</v>
      </c>
      <c r="N461" s="304">
        <f t="shared" ca="1" si="220"/>
        <v>-83.66647251930145</v>
      </c>
      <c r="P461" s="310">
        <f t="shared" ca="1" si="221"/>
        <v>23</v>
      </c>
      <c r="Q461" s="304">
        <f t="shared" ca="1" si="222"/>
        <v>0</v>
      </c>
      <c r="R461" s="306">
        <f t="shared" ca="1" si="223"/>
        <v>0</v>
      </c>
      <c r="S461" s="307">
        <f t="shared" ca="1" si="224"/>
        <v>2.9362999999999984</v>
      </c>
      <c r="T461" s="304">
        <f t="shared" ca="1" si="204"/>
        <v>28.805102999999985</v>
      </c>
      <c r="U461" s="311">
        <f t="shared" ca="1" si="205"/>
        <v>0</v>
      </c>
      <c r="V461" s="306">
        <f t="shared" ca="1" si="206"/>
        <v>1.1678880478155469</v>
      </c>
      <c r="W461" s="304">
        <f t="shared" ca="1" si="207"/>
        <v>23.252168698500913</v>
      </c>
      <c r="Y461" s="314" t="str">
        <f t="shared" ca="1" si="225"/>
        <v/>
      </c>
      <c r="Z461" s="315" t="str">
        <f t="shared" ca="1" si="226"/>
        <v/>
      </c>
      <c r="AA461" s="316" t="str">
        <f t="shared" ca="1" si="227"/>
        <v/>
      </c>
      <c r="AC461" s="310" t="e">
        <f t="shared" ca="1" si="228"/>
        <v>#N/A</v>
      </c>
      <c r="AD461" s="323" t="e">
        <f t="shared" ca="1" si="229"/>
        <v>#N/A</v>
      </c>
      <c r="AE461" s="324" t="e">
        <f t="shared" ca="1" si="208"/>
        <v>#N/A</v>
      </c>
      <c r="AG461" s="306">
        <f t="shared" ca="1" si="230"/>
        <v>1.8677207923593437</v>
      </c>
      <c r="AH461" s="304">
        <f t="shared" ca="1" si="231"/>
        <v>-7.8812011513986873</v>
      </c>
    </row>
    <row r="462" spans="1:34" x14ac:dyDescent="0.2">
      <c r="A462" s="347">
        <f t="shared" ca="1" si="209"/>
        <v>0.1</v>
      </c>
      <c r="B462" s="304">
        <f t="shared" ca="1" si="210"/>
        <v>32.400000000000155</v>
      </c>
      <c r="D462" s="306">
        <f t="shared" ca="1" si="211"/>
        <v>-0.8735771072879277</v>
      </c>
      <c r="E462" s="307">
        <f t="shared" ca="1" si="212"/>
        <v>-1.9394653900242682</v>
      </c>
      <c r="F462" s="304">
        <f t="shared" ca="1" si="213"/>
        <v>2.1271255161554361</v>
      </c>
      <c r="G462" s="306">
        <f t="shared" ca="1" si="214"/>
        <v>10.809411415448603</v>
      </c>
      <c r="H462" s="307">
        <f t="shared" ca="1" si="215"/>
        <v>-98.368907660352946</v>
      </c>
      <c r="I462" s="304">
        <f t="shared" ca="1" si="216"/>
        <v>98.961029549209286</v>
      </c>
      <c r="J462" s="306">
        <f t="shared" ca="1" si="217"/>
        <v>795.40452906524763</v>
      </c>
      <c r="K462" s="307">
        <f t="shared" ca="1" si="218"/>
        <v>467.52027157575657</v>
      </c>
      <c r="L462" s="304">
        <f t="shared" ca="1" si="203"/>
        <v>922.62861932186854</v>
      </c>
      <c r="M462" s="306">
        <f t="shared" ca="1" si="219"/>
        <v>-1.4613489801927824</v>
      </c>
      <c r="N462" s="304">
        <f t="shared" ca="1" si="220"/>
        <v>-83.729128960793361</v>
      </c>
      <c r="P462" s="310">
        <f t="shared" ca="1" si="221"/>
        <v>23</v>
      </c>
      <c r="Q462" s="304">
        <f t="shared" ca="1" si="222"/>
        <v>0</v>
      </c>
      <c r="R462" s="306">
        <f t="shared" ca="1" si="223"/>
        <v>0</v>
      </c>
      <c r="S462" s="307">
        <f t="shared" ca="1" si="224"/>
        <v>2.9362999999999984</v>
      </c>
      <c r="T462" s="304">
        <f t="shared" ca="1" si="204"/>
        <v>28.805102999999985</v>
      </c>
      <c r="U462" s="311">
        <f t="shared" ca="1" si="205"/>
        <v>0</v>
      </c>
      <c r="V462" s="306">
        <f t="shared" ca="1" si="206"/>
        <v>1.1690369595260006</v>
      </c>
      <c r="W462" s="304">
        <f t="shared" ca="1" si="207"/>
        <v>23.361450952386225</v>
      </c>
      <c r="Y462" s="314" t="str">
        <f t="shared" ca="1" si="225"/>
        <v/>
      </c>
      <c r="Z462" s="315" t="str">
        <f t="shared" ca="1" si="226"/>
        <v/>
      </c>
      <c r="AA462" s="316" t="str">
        <f t="shared" ca="1" si="227"/>
        <v/>
      </c>
      <c r="AC462" s="310" t="e">
        <f t="shared" ca="1" si="228"/>
        <v>#N/A</v>
      </c>
      <c r="AD462" s="323" t="e">
        <f t="shared" ca="1" si="229"/>
        <v>#N/A</v>
      </c>
      <c r="AE462" s="324" t="e">
        <f t="shared" ca="1" si="208"/>
        <v>#N/A</v>
      </c>
      <c r="AG462" s="306">
        <f t="shared" ca="1" si="230"/>
        <v>1.8312585386298643</v>
      </c>
      <c r="AH462" s="304">
        <f t="shared" ca="1" si="231"/>
        <v>-7.9188668387088939</v>
      </c>
    </row>
    <row r="463" spans="1:34" x14ac:dyDescent="0.2">
      <c r="A463" s="347">
        <f t="shared" ca="1" si="209"/>
        <v>0.1</v>
      </c>
      <c r="B463" s="304">
        <f t="shared" ca="1" si="210"/>
        <v>32.500000000000156</v>
      </c>
      <c r="D463" s="306">
        <f t="shared" ca="1" si="211"/>
        <v>-0.86903492351792988</v>
      </c>
      <c r="E463" s="307">
        <f t="shared" ca="1" si="212"/>
        <v>-1.9015198007005107</v>
      </c>
      <c r="F463" s="304">
        <f t="shared" ca="1" si="213"/>
        <v>2.0906934856046986</v>
      </c>
      <c r="G463" s="306">
        <f t="shared" ca="1" si="214"/>
        <v>10.72250792309681</v>
      </c>
      <c r="H463" s="307">
        <f t="shared" ca="1" si="215"/>
        <v>-98.559059640423001</v>
      </c>
      <c r="I463" s="304">
        <f t="shared" ca="1" si="216"/>
        <v>99.140609304993333</v>
      </c>
      <c r="J463" s="306">
        <f t="shared" ca="1" si="217"/>
        <v>796.48112503217487</v>
      </c>
      <c r="K463" s="307">
        <f t="shared" ca="1" si="218"/>
        <v>457.67387321071777</v>
      </c>
      <c r="L463" s="304">
        <f t="shared" ca="1" si="203"/>
        <v>918.61175517855156</v>
      </c>
      <c r="M463" s="306">
        <f t="shared" ca="1" si="219"/>
        <v>-1.4624298051146034</v>
      </c>
      <c r="N463" s="304">
        <f t="shared" ca="1" si="220"/>
        <v>-83.791055667206265</v>
      </c>
      <c r="P463" s="310">
        <f t="shared" ca="1" si="221"/>
        <v>23</v>
      </c>
      <c r="Q463" s="304">
        <f t="shared" ca="1" si="222"/>
        <v>0</v>
      </c>
      <c r="R463" s="306">
        <f t="shared" ca="1" si="223"/>
        <v>0</v>
      </c>
      <c r="S463" s="307">
        <f t="shared" ca="1" si="224"/>
        <v>2.9362999999999984</v>
      </c>
      <c r="T463" s="304">
        <f t="shared" ca="1" si="204"/>
        <v>28.805102999999985</v>
      </c>
      <c r="U463" s="311">
        <f t="shared" ca="1" si="205"/>
        <v>0</v>
      </c>
      <c r="V463" s="306">
        <f t="shared" ca="1" si="206"/>
        <v>1.1701892235492812</v>
      </c>
      <c r="W463" s="304">
        <f t="shared" ca="1" si="207"/>
        <v>23.469423567034397</v>
      </c>
      <c r="Y463" s="314" t="str">
        <f t="shared" ca="1" si="225"/>
        <v/>
      </c>
      <c r="Z463" s="315" t="str">
        <f t="shared" ca="1" si="226"/>
        <v/>
      </c>
      <c r="AA463" s="316" t="str">
        <f t="shared" ca="1" si="227"/>
        <v/>
      </c>
      <c r="AC463" s="310" t="e">
        <f t="shared" ca="1" si="228"/>
        <v>#N/A</v>
      </c>
      <c r="AD463" s="323" t="e">
        <f t="shared" ca="1" si="229"/>
        <v>#N/A</v>
      </c>
      <c r="AE463" s="324" t="e">
        <f t="shared" ca="1" si="208"/>
        <v>#N/A</v>
      </c>
      <c r="AG463" s="306">
        <f t="shared" ca="1" si="230"/>
        <v>1.7952184862668759</v>
      </c>
      <c r="AH463" s="304">
        <f t="shared" ca="1" si="231"/>
        <v>-7.9560845119321044</v>
      </c>
    </row>
    <row r="464" spans="1:34" x14ac:dyDescent="0.2">
      <c r="A464" s="347">
        <f t="shared" ca="1" si="209"/>
        <v>0.1</v>
      </c>
      <c r="B464" s="304">
        <f t="shared" ca="1" si="210"/>
        <v>32.600000000000158</v>
      </c>
      <c r="D464" s="306">
        <f t="shared" ca="1" si="211"/>
        <v>-0.86446375701924094</v>
      </c>
      <c r="E464" s="307">
        <f t="shared" ca="1" si="212"/>
        <v>-1.8640291883098632</v>
      </c>
      <c r="F464" s="304">
        <f t="shared" ca="1" si="213"/>
        <v>2.0547268436633974</v>
      </c>
      <c r="G464" s="306">
        <f t="shared" ca="1" si="214"/>
        <v>10.636061547394887</v>
      </c>
      <c r="H464" s="307">
        <f t="shared" ca="1" si="215"/>
        <v>-98.745462559253994</v>
      </c>
      <c r="I464" s="304">
        <f t="shared" ca="1" si="216"/>
        <v>99.316625905640805</v>
      </c>
      <c r="J464" s="306">
        <f t="shared" ca="1" si="217"/>
        <v>797.54905350569948</v>
      </c>
      <c r="K464" s="307">
        <f t="shared" ca="1" si="218"/>
        <v>447.80864710073394</v>
      </c>
      <c r="L464" s="304">
        <f t="shared" ca="1" si="203"/>
        <v>914.66774140450957</v>
      </c>
      <c r="M464" s="306">
        <f t="shared" ca="1" si="219"/>
        <v>-1.4634981019092255</v>
      </c>
      <c r="N464" s="304">
        <f t="shared" ca="1" si="220"/>
        <v>-83.852264564805466</v>
      </c>
      <c r="P464" s="310">
        <f t="shared" ca="1" si="221"/>
        <v>23</v>
      </c>
      <c r="Q464" s="304">
        <f t="shared" ca="1" si="222"/>
        <v>0</v>
      </c>
      <c r="R464" s="306">
        <f t="shared" ca="1" si="223"/>
        <v>0</v>
      </c>
      <c r="S464" s="307">
        <f t="shared" ca="1" si="224"/>
        <v>2.9362999999999984</v>
      </c>
      <c r="T464" s="304">
        <f t="shared" ca="1" si="204"/>
        <v>28.805102999999985</v>
      </c>
      <c r="U464" s="311">
        <f t="shared" ca="1" si="205"/>
        <v>0</v>
      </c>
      <c r="V464" s="306">
        <f t="shared" ca="1" si="206"/>
        <v>1.1713448037718039</v>
      </c>
      <c r="W464" s="304">
        <f t="shared" ca="1" si="207"/>
        <v>23.576092686726128</v>
      </c>
      <c r="Y464" s="314" t="str">
        <f t="shared" ca="1" si="225"/>
        <v/>
      </c>
      <c r="Z464" s="315" t="str">
        <f t="shared" ca="1" si="226"/>
        <v/>
      </c>
      <c r="AA464" s="316" t="str">
        <f t="shared" ca="1" si="227"/>
        <v/>
      </c>
      <c r="AC464" s="310" t="e">
        <f t="shared" ca="1" si="228"/>
        <v>#N/A</v>
      </c>
      <c r="AD464" s="323" t="e">
        <f t="shared" ca="1" si="229"/>
        <v>#N/A</v>
      </c>
      <c r="AE464" s="324" t="e">
        <f t="shared" ca="1" si="208"/>
        <v>#N/A</v>
      </c>
      <c r="AG464" s="306">
        <f t="shared" ca="1" si="230"/>
        <v>1.7595992770387987</v>
      </c>
      <c r="AH464" s="304">
        <f t="shared" ca="1" si="231"/>
        <v>-7.992856168318772</v>
      </c>
    </row>
    <row r="465" spans="1:34" x14ac:dyDescent="0.2">
      <c r="A465" s="347">
        <f t="shared" ca="1" si="209"/>
        <v>0.1</v>
      </c>
      <c r="B465" s="304">
        <f t="shared" ca="1" si="210"/>
        <v>32.700000000000159</v>
      </c>
      <c r="D465" s="306">
        <f t="shared" ca="1" si="211"/>
        <v>-0.85986503630395406</v>
      </c>
      <c r="E465" s="307">
        <f t="shared" ca="1" si="212"/>
        <v>-1.826991405135276</v>
      </c>
      <c r="F465" s="304">
        <f t="shared" ca="1" si="213"/>
        <v>2.0192239784373029</v>
      </c>
      <c r="G465" s="306">
        <f t="shared" ca="1" si="214"/>
        <v>10.55007504376449</v>
      </c>
      <c r="H465" s="307">
        <f t="shared" ca="1" si="215"/>
        <v>-98.928161699767529</v>
      </c>
      <c r="I465" s="304">
        <f t="shared" ca="1" si="216"/>
        <v>99.489121318485928</v>
      </c>
      <c r="J465" s="306">
        <f t="shared" ca="1" si="217"/>
        <v>798.60836033525743</v>
      </c>
      <c r="K465" s="307">
        <f t="shared" ca="1" si="218"/>
        <v>437.92496588778283</v>
      </c>
      <c r="L465" s="304">
        <f t="shared" ca="1" si="203"/>
        <v>910.79832506718196</v>
      </c>
      <c r="M465" s="306">
        <f t="shared" ca="1" si="219"/>
        <v>-1.4645540738489136</v>
      </c>
      <c r="N465" s="304">
        <f t="shared" ca="1" si="220"/>
        <v>-83.912767300233838</v>
      </c>
      <c r="P465" s="310">
        <f t="shared" ca="1" si="221"/>
        <v>23</v>
      </c>
      <c r="Q465" s="304">
        <f t="shared" ca="1" si="222"/>
        <v>0</v>
      </c>
      <c r="R465" s="306">
        <f t="shared" ca="1" si="223"/>
        <v>0</v>
      </c>
      <c r="S465" s="307">
        <f t="shared" ca="1" si="224"/>
        <v>2.9362999999999984</v>
      </c>
      <c r="T465" s="304">
        <f t="shared" ca="1" si="204"/>
        <v>28.805102999999985</v>
      </c>
      <c r="U465" s="311">
        <f t="shared" ca="1" si="205"/>
        <v>0</v>
      </c>
      <c r="V465" s="306">
        <f t="shared" ca="1" si="206"/>
        <v>1.1725036644759275</v>
      </c>
      <c r="W465" s="304">
        <f t="shared" ca="1" si="207"/>
        <v>23.681464724482385</v>
      </c>
      <c r="Y465" s="314" t="str">
        <f t="shared" ca="1" si="225"/>
        <v/>
      </c>
      <c r="Z465" s="315" t="str">
        <f t="shared" ca="1" si="226"/>
        <v/>
      </c>
      <c r="AA465" s="316" t="str">
        <f t="shared" ca="1" si="227"/>
        <v/>
      </c>
      <c r="AC465" s="310" t="e">
        <f t="shared" ca="1" si="228"/>
        <v>#N/A</v>
      </c>
      <c r="AD465" s="323" t="e">
        <f t="shared" ca="1" si="229"/>
        <v>#N/A</v>
      </c>
      <c r="AE465" s="324" t="e">
        <f t="shared" ca="1" si="208"/>
        <v>#N/A</v>
      </c>
      <c r="AG465" s="306">
        <f t="shared" ca="1" si="230"/>
        <v>1.7243994384786632</v>
      </c>
      <c r="AH465" s="304">
        <f t="shared" ca="1" si="231"/>
        <v>-8.0291839003937415</v>
      </c>
    </row>
    <row r="466" spans="1:34" x14ac:dyDescent="0.2">
      <c r="A466" s="347">
        <f t="shared" ca="1" si="209"/>
        <v>0.1</v>
      </c>
      <c r="B466" s="304">
        <f t="shared" ca="1" si="210"/>
        <v>32.800000000000161</v>
      </c>
      <c r="D466" s="306">
        <f t="shared" ca="1" si="211"/>
        <v>-0.85524016564172378</v>
      </c>
      <c r="E466" s="307">
        <f t="shared" ca="1" si="212"/>
        <v>-1.7904042106082798</v>
      </c>
      <c r="F466" s="304">
        <f t="shared" ca="1" si="213"/>
        <v>1.9841832017963312</v>
      </c>
      <c r="G466" s="306">
        <f t="shared" ca="1" si="214"/>
        <v>10.464551027200319</v>
      </c>
      <c r="H466" s="307">
        <f t="shared" ca="1" si="215"/>
        <v>-99.107202120828362</v>
      </c>
      <c r="I466" s="304">
        <f t="shared" ca="1" si="216"/>
        <v>99.658137351746674</v>
      </c>
      <c r="J466" s="306">
        <f t="shared" ca="1" si="217"/>
        <v>799.65909163880565</v>
      </c>
      <c r="K466" s="307">
        <f t="shared" ca="1" si="218"/>
        <v>428.02319769675302</v>
      </c>
      <c r="L466" s="304">
        <f t="shared" ca="1" si="203"/>
        <v>907.00524839008153</v>
      </c>
      <c r="M466" s="306">
        <f t="shared" ca="1" si="219"/>
        <v>-1.4655979194708968</v>
      </c>
      <c r="N466" s="304">
        <f t="shared" ca="1" si="220"/>
        <v>-83.972575248836691</v>
      </c>
      <c r="P466" s="310">
        <f t="shared" ca="1" si="221"/>
        <v>23</v>
      </c>
      <c r="Q466" s="304">
        <f t="shared" ca="1" si="222"/>
        <v>0</v>
      </c>
      <c r="R466" s="306">
        <f t="shared" ca="1" si="223"/>
        <v>0</v>
      </c>
      <c r="S466" s="307">
        <f t="shared" ca="1" si="224"/>
        <v>2.9362999999999984</v>
      </c>
      <c r="T466" s="304">
        <f t="shared" ca="1" si="204"/>
        <v>28.805102999999985</v>
      </c>
      <c r="U466" s="311">
        <f t="shared" ca="1" si="205"/>
        <v>0</v>
      </c>
      <c r="V466" s="306">
        <f t="shared" ca="1" si="206"/>
        <v>1.1736657703386946</v>
      </c>
      <c r="W466" s="304">
        <f t="shared" ca="1" si="207"/>
        <v>23.785546351241326</v>
      </c>
      <c r="Y466" s="314" t="str">
        <f t="shared" ca="1" si="225"/>
        <v/>
      </c>
      <c r="Z466" s="315" t="str">
        <f t="shared" ca="1" si="226"/>
        <v/>
      </c>
      <c r="AA466" s="316" t="str">
        <f t="shared" ca="1" si="227"/>
        <v/>
      </c>
      <c r="AC466" s="310" t="e">
        <f t="shared" ca="1" si="228"/>
        <v>#N/A</v>
      </c>
      <c r="AD466" s="323" t="e">
        <f t="shared" ca="1" si="229"/>
        <v>#N/A</v>
      </c>
      <c r="AE466" s="324" t="e">
        <f t="shared" ca="1" si="208"/>
        <v>#N/A</v>
      </c>
      <c r="AG466" s="306">
        <f t="shared" ca="1" si="230"/>
        <v>1.6896173883064005</v>
      </c>
      <c r="AH466" s="304">
        <f t="shared" ca="1" si="231"/>
        <v>-8.0650698922052921</v>
      </c>
    </row>
    <row r="467" spans="1:34" x14ac:dyDescent="0.2">
      <c r="A467" s="347">
        <f t="shared" ca="1" si="209"/>
        <v>0.1</v>
      </c>
      <c r="B467" s="304">
        <f t="shared" ca="1" si="210"/>
        <v>32.900000000000162</v>
      </c>
      <c r="D467" s="306">
        <f t="shared" ca="1" si="211"/>
        <v>-0.85059052507611876</v>
      </c>
      <c r="E467" s="307">
        <f t="shared" ca="1" si="212"/>
        <v>-1.7542652750546317</v>
      </c>
      <c r="F467" s="304">
        <f t="shared" ca="1" si="213"/>
        <v>1.9496027535402616</v>
      </c>
      <c r="G467" s="306">
        <f t="shared" ca="1" si="214"/>
        <v>10.379491974692707</v>
      </c>
      <c r="H467" s="307">
        <f t="shared" ca="1" si="215"/>
        <v>-99.282628648333827</v>
      </c>
      <c r="I467" s="304">
        <f t="shared" ca="1" si="216"/>
        <v>99.823715644007493</v>
      </c>
      <c r="J467" s="306">
        <f t="shared" ca="1" si="217"/>
        <v>800.70129378890033</v>
      </c>
      <c r="K467" s="307">
        <f t="shared" ca="1" si="218"/>
        <v>418.10370615829493</v>
      </c>
      <c r="L467" s="304">
        <f t="shared" ca="1" si="203"/>
        <v>903.29024736156691</v>
      </c>
      <c r="M467" s="306">
        <f t="shared" ca="1" si="219"/>
        <v>-1.4666298327176006</v>
      </c>
      <c r="N467" s="304">
        <f t="shared" ca="1" si="220"/>
        <v>-84.031699522696456</v>
      </c>
      <c r="P467" s="310">
        <f t="shared" ca="1" si="221"/>
        <v>23</v>
      </c>
      <c r="Q467" s="304">
        <f t="shared" ca="1" si="222"/>
        <v>0</v>
      </c>
      <c r="R467" s="306">
        <f t="shared" ca="1" si="223"/>
        <v>0</v>
      </c>
      <c r="S467" s="307">
        <f t="shared" ca="1" si="224"/>
        <v>2.9362999999999984</v>
      </c>
      <c r="T467" s="304">
        <f t="shared" ca="1" si="204"/>
        <v>28.805102999999985</v>
      </c>
      <c r="U467" s="311">
        <f t="shared" ca="1" si="205"/>
        <v>0</v>
      </c>
      <c r="V467" s="306">
        <f t="shared" ca="1" si="206"/>
        <v>1.1748310864304767</v>
      </c>
      <c r="W467" s="304">
        <f t="shared" ca="1" si="207"/>
        <v>23.888344485227829</v>
      </c>
      <c r="Y467" s="314" t="str">
        <f t="shared" ca="1" si="225"/>
        <v/>
      </c>
      <c r="Z467" s="315" t="str">
        <f t="shared" ca="1" si="226"/>
        <v/>
      </c>
      <c r="AA467" s="316" t="str">
        <f t="shared" ca="1" si="227"/>
        <v/>
      </c>
      <c r="AC467" s="310" t="e">
        <f t="shared" ca="1" si="228"/>
        <v>#N/A</v>
      </c>
      <c r="AD467" s="323" t="e">
        <f t="shared" ca="1" si="229"/>
        <v>#N/A</v>
      </c>
      <c r="AE467" s="324" t="e">
        <f t="shared" ca="1" si="208"/>
        <v>#N/A</v>
      </c>
      <c r="AG467" s="306">
        <f t="shared" ca="1" si="230"/>
        <v>1.6552514387585688</v>
      </c>
      <c r="AH467" s="304">
        <f t="shared" ca="1" si="231"/>
        <v>-8.1005164156391842</v>
      </c>
    </row>
    <row r="468" spans="1:34" x14ac:dyDescent="0.2">
      <c r="A468" s="347">
        <f t="shared" ca="1" si="209"/>
        <v>0.1</v>
      </c>
      <c r="B468" s="304">
        <f t="shared" ca="1" si="210"/>
        <v>33.000000000000163</v>
      </c>
      <c r="D468" s="306">
        <f t="shared" ca="1" si="211"/>
        <v>-0.84591747045660426</v>
      </c>
      <c r="E468" s="307">
        <f t="shared" ca="1" si="212"/>
        <v>-1.7185721833734178</v>
      </c>
      <c r="F468" s="304">
        <f t="shared" ca="1" si="213"/>
        <v>1.9154808055129595</v>
      </c>
      <c r="G468" s="306">
        <f t="shared" ca="1" si="214"/>
        <v>10.294900227647046</v>
      </c>
      <c r="H468" s="307">
        <f t="shared" ca="1" si="215"/>
        <v>-99.454485866671163</v>
      </c>
      <c r="I468" s="304">
        <f t="shared" ca="1" si="216"/>
        <v>99.985897654124713</v>
      </c>
      <c r="J468" s="306">
        <f t="shared" ca="1" si="217"/>
        <v>801.73501339901736</v>
      </c>
      <c r="K468" s="307">
        <f t="shared" ca="1" si="218"/>
        <v>408.16685043254466</v>
      </c>
      <c r="L468" s="304">
        <f t="shared" ca="1" si="203"/>
        <v>899.65505028424411</v>
      </c>
      <c r="M468" s="306">
        <f t="shared" ca="1" si="219"/>
        <v>-1.4676500030720123</v>
      </c>
      <c r="N468" s="304">
        <f t="shared" ca="1" si="220"/>
        <v>-84.090150978388607</v>
      </c>
      <c r="P468" s="310">
        <f t="shared" ca="1" si="221"/>
        <v>23</v>
      </c>
      <c r="Q468" s="304">
        <f t="shared" ca="1" si="222"/>
        <v>0</v>
      </c>
      <c r="R468" s="306">
        <f t="shared" ca="1" si="223"/>
        <v>0</v>
      </c>
      <c r="S468" s="307">
        <f t="shared" ca="1" si="224"/>
        <v>2.9362999999999984</v>
      </c>
      <c r="T468" s="304">
        <f t="shared" ca="1" si="204"/>
        <v>28.805102999999985</v>
      </c>
      <c r="U468" s="311">
        <f t="shared" ca="1" si="205"/>
        <v>0</v>
      </c>
      <c r="V468" s="306">
        <f t="shared" ca="1" si="206"/>
        <v>1.1759995782135355</v>
      </c>
      <c r="W468" s="304">
        <f t="shared" ca="1" si="207"/>
        <v>23.989866281517639</v>
      </c>
      <c r="Y468" s="314" t="str">
        <f t="shared" ca="1" si="225"/>
        <v/>
      </c>
      <c r="Z468" s="315" t="str">
        <f t="shared" ca="1" si="226"/>
        <v/>
      </c>
      <c r="AA468" s="316" t="str">
        <f t="shared" ca="1" si="227"/>
        <v/>
      </c>
      <c r="AC468" s="310">
        <f t="shared" ca="1" si="228"/>
        <v>33.000000000000163</v>
      </c>
      <c r="AD468" s="323">
        <f t="shared" ca="1" si="229"/>
        <v>801.73501339901736</v>
      </c>
      <c r="AE468" s="324" t="e">
        <f t="shared" ca="1" si="208"/>
        <v>#N/A</v>
      </c>
      <c r="AG468" s="306">
        <f t="shared" ca="1" si="230"/>
        <v>1.62129980082622</v>
      </c>
      <c r="AH468" s="304">
        <f t="shared" ca="1" si="231"/>
        <v>-8.1355258267982986</v>
      </c>
    </row>
    <row r="469" spans="1:34" x14ac:dyDescent="0.2">
      <c r="A469" s="347">
        <f t="shared" ca="1" si="209"/>
        <v>0.1</v>
      </c>
      <c r="B469" s="304">
        <f t="shared" ca="1" si="210"/>
        <v>33.100000000000165</v>
      </c>
      <c r="D469" s="306">
        <f t="shared" ca="1" si="211"/>
        <v>-0.84122233348555497</v>
      </c>
      <c r="E469" s="307">
        <f t="shared" ca="1" si="212"/>
        <v>-1.6833224386489238</v>
      </c>
      <c r="F469" s="304">
        <f t="shared" ca="1" si="213"/>
        <v>1.8818154656644319</v>
      </c>
      <c r="G469" s="306">
        <f t="shared" ca="1" si="214"/>
        <v>10.210777994298491</v>
      </c>
      <c r="H469" s="307">
        <f t="shared" ca="1" si="215"/>
        <v>-99.622818110536059</v>
      </c>
      <c r="I469" s="304">
        <f t="shared" ca="1" si="216"/>
        <v>100.14472465154518</v>
      </c>
      <c r="J469" s="306">
        <f t="shared" ca="1" si="217"/>
        <v>802.76029731011465</v>
      </c>
      <c r="K469" s="307">
        <f t="shared" ca="1" si="218"/>
        <v>398.21298523368432</v>
      </c>
      <c r="L469" s="304">
        <f t="shared" ca="1" si="203"/>
        <v>896.10137626618234</v>
      </c>
      <c r="M469" s="306">
        <f t="shared" ca="1" si="219"/>
        <v>-1.4686586156883767</v>
      </c>
      <c r="N469" s="304">
        <f t="shared" ca="1" si="220"/>
        <v>-84.147940224469934</v>
      </c>
      <c r="P469" s="310">
        <f t="shared" ca="1" si="221"/>
        <v>23</v>
      </c>
      <c r="Q469" s="304">
        <f t="shared" ca="1" si="222"/>
        <v>0</v>
      </c>
      <c r="R469" s="306">
        <f t="shared" ca="1" si="223"/>
        <v>0</v>
      </c>
      <c r="S469" s="307">
        <f t="shared" ca="1" si="224"/>
        <v>2.9362999999999984</v>
      </c>
      <c r="T469" s="304">
        <f t="shared" ca="1" si="204"/>
        <v>28.805102999999985</v>
      </c>
      <c r="U469" s="311">
        <f t="shared" ca="1" si="205"/>
        <v>0</v>
      </c>
      <c r="V469" s="306">
        <f t="shared" ca="1" si="206"/>
        <v>1.1771712115405022</v>
      </c>
      <c r="W469" s="304">
        <f t="shared" ca="1" si="207"/>
        <v>24.090119121797525</v>
      </c>
      <c r="Y469" s="314" t="str">
        <f t="shared" ca="1" si="225"/>
        <v/>
      </c>
      <c r="Z469" s="315" t="str">
        <f t="shared" ca="1" si="226"/>
        <v/>
      </c>
      <c r="AA469" s="316" t="str">
        <f t="shared" ca="1" si="227"/>
        <v/>
      </c>
      <c r="AC469" s="310" t="e">
        <f t="shared" ca="1" si="228"/>
        <v>#N/A</v>
      </c>
      <c r="AD469" s="323" t="e">
        <f t="shared" ca="1" si="229"/>
        <v>#N/A</v>
      </c>
      <c r="AE469" s="324" t="e">
        <f t="shared" ca="1" si="208"/>
        <v>#N/A</v>
      </c>
      <c r="AG469" s="306">
        <f t="shared" ca="1" si="230"/>
        <v>1.5877605884014248</v>
      </c>
      <c r="AH469" s="304">
        <f t="shared" ca="1" si="231"/>
        <v>-8.1701005624485408</v>
      </c>
    </row>
    <row r="470" spans="1:34" x14ac:dyDescent="0.2">
      <c r="A470" s="347">
        <f t="shared" ca="1" si="209"/>
        <v>0.1</v>
      </c>
      <c r="B470" s="304">
        <f t="shared" ca="1" si="210"/>
        <v>33.200000000000166</v>
      </c>
      <c r="D470" s="306">
        <f t="shared" ca="1" si="211"/>
        <v>-0.83650642177963141</v>
      </c>
      <c r="E470" s="307">
        <f t="shared" ca="1" si="212"/>
        <v>-1.6485134656947338</v>
      </c>
      <c r="F470" s="304">
        <f t="shared" ca="1" si="213"/>
        <v>1.8486047820600877</v>
      </c>
      <c r="G470" s="306">
        <f t="shared" ca="1" si="214"/>
        <v>10.127127352120528</v>
      </c>
      <c r="H470" s="307">
        <f t="shared" ca="1" si="215"/>
        <v>-99.787669457105537</v>
      </c>
      <c r="I470" s="304">
        <f t="shared" ca="1" si="216"/>
        <v>100.3002377070295</v>
      </c>
      <c r="J470" s="306">
        <f t="shared" ca="1" si="217"/>
        <v>803.77719257743559</v>
      </c>
      <c r="K470" s="307">
        <f t="shared" ca="1" si="218"/>
        <v>388.24246085530223</v>
      </c>
      <c r="L470" s="304">
        <f t="shared" ca="1" si="203"/>
        <v>892.63093365547491</v>
      </c>
      <c r="M470" s="306">
        <f t="shared" ca="1" si="219"/>
        <v>-1.4696558515184031</v>
      </c>
      <c r="N470" s="304">
        <f t="shared" ca="1" si="220"/>
        <v>-84.205077628709674</v>
      </c>
      <c r="P470" s="310">
        <f t="shared" ca="1" si="221"/>
        <v>23</v>
      </c>
      <c r="Q470" s="304">
        <f t="shared" ca="1" si="222"/>
        <v>0</v>
      </c>
      <c r="R470" s="306">
        <f t="shared" ca="1" si="223"/>
        <v>0</v>
      </c>
      <c r="S470" s="307">
        <f t="shared" ca="1" si="224"/>
        <v>2.9362999999999984</v>
      </c>
      <c r="T470" s="304">
        <f t="shared" ca="1" si="204"/>
        <v>28.805102999999985</v>
      </c>
      <c r="U470" s="311">
        <f t="shared" ca="1" si="205"/>
        <v>0</v>
      </c>
      <c r="V470" s="306">
        <f t="shared" ca="1" si="206"/>
        <v>1.1783459526527731</v>
      </c>
      <c r="W470" s="304">
        <f t="shared" ca="1" si="207"/>
        <v>24.189110604322643</v>
      </c>
      <c r="Y470" s="314" t="str">
        <f t="shared" ca="1" si="225"/>
        <v/>
      </c>
      <c r="Z470" s="315" t="str">
        <f t="shared" ca="1" si="226"/>
        <v/>
      </c>
      <c r="AA470" s="316" t="str">
        <f t="shared" ca="1" si="227"/>
        <v/>
      </c>
      <c r="AC470" s="310" t="e">
        <f t="shared" ca="1" si="228"/>
        <v>#N/A</v>
      </c>
      <c r="AD470" s="323" t="e">
        <f t="shared" ca="1" si="229"/>
        <v>#N/A</v>
      </c>
      <c r="AE470" s="324" t="e">
        <f t="shared" ca="1" si="208"/>
        <v>#N/A</v>
      </c>
      <c r="AG470" s="306">
        <f t="shared" ca="1" si="230"/>
        <v>1.554631822333107</v>
      </c>
      <c r="AH470" s="304">
        <f t="shared" ca="1" si="231"/>
        <v>-8.2042431365315327</v>
      </c>
    </row>
    <row r="471" spans="1:34" x14ac:dyDescent="0.2">
      <c r="A471" s="347">
        <f t="shared" ca="1" si="209"/>
        <v>0.1</v>
      </c>
      <c r="B471" s="304">
        <f t="shared" ca="1" si="210"/>
        <v>33.300000000000168</v>
      </c>
      <c r="D471" s="306">
        <f t="shared" ca="1" si="211"/>
        <v>-0.83177101894492078</v>
      </c>
      <c r="E471" s="307">
        <f t="shared" ca="1" si="212"/>
        <v>-1.6141426145296744</v>
      </c>
      <c r="F471" s="304">
        <f t="shared" ca="1" si="213"/>
        <v>1.815846746836683</v>
      </c>
      <c r="G471" s="306">
        <f t="shared" ca="1" si="214"/>
        <v>10.043950250226036</v>
      </c>
      <c r="H471" s="307">
        <f t="shared" ca="1" si="215"/>
        <v>-99.949083718558498</v>
      </c>
      <c r="I471" s="304">
        <f t="shared" ca="1" si="216"/>
        <v>100.4524776837706</v>
      </c>
      <c r="J471" s="306">
        <f t="shared" ca="1" si="217"/>
        <v>804.78574645755293</v>
      </c>
      <c r="K471" s="307">
        <f t="shared" ca="1" si="218"/>
        <v>378.25562319651902</v>
      </c>
      <c r="L471" s="304">
        <f t="shared" ca="1" si="203"/>
        <v>889.24541842003759</v>
      </c>
      <c r="M471" s="306">
        <f t="shared" ca="1" si="219"/>
        <v>-1.4706418874331606</v>
      </c>
      <c r="N471" s="304">
        <f t="shared" ca="1" si="220"/>
        <v>-84.261573325073599</v>
      </c>
      <c r="P471" s="310">
        <f t="shared" ca="1" si="221"/>
        <v>23</v>
      </c>
      <c r="Q471" s="304">
        <f t="shared" ca="1" si="222"/>
        <v>0</v>
      </c>
      <c r="R471" s="306">
        <f t="shared" ca="1" si="223"/>
        <v>0</v>
      </c>
      <c r="S471" s="307">
        <f t="shared" ca="1" si="224"/>
        <v>2.9362999999999984</v>
      </c>
      <c r="T471" s="304">
        <f t="shared" ca="1" si="204"/>
        <v>28.805102999999985</v>
      </c>
      <c r="U471" s="311">
        <f t="shared" ca="1" si="205"/>
        <v>0</v>
      </c>
      <c r="V471" s="306">
        <f t="shared" ca="1" si="206"/>
        <v>1.179523768178834</v>
      </c>
      <c r="W471" s="304">
        <f t="shared" ca="1" si="207"/>
        <v>24.286848534072156</v>
      </c>
      <c r="Y471" s="314" t="str">
        <f t="shared" ca="1" si="225"/>
        <v/>
      </c>
      <c r="Z471" s="315" t="str">
        <f t="shared" ca="1" si="226"/>
        <v/>
      </c>
      <c r="AA471" s="316" t="str">
        <f t="shared" ca="1" si="227"/>
        <v/>
      </c>
      <c r="AC471" s="310" t="e">
        <f t="shared" ca="1" si="228"/>
        <v>#N/A</v>
      </c>
      <c r="AD471" s="323" t="e">
        <f t="shared" ca="1" si="229"/>
        <v>#N/A</v>
      </c>
      <c r="AE471" s="324" t="e">
        <f t="shared" ca="1" si="208"/>
        <v>#N/A</v>
      </c>
      <c r="AG471" s="306">
        <f t="shared" ca="1" si="230"/>
        <v>1.5219114343929299</v>
      </c>
      <c r="AH471" s="304">
        <f t="shared" ca="1" si="231"/>
        <v>-8.2379561367444261</v>
      </c>
    </row>
    <row r="472" spans="1:34" x14ac:dyDescent="0.2">
      <c r="A472" s="347">
        <f t="shared" ca="1" si="209"/>
        <v>0.1</v>
      </c>
      <c r="B472" s="304">
        <f t="shared" ca="1" si="210"/>
        <v>33.400000000000169</v>
      </c>
      <c r="D472" s="306">
        <f t="shared" ca="1" si="211"/>
        <v>-0.82701738466522623</v>
      </c>
      <c r="E472" s="307">
        <f t="shared" ca="1" si="212"/>
        <v>-1.5802071637852055</v>
      </c>
      <c r="F472" s="304">
        <f t="shared" ca="1" si="213"/>
        <v>1.7835393001043163</v>
      </c>
      <c r="G472" s="306">
        <f t="shared" ca="1" si="214"/>
        <v>9.9612485117595142</v>
      </c>
      <c r="H472" s="307">
        <f t="shared" ca="1" si="215"/>
        <v>-100.10710443493701</v>
      </c>
      <c r="I472" s="304">
        <f t="shared" ca="1" si="216"/>
        <v>100.60148522889916</v>
      </c>
      <c r="J472" s="306">
        <f t="shared" ca="1" si="217"/>
        <v>805.78600639565218</v>
      </c>
      <c r="K472" s="307">
        <f t="shared" ca="1" si="218"/>
        <v>368.25281378884426</v>
      </c>
      <c r="L472" s="304">
        <f t="shared" ca="1" si="203"/>
        <v>885.94651247490958</v>
      </c>
      <c r="M472" s="306">
        <f t="shared" ca="1" si="219"/>
        <v>-1.4716168963408287</v>
      </c>
      <c r="N472" s="304">
        <f t="shared" ca="1" si="220"/>
        <v>-84.317437220470651</v>
      </c>
      <c r="P472" s="310">
        <f t="shared" ca="1" si="221"/>
        <v>23</v>
      </c>
      <c r="Q472" s="304">
        <f t="shared" ca="1" si="222"/>
        <v>0</v>
      </c>
      <c r="R472" s="306">
        <f t="shared" ca="1" si="223"/>
        <v>0</v>
      </c>
      <c r="S472" s="307">
        <f t="shared" ca="1" si="224"/>
        <v>2.9362999999999984</v>
      </c>
      <c r="T472" s="304">
        <f t="shared" ca="1" si="204"/>
        <v>28.805102999999985</v>
      </c>
      <c r="U472" s="311">
        <f t="shared" ca="1" si="205"/>
        <v>0</v>
      </c>
      <c r="V472" s="306">
        <f t="shared" ca="1" si="206"/>
        <v>1.180704625132506</v>
      </c>
      <c r="W472" s="304">
        <f t="shared" ca="1" si="207"/>
        <v>24.383340913103869</v>
      </c>
      <c r="Y472" s="314" t="str">
        <f t="shared" ca="1" si="225"/>
        <v/>
      </c>
      <c r="Z472" s="315" t="str">
        <f t="shared" ca="1" si="226"/>
        <v/>
      </c>
      <c r="AA472" s="316" t="str">
        <f t="shared" ca="1" si="227"/>
        <v/>
      </c>
      <c r="AC472" s="310" t="e">
        <f t="shared" ca="1" si="228"/>
        <v>#N/A</v>
      </c>
      <c r="AD472" s="323" t="e">
        <f t="shared" ca="1" si="229"/>
        <v>#N/A</v>
      </c>
      <c r="AE472" s="324" t="e">
        <f t="shared" ca="1" si="208"/>
        <v>#N/A</v>
      </c>
      <c r="AG472" s="306">
        <f t="shared" ca="1" si="230"/>
        <v>1.4895972711518191</v>
      </c>
      <c r="AH472" s="304">
        <f t="shared" ca="1" si="231"/>
        <v>-8.2712422211872667</v>
      </c>
    </row>
    <row r="473" spans="1:34" x14ac:dyDescent="0.2">
      <c r="A473" s="347">
        <f t="shared" ca="1" si="209"/>
        <v>0.1</v>
      </c>
      <c r="B473" s="304">
        <f t="shared" ca="1" si="210"/>
        <v>33.500000000000171</v>
      </c>
      <c r="D473" s="306">
        <f t="shared" ca="1" si="211"/>
        <v>-0.8222467548029373</v>
      </c>
      <c r="E473" s="307">
        <f t="shared" ca="1" si="212"/>
        <v>-1.5467043240439828</v>
      </c>
      <c r="F473" s="304">
        <f t="shared" ca="1" si="213"/>
        <v>1.751680333793902</v>
      </c>
      <c r="G473" s="306">
        <f t="shared" ca="1" si="214"/>
        <v>9.8790238362792202</v>
      </c>
      <c r="H473" s="307">
        <f t="shared" ca="1" si="215"/>
        <v>-100.26177486734142</v>
      </c>
      <c r="I473" s="304">
        <f t="shared" ca="1" si="216"/>
        <v>100.74730076536656</v>
      </c>
      <c r="J473" s="306">
        <f t="shared" ca="1" si="217"/>
        <v>806.77802001305406</v>
      </c>
      <c r="K473" s="307">
        <f t="shared" ca="1" si="218"/>
        <v>358.23436982373033</v>
      </c>
      <c r="L473" s="304">
        <f t="shared" ca="1" si="203"/>
        <v>882.73588195971104</v>
      </c>
      <c r="M473" s="306">
        <f t="shared" ca="1" si="219"/>
        <v>-1.4725810473004664</v>
      </c>
      <c r="N473" s="304">
        <f t="shared" ca="1" si="220"/>
        <v>-84.372679001271365</v>
      </c>
      <c r="P473" s="310">
        <f t="shared" ca="1" si="221"/>
        <v>23</v>
      </c>
      <c r="Q473" s="304">
        <f t="shared" ca="1" si="222"/>
        <v>0</v>
      </c>
      <c r="R473" s="306">
        <f t="shared" ca="1" si="223"/>
        <v>0</v>
      </c>
      <c r="S473" s="307">
        <f t="shared" ca="1" si="224"/>
        <v>2.9362999999999984</v>
      </c>
      <c r="T473" s="304">
        <f t="shared" ca="1" si="204"/>
        <v>28.805102999999985</v>
      </c>
      <c r="U473" s="311">
        <f t="shared" ca="1" si="205"/>
        <v>0</v>
      </c>
      <c r="V473" s="306">
        <f t="shared" ca="1" si="206"/>
        <v>1.1818884909111234</v>
      </c>
      <c r="W473" s="304">
        <f t="shared" ca="1" si="207"/>
        <v>24.478595931108057</v>
      </c>
      <c r="Y473" s="314" t="str">
        <f t="shared" ca="1" si="225"/>
        <v/>
      </c>
      <c r="Z473" s="315" t="str">
        <f t="shared" ca="1" si="226"/>
        <v/>
      </c>
      <c r="AA473" s="316" t="str">
        <f t="shared" ca="1" si="227"/>
        <v/>
      </c>
      <c r="AC473" s="310" t="e">
        <f t="shared" ca="1" si="228"/>
        <v>#N/A</v>
      </c>
      <c r="AD473" s="323" t="e">
        <f t="shared" ca="1" si="229"/>
        <v>#N/A</v>
      </c>
      <c r="AE473" s="324" t="e">
        <f t="shared" ca="1" si="208"/>
        <v>#N/A</v>
      </c>
      <c r="AG473" s="306">
        <f t="shared" ca="1" si="230"/>
        <v>1.4576870977679555</v>
      </c>
      <c r="AH473" s="304">
        <f t="shared" ca="1" si="231"/>
        <v>-8.3041041150781201</v>
      </c>
    </row>
    <row r="474" spans="1:34" x14ac:dyDescent="0.2">
      <c r="A474" s="347">
        <f t="shared" ca="1" si="209"/>
        <v>0.1</v>
      </c>
      <c r="B474" s="304">
        <f t="shared" ca="1" si="210"/>
        <v>33.600000000000172</v>
      </c>
      <c r="D474" s="306">
        <f t="shared" ca="1" si="211"/>
        <v>-0.81746034151184899</v>
      </c>
      <c r="E474" s="307">
        <f t="shared" ca="1" si="212"/>
        <v>-1.5136312411095449</v>
      </c>
      <c r="F474" s="304">
        <f t="shared" ca="1" si="213"/>
        <v>1.7202676954496035</v>
      </c>
      <c r="G474" s="306">
        <f t="shared" ca="1" si="214"/>
        <v>9.7972778021280345</v>
      </c>
      <c r="H474" s="307">
        <f t="shared" ca="1" si="215"/>
        <v>-100.41313799145237</v>
      </c>
      <c r="I474" s="304">
        <f t="shared" ca="1" si="216"/>
        <v>100.88996448419697</v>
      </c>
      <c r="J474" s="306">
        <f t="shared" ca="1" si="217"/>
        <v>807.76183509497446</v>
      </c>
      <c r="K474" s="307">
        <f t="shared" ca="1" si="218"/>
        <v>348.20062418079067</v>
      </c>
      <c r="L474" s="304">
        <f t="shared" ca="1" si="203"/>
        <v>879.61517546930315</v>
      </c>
      <c r="M474" s="306">
        <f t="shared" ca="1" si="219"/>
        <v>-1.4735345056319498</v>
      </c>
      <c r="N474" s="304">
        <f t="shared" ca="1" si="220"/>
        <v>-84.42730813960695</v>
      </c>
      <c r="P474" s="310">
        <f t="shared" ca="1" si="221"/>
        <v>23</v>
      </c>
      <c r="Q474" s="304">
        <f t="shared" ca="1" si="222"/>
        <v>0</v>
      </c>
      <c r="R474" s="306">
        <f t="shared" ca="1" si="223"/>
        <v>0</v>
      </c>
      <c r="S474" s="307">
        <f t="shared" ca="1" si="224"/>
        <v>2.9362999999999984</v>
      </c>
      <c r="T474" s="304">
        <f t="shared" ca="1" si="204"/>
        <v>28.805102999999985</v>
      </c>
      <c r="U474" s="311">
        <f t="shared" ca="1" si="205"/>
        <v>0</v>
      </c>
      <c r="V474" s="306">
        <f t="shared" ca="1" si="206"/>
        <v>1.1830753332936395</v>
      </c>
      <c r="W474" s="304">
        <f t="shared" ca="1" si="207"/>
        <v>24.572621956161115</v>
      </c>
      <c r="Y474" s="314" t="str">
        <f t="shared" ca="1" si="225"/>
        <v/>
      </c>
      <c r="Z474" s="315" t="str">
        <f t="shared" ca="1" si="226"/>
        <v/>
      </c>
      <c r="AA474" s="316" t="str">
        <f t="shared" ca="1" si="227"/>
        <v/>
      </c>
      <c r="AC474" s="310" t="e">
        <f t="shared" ca="1" si="228"/>
        <v>#N/A</v>
      </c>
      <c r="AD474" s="323" t="e">
        <f t="shared" ca="1" si="229"/>
        <v>#N/A</v>
      </c>
      <c r="AE474" s="324" t="e">
        <f t="shared" ca="1" si="208"/>
        <v>#N/A</v>
      </c>
      <c r="AG474" s="306">
        <f t="shared" ca="1" si="230"/>
        <v>1.4261786016870133</v>
      </c>
      <c r="AH474" s="304">
        <f t="shared" ca="1" si="231"/>
        <v>-8.3365446075360392</v>
      </c>
    </row>
    <row r="475" spans="1:34" x14ac:dyDescent="0.2">
      <c r="A475" s="347">
        <f t="shared" ca="1" si="209"/>
        <v>0.1</v>
      </c>
      <c r="B475" s="304">
        <f t="shared" ca="1" si="210"/>
        <v>33.700000000000173</v>
      </c>
      <c r="D475" s="306">
        <f t="shared" ca="1" si="211"/>
        <v>-0.81265933336142082</v>
      </c>
      <c r="E475" s="307">
        <f t="shared" ca="1" si="212"/>
        <v>-1.480984999206866</v>
      </c>
      <c r="F475" s="304">
        <f t="shared" ca="1" si="213"/>
        <v>1.6892991919654698</v>
      </c>
      <c r="G475" s="306">
        <f t="shared" ca="1" si="214"/>
        <v>9.7160118687918917</v>
      </c>
      <c r="H475" s="307">
        <f t="shared" ca="1" si="215"/>
        <v>-100.56123649137307</v>
      </c>
      <c r="I475" s="304">
        <f t="shared" ca="1" si="216"/>
        <v>101.02951633710006</v>
      </c>
      <c r="J475" s="306">
        <f t="shared" ca="1" si="217"/>
        <v>808.73749957852044</v>
      </c>
      <c r="K475" s="307">
        <f t="shared" ca="1" si="218"/>
        <v>338.15190545664939</v>
      </c>
      <c r="L475" s="304">
        <f t="shared" ca="1" si="203"/>
        <v>876.58602224110325</v>
      </c>
      <c r="M475" s="306">
        <f t="shared" ca="1" si="219"/>
        <v>-1.4744774330222294</v>
      </c>
      <c r="N475" s="304">
        <f t="shared" ca="1" si="220"/>
        <v>-84.481333899457269</v>
      </c>
      <c r="P475" s="310">
        <f t="shared" ca="1" si="221"/>
        <v>23</v>
      </c>
      <c r="Q475" s="304">
        <f t="shared" ca="1" si="222"/>
        <v>0</v>
      </c>
      <c r="R475" s="306">
        <f t="shared" ca="1" si="223"/>
        <v>0</v>
      </c>
      <c r="S475" s="307">
        <f t="shared" ca="1" si="224"/>
        <v>2.9362999999999984</v>
      </c>
      <c r="T475" s="304">
        <f t="shared" ca="1" si="204"/>
        <v>28.805102999999985</v>
      </c>
      <c r="U475" s="311">
        <f t="shared" ca="1" si="205"/>
        <v>0</v>
      </c>
      <c r="V475" s="306">
        <f t="shared" ca="1" si="206"/>
        <v>1.1842651204386709</v>
      </c>
      <c r="W475" s="304">
        <f t="shared" ca="1" si="207"/>
        <v>24.665427525678801</v>
      </c>
      <c r="Y475" s="314" t="str">
        <f t="shared" ca="1" si="225"/>
        <v/>
      </c>
      <c r="Z475" s="315" t="str">
        <f t="shared" ca="1" si="226"/>
        <v/>
      </c>
      <c r="AA475" s="316" t="str">
        <f t="shared" ca="1" si="227"/>
        <v/>
      </c>
      <c r="AC475" s="310" t="e">
        <f t="shared" ca="1" si="228"/>
        <v>#N/A</v>
      </c>
      <c r="AD475" s="323" t="e">
        <f t="shared" ca="1" si="229"/>
        <v>#N/A</v>
      </c>
      <c r="AE475" s="324" t="e">
        <f t="shared" ca="1" si="208"/>
        <v>#N/A</v>
      </c>
      <c r="AG475" s="306">
        <f t="shared" ca="1" si="230"/>
        <v>1.3950693962553871</v>
      </c>
      <c r="AH475" s="304">
        <f t="shared" ca="1" si="231"/>
        <v>-8.3685665484320833</v>
      </c>
    </row>
    <row r="476" spans="1:34" x14ac:dyDescent="0.2">
      <c r="A476" s="347">
        <f t="shared" ca="1" si="209"/>
        <v>0.1</v>
      </c>
      <c r="B476" s="304">
        <f t="shared" ca="1" si="210"/>
        <v>33.800000000000175</v>
      </c>
      <c r="D476" s="306">
        <f t="shared" ca="1" si="211"/>
        <v>-0.80784489547187777</v>
      </c>
      <c r="E476" s="307">
        <f t="shared" ca="1" si="212"/>
        <v>-1.4487626241138649</v>
      </c>
      <c r="F476" s="304">
        <f t="shared" ca="1" si="213"/>
        <v>1.6587725932656534</v>
      </c>
      <c r="G476" s="306">
        <f t="shared" ca="1" si="214"/>
        <v>9.6352273792447036</v>
      </c>
      <c r="H476" s="307">
        <f t="shared" ca="1" si="215"/>
        <v>-100.70611275378445</v>
      </c>
      <c r="I476" s="304">
        <f t="shared" ca="1" si="216"/>
        <v>101.16599602943519</v>
      </c>
      <c r="J476" s="306">
        <f t="shared" ca="1" si="217"/>
        <v>809.70506154092232</v>
      </c>
      <c r="K476" s="307">
        <f t="shared" ca="1" si="218"/>
        <v>328.08853799439152</v>
      </c>
      <c r="L476" s="304">
        <f t="shared" ca="1" si="203"/>
        <v>873.65003030291598</v>
      </c>
      <c r="M476" s="306">
        <f t="shared" ca="1" si="219"/>
        <v>-1.4754099876280433</v>
      </c>
      <c r="N476" s="304">
        <f t="shared" ca="1" si="220"/>
        <v>-84.534765342535891</v>
      </c>
      <c r="P476" s="310">
        <f t="shared" ca="1" si="221"/>
        <v>23</v>
      </c>
      <c r="Q476" s="304">
        <f t="shared" ca="1" si="222"/>
        <v>0</v>
      </c>
      <c r="R476" s="306">
        <f t="shared" ca="1" si="223"/>
        <v>0</v>
      </c>
      <c r="S476" s="307">
        <f t="shared" ca="1" si="224"/>
        <v>2.9362999999999984</v>
      </c>
      <c r="T476" s="304">
        <f t="shared" ca="1" si="204"/>
        <v>28.805102999999985</v>
      </c>
      <c r="U476" s="311">
        <f t="shared" ca="1" si="205"/>
        <v>0</v>
      </c>
      <c r="V476" s="306">
        <f t="shared" ca="1" si="206"/>
        <v>1.1854578208824762</v>
      </c>
      <c r="W476" s="304">
        <f t="shared" ca="1" si="207"/>
        <v>24.757021337568847</v>
      </c>
      <c r="Y476" s="314" t="str">
        <f t="shared" ca="1" si="225"/>
        <v/>
      </c>
      <c r="Z476" s="315" t="str">
        <f t="shared" ca="1" si="226"/>
        <v/>
      </c>
      <c r="AA476" s="316" t="str">
        <f t="shared" ca="1" si="227"/>
        <v/>
      </c>
      <c r="AC476" s="310" t="e">
        <f t="shared" ca="1" si="228"/>
        <v>#N/A</v>
      </c>
      <c r="AD476" s="323" t="e">
        <f t="shared" ca="1" si="229"/>
        <v>#N/A</v>
      </c>
      <c r="AE476" s="324" t="e">
        <f t="shared" ca="1" si="208"/>
        <v>#N/A</v>
      </c>
      <c r="AG476" s="306">
        <f t="shared" ca="1" si="230"/>
        <v>1.3643570242472904</v>
      </c>
      <c r="AH476" s="304">
        <f t="shared" ca="1" si="231"/>
        <v>-8.4001728453083189</v>
      </c>
    </row>
    <row r="477" spans="1:34" x14ac:dyDescent="0.2">
      <c r="A477" s="347">
        <f t="shared" ca="1" si="209"/>
        <v>0.1</v>
      </c>
      <c r="B477" s="304">
        <f t="shared" ca="1" si="210"/>
        <v>33.900000000000176</v>
      </c>
      <c r="D477" s="306">
        <f t="shared" ca="1" si="211"/>
        <v>-0.80301816965964012</v>
      </c>
      <c r="E477" s="307">
        <f t="shared" ca="1" si="212"/>
        <v>-1.4169610862239406</v>
      </c>
      <c r="F477" s="304">
        <f t="shared" ca="1" si="213"/>
        <v>1.6286856359274642</v>
      </c>
      <c r="G477" s="306">
        <f t="shared" ca="1" si="214"/>
        <v>9.5549255622787399</v>
      </c>
      <c r="H477" s="307">
        <f t="shared" ca="1" si="215"/>
        <v>-100.84780886240685</v>
      </c>
      <c r="I477" s="304">
        <f t="shared" ca="1" si="216"/>
        <v>101.29944301351925</v>
      </c>
      <c r="J477" s="306">
        <f t="shared" ca="1" si="217"/>
        <v>810.6645691879985</v>
      </c>
      <c r="K477" s="307">
        <f t="shared" ca="1" si="218"/>
        <v>318.01084191358194</v>
      </c>
      <c r="L477" s="304">
        <f t="shared" ca="1" si="203"/>
        <v>870.80878458554173</v>
      </c>
      <c r="M477" s="306">
        <f t="shared" ca="1" si="219"/>
        <v>-1.4763323241752251</v>
      </c>
      <c r="N477" s="304">
        <f t="shared" ca="1" si="220"/>
        <v>-84.587611333980078</v>
      </c>
      <c r="P477" s="310">
        <f t="shared" ca="1" si="221"/>
        <v>23</v>
      </c>
      <c r="Q477" s="304">
        <f t="shared" ca="1" si="222"/>
        <v>0</v>
      </c>
      <c r="R477" s="306">
        <f t="shared" ca="1" si="223"/>
        <v>0</v>
      </c>
      <c r="S477" s="307">
        <f t="shared" ca="1" si="224"/>
        <v>2.9362999999999984</v>
      </c>
      <c r="T477" s="304">
        <f t="shared" ca="1" si="204"/>
        <v>28.805102999999985</v>
      </c>
      <c r="U477" s="311">
        <f t="shared" ca="1" si="205"/>
        <v>0</v>
      </c>
      <c r="V477" s="306">
        <f t="shared" ca="1" si="206"/>
        <v>1.1866534035368741</v>
      </c>
      <c r="W477" s="304">
        <f t="shared" ca="1" si="207"/>
        <v>24.847412241582813</v>
      </c>
      <c r="Y477" s="314" t="str">
        <f t="shared" ca="1" si="225"/>
        <v/>
      </c>
      <c r="Z477" s="315" t="str">
        <f t="shared" ca="1" si="226"/>
        <v/>
      </c>
      <c r="AA477" s="316" t="str">
        <f t="shared" ca="1" si="227"/>
        <v/>
      </c>
      <c r="AC477" s="310" t="e">
        <f t="shared" ca="1" si="228"/>
        <v>#N/A</v>
      </c>
      <c r="AD477" s="323" t="e">
        <f t="shared" ca="1" si="229"/>
        <v>#N/A</v>
      </c>
      <c r="AE477" s="324" t="e">
        <f t="shared" ca="1" si="208"/>
        <v>#N/A</v>
      </c>
      <c r="AG477" s="306">
        <f t="shared" ca="1" si="230"/>
        <v>1.3340389613066215</v>
      </c>
      <c r="AH477" s="304">
        <f t="shared" ca="1" si="231"/>
        <v>-8.4313664603646981</v>
      </c>
    </row>
    <row r="478" spans="1:34" x14ac:dyDescent="0.2">
      <c r="A478" s="347">
        <f t="shared" ca="1" si="209"/>
        <v>0.1</v>
      </c>
      <c r="B478" s="304">
        <f t="shared" ca="1" si="210"/>
        <v>34.000000000000178</v>
      </c>
      <c r="D478" s="306">
        <f t="shared" ca="1" si="211"/>
        <v>-0.79818027459253083</v>
      </c>
      <c r="E478" s="307">
        <f t="shared" ca="1" si="212"/>
        <v>-1.3855773035395664</v>
      </c>
      <c r="F478" s="304">
        <f t="shared" ca="1" si="213"/>
        <v>1.5990360267462969</v>
      </c>
      <c r="G478" s="306">
        <f t="shared" ca="1" si="214"/>
        <v>9.475107534819486</v>
      </c>
      <c r="H478" s="307">
        <f t="shared" ca="1" si="215"/>
        <v>-100.9863665927608</v>
      </c>
      <c r="I478" s="304">
        <f t="shared" ca="1" si="216"/>
        <v>101.4298964822693</v>
      </c>
      <c r="J478" s="306">
        <f t="shared" ca="1" si="217"/>
        <v>811.61607084285345</v>
      </c>
      <c r="K478" s="307">
        <f t="shared" ca="1" si="218"/>
        <v>307.91913314082353</v>
      </c>
      <c r="L478" s="304">
        <f t="shared" ca="1" si="203"/>
        <v>868.06384500484057</v>
      </c>
      <c r="M478" s="306">
        <f t="shared" ca="1" si="219"/>
        <v>-1.4772445940547319</v>
      </c>
      <c r="N478" s="304">
        <f t="shared" ca="1" si="220"/>
        <v>-84.639880547852712</v>
      </c>
      <c r="P478" s="310">
        <f t="shared" ca="1" si="221"/>
        <v>23</v>
      </c>
      <c r="Q478" s="304">
        <f t="shared" ca="1" si="222"/>
        <v>0</v>
      </c>
      <c r="R478" s="306">
        <f t="shared" ca="1" si="223"/>
        <v>0</v>
      </c>
      <c r="S478" s="307">
        <f t="shared" ca="1" si="224"/>
        <v>2.9362999999999984</v>
      </c>
      <c r="T478" s="304">
        <f t="shared" ca="1" si="204"/>
        <v>28.805102999999985</v>
      </c>
      <c r="U478" s="311">
        <f t="shared" ca="1" si="205"/>
        <v>0</v>
      </c>
      <c r="V478" s="306">
        <f t="shared" ca="1" si="206"/>
        <v>1.1878518376871072</v>
      </c>
      <c r="W478" s="304">
        <f t="shared" ca="1" si="207"/>
        <v>24.936609230866342</v>
      </c>
      <c r="Y478" s="314" t="str">
        <f t="shared" ca="1" si="225"/>
        <v/>
      </c>
      <c r="Z478" s="315" t="str">
        <f t="shared" ca="1" si="226"/>
        <v/>
      </c>
      <c r="AA478" s="316" t="str">
        <f t="shared" ca="1" si="227"/>
        <v/>
      </c>
      <c r="AC478" s="310">
        <f t="shared" ca="1" si="228"/>
        <v>34.000000000000178</v>
      </c>
      <c r="AD478" s="323">
        <f t="shared" ca="1" si="229"/>
        <v>811.61607084285345</v>
      </c>
      <c r="AE478" s="324" t="e">
        <f t="shared" ca="1" si="208"/>
        <v>#N/A</v>
      </c>
      <c r="AG478" s="306">
        <f t="shared" ca="1" si="230"/>
        <v>1.3041126193043908</v>
      </c>
      <c r="AH478" s="304">
        <f t="shared" ca="1" si="231"/>
        <v>-8.4621504075138194</v>
      </c>
    </row>
    <row r="479" spans="1:34" x14ac:dyDescent="0.2">
      <c r="A479" s="347">
        <f t="shared" ca="1" si="209"/>
        <v>0.1</v>
      </c>
      <c r="B479" s="304">
        <f t="shared" ca="1" si="210"/>
        <v>34.100000000000179</v>
      </c>
      <c r="D479" s="306">
        <f t="shared" ca="1" si="211"/>
        <v>-0.79333230595427051</v>
      </c>
      <c r="E479" s="307">
        <f t="shared" ca="1" si="212"/>
        <v>-1.3546081445972113</v>
      </c>
      <c r="F479" s="304">
        <f t="shared" ca="1" si="213"/>
        <v>1.5698214462415208</v>
      </c>
      <c r="G479" s="306">
        <f t="shared" ca="1" si="214"/>
        <v>9.3957743042240587</v>
      </c>
      <c r="H479" s="307">
        <f t="shared" ca="1" si="215"/>
        <v>-101.12182740722052</v>
      </c>
      <c r="I479" s="304">
        <f t="shared" ca="1" si="216"/>
        <v>101.55739536317192</v>
      </c>
      <c r="J479" s="306">
        <f t="shared" ca="1" si="217"/>
        <v>812.55961493480561</v>
      </c>
      <c r="K479" s="307">
        <f t="shared" ca="1" si="218"/>
        <v>297.81372344082445</v>
      </c>
      <c r="L479" s="304">
        <f t="shared" ca="1" si="203"/>
        <v>865.41674451832023</v>
      </c>
      <c r="M479" s="306">
        <f t="shared" ca="1" si="219"/>
        <v>-1.4781469454155183</v>
      </c>
      <c r="N479" s="304">
        <f t="shared" ca="1" si="220"/>
        <v>-84.691581472463668</v>
      </c>
      <c r="P479" s="310">
        <f t="shared" ca="1" si="221"/>
        <v>23</v>
      </c>
      <c r="Q479" s="304">
        <f t="shared" ca="1" si="222"/>
        <v>0</v>
      </c>
      <c r="R479" s="306">
        <f t="shared" ca="1" si="223"/>
        <v>0</v>
      </c>
      <c r="S479" s="307">
        <f t="shared" ca="1" si="224"/>
        <v>2.9362999999999984</v>
      </c>
      <c r="T479" s="304">
        <f t="shared" ca="1" si="204"/>
        <v>28.805102999999985</v>
      </c>
      <c r="U479" s="311">
        <f t="shared" ca="1" si="205"/>
        <v>0</v>
      </c>
      <c r="V479" s="306">
        <f t="shared" ca="1" si="206"/>
        <v>1.1890530929896459</v>
      </c>
      <c r="W479" s="304">
        <f t="shared" ca="1" si="207"/>
        <v>25.024621433707178</v>
      </c>
      <c r="Y479" s="314" t="str">
        <f t="shared" ca="1" si="225"/>
        <v/>
      </c>
      <c r="Z479" s="315" t="str">
        <f t="shared" ca="1" si="226"/>
        <v/>
      </c>
      <c r="AA479" s="316" t="str">
        <f t="shared" ca="1" si="227"/>
        <v/>
      </c>
      <c r="AC479" s="310" t="e">
        <f t="shared" ca="1" si="228"/>
        <v>#N/A</v>
      </c>
      <c r="AD479" s="323" t="e">
        <f t="shared" ca="1" si="229"/>
        <v>#N/A</v>
      </c>
      <c r="AE479" s="324" t="e">
        <f t="shared" ca="1" si="208"/>
        <v>#N/A</v>
      </c>
      <c r="AG479" s="306">
        <f t="shared" ca="1" si="230"/>
        <v>1.2745753496127232</v>
      </c>
      <c r="AH479" s="304">
        <f t="shared" ca="1" si="231"/>
        <v>-8.4925277495032372</v>
      </c>
    </row>
    <row r="480" spans="1:34" x14ac:dyDescent="0.2">
      <c r="A480" s="347">
        <f t="shared" ca="1" si="209"/>
        <v>0.1</v>
      </c>
      <c r="B480" s="304">
        <f t="shared" ca="1" si="210"/>
        <v>34.20000000000018</v>
      </c>
      <c r="D480" s="306">
        <f t="shared" ca="1" si="211"/>
        <v>-0.78847533661773439</v>
      </c>
      <c r="E480" s="307">
        <f t="shared" ca="1" si="212"/>
        <v>-1.3240504313238439</v>
      </c>
      <c r="F480" s="304">
        <f t="shared" ca="1" si="213"/>
        <v>1.5410395521021862</v>
      </c>
      <c r="G480" s="306">
        <f t="shared" ca="1" si="214"/>
        <v>9.3169267705622847</v>
      </c>
      <c r="H480" s="307">
        <f t="shared" ca="1" si="215"/>
        <v>-101.2542324503529</v>
      </c>
      <c r="I480" s="304">
        <f t="shared" ca="1" si="216"/>
        <v>101.68197831257081</v>
      </c>
      <c r="J480" s="306">
        <f t="shared" ca="1" si="217"/>
        <v>813.49524998854497</v>
      </c>
      <c r="K480" s="307">
        <f t="shared" ca="1" si="218"/>
        <v>287.69492044794578</v>
      </c>
      <c r="L480" s="304">
        <f t="shared" ca="1" si="203"/>
        <v>862.86898716170992</v>
      </c>
      <c r="M480" s="306">
        <f t="shared" ca="1" si="219"/>
        <v>-1.4790395232543732</v>
      </c>
      <c r="N480" s="304">
        <f t="shared" ca="1" si="220"/>
        <v>-84.742722415516965</v>
      </c>
      <c r="P480" s="310">
        <f t="shared" ca="1" si="221"/>
        <v>23</v>
      </c>
      <c r="Q480" s="304">
        <f t="shared" ca="1" si="222"/>
        <v>0</v>
      </c>
      <c r="R480" s="306">
        <f t="shared" ca="1" si="223"/>
        <v>0</v>
      </c>
      <c r="S480" s="307">
        <f t="shared" ca="1" si="224"/>
        <v>2.9362999999999984</v>
      </c>
      <c r="T480" s="304">
        <f t="shared" ca="1" si="204"/>
        <v>28.805102999999985</v>
      </c>
      <c r="U480" s="311">
        <f t="shared" ca="1" si="205"/>
        <v>0</v>
      </c>
      <c r="V480" s="306">
        <f t="shared" ca="1" si="206"/>
        <v>1.190257139469943</v>
      </c>
      <c r="W480" s="304">
        <f t="shared" ca="1" si="207"/>
        <v>25.111458105479915</v>
      </c>
      <c r="Y480" s="314" t="str">
        <f t="shared" ca="1" si="225"/>
        <v/>
      </c>
      <c r="Z480" s="315" t="str">
        <f t="shared" ca="1" si="226"/>
        <v/>
      </c>
      <c r="AA480" s="316" t="str">
        <f t="shared" ca="1" si="227"/>
        <v/>
      </c>
      <c r="AC480" s="310" t="e">
        <f t="shared" ca="1" si="228"/>
        <v>#N/A</v>
      </c>
      <c r="AD480" s="323" t="e">
        <f t="shared" ca="1" si="229"/>
        <v>#N/A</v>
      </c>
      <c r="AE480" s="324" t="e">
        <f t="shared" ca="1" si="208"/>
        <v>#N/A</v>
      </c>
      <c r="AG480" s="306">
        <f t="shared" ca="1" si="230"/>
        <v>1.2454244462963562</v>
      </c>
      <c r="AH480" s="304">
        <f t="shared" ca="1" si="231"/>
        <v>-8.5225015951051297</v>
      </c>
    </row>
    <row r="481" spans="1:34" x14ac:dyDescent="0.2">
      <c r="A481" s="347">
        <f t="shared" ca="1" si="209"/>
        <v>0.1</v>
      </c>
      <c r="B481" s="304">
        <f t="shared" ca="1" si="210"/>
        <v>34.300000000000182</v>
      </c>
      <c r="D481" s="306">
        <f t="shared" ca="1" si="211"/>
        <v>-0.78361041682649468</v>
      </c>
      <c r="E481" s="307">
        <f t="shared" ca="1" si="212"/>
        <v>-1.2939009418253242</v>
      </c>
      <c r="F481" s="304">
        <f t="shared" ca="1" si="213"/>
        <v>1.5126879825712418</v>
      </c>
      <c r="G481" s="306">
        <f t="shared" ca="1" si="214"/>
        <v>9.2385657288796352</v>
      </c>
      <c r="H481" s="307">
        <f t="shared" ca="1" si="215"/>
        <v>-101.38362254453543</v>
      </c>
      <c r="I481" s="304">
        <f t="shared" ca="1" si="216"/>
        <v>101.80368371026492</v>
      </c>
      <c r="J481" s="306">
        <f t="shared" ca="1" si="217"/>
        <v>814.4230246135171</v>
      </c>
      <c r="K481" s="307">
        <f t="shared" ca="1" si="218"/>
        <v>277.56302769820138</v>
      </c>
      <c r="L481" s="304">
        <f t="shared" ca="1" si="203"/>
        <v>860.42204607135795</v>
      </c>
      <c r="M481" s="306">
        <f t="shared" ca="1" si="219"/>
        <v>-1.4799224695028317</v>
      </c>
      <c r="N481" s="304">
        <f t="shared" ca="1" si="220"/>
        <v>-84.793311509090543</v>
      </c>
      <c r="P481" s="310">
        <f t="shared" ca="1" si="221"/>
        <v>23</v>
      </c>
      <c r="Q481" s="304">
        <f t="shared" ca="1" si="222"/>
        <v>0</v>
      </c>
      <c r="R481" s="306">
        <f t="shared" ca="1" si="223"/>
        <v>0</v>
      </c>
      <c r="S481" s="307">
        <f t="shared" ca="1" si="224"/>
        <v>2.9362999999999984</v>
      </c>
      <c r="T481" s="304">
        <f t="shared" ca="1" si="204"/>
        <v>28.805102999999985</v>
      </c>
      <c r="U481" s="311">
        <f t="shared" ca="1" si="205"/>
        <v>0</v>
      </c>
      <c r="V481" s="306">
        <f t="shared" ca="1" si="206"/>
        <v>1.1914639475201383</v>
      </c>
      <c r="W481" s="304">
        <f t="shared" ca="1" si="207"/>
        <v>25.197128620786625</v>
      </c>
      <c r="Y481" s="314" t="str">
        <f t="shared" ca="1" si="225"/>
        <v/>
      </c>
      <c r="Z481" s="315" t="str">
        <f t="shared" ca="1" si="226"/>
        <v/>
      </c>
      <c r="AA481" s="316" t="str">
        <f t="shared" ca="1" si="227"/>
        <v/>
      </c>
      <c r="AC481" s="310" t="e">
        <f t="shared" ca="1" si="228"/>
        <v>#N/A</v>
      </c>
      <c r="AD481" s="323" t="e">
        <f t="shared" ca="1" si="229"/>
        <v>#N/A</v>
      </c>
      <c r="AE481" s="324" t="e">
        <f t="shared" ca="1" si="208"/>
        <v>#N/A</v>
      </c>
      <c r="AG481" s="306">
        <f t="shared" ca="1" si="230"/>
        <v>1.2166571492226304</v>
      </c>
      <c r="AH481" s="304">
        <f t="shared" ca="1" si="231"/>
        <v>-8.5520750963729615</v>
      </c>
    </row>
    <row r="482" spans="1:34" x14ac:dyDescent="0.2">
      <c r="A482" s="347">
        <f t="shared" ca="1" si="209"/>
        <v>0.1</v>
      </c>
      <c r="B482" s="304">
        <f t="shared" ca="1" si="210"/>
        <v>34.400000000000183</v>
      </c>
      <c r="D482" s="306">
        <f t="shared" ca="1" si="211"/>
        <v>-0.77873857438418148</v>
      </c>
      <c r="E482" s="307">
        <f t="shared" ca="1" si="212"/>
        <v>-1.2641564131070009</v>
      </c>
      <c r="F482" s="304">
        <f t="shared" ca="1" si="213"/>
        <v>1.4847643597667157</v>
      </c>
      <c r="G482" s="306">
        <f t="shared" ca="1" si="214"/>
        <v>9.1606918714412178</v>
      </c>
      <c r="H482" s="307">
        <f t="shared" ca="1" si="215"/>
        <v>-101.51003818584613</v>
      </c>
      <c r="I482" s="304">
        <f t="shared" ca="1" si="216"/>
        <v>101.9225496544088</v>
      </c>
      <c r="J482" s="306">
        <f t="shared" ca="1" si="217"/>
        <v>815.34298749353309</v>
      </c>
      <c r="K482" s="307">
        <f t="shared" ca="1" si="218"/>
        <v>267.41834466168228</v>
      </c>
      <c r="L482" s="304">
        <f t="shared" ca="1" si="203"/>
        <v>858.07736149864365</v>
      </c>
      <c r="M482" s="306">
        <f t="shared" ca="1" si="219"/>
        <v>-1.4807959231112737</v>
      </c>
      <c r="N482" s="304">
        <f t="shared" ca="1" si="220"/>
        <v>-84.843356714454742</v>
      </c>
      <c r="P482" s="310">
        <f t="shared" ca="1" si="221"/>
        <v>23</v>
      </c>
      <c r="Q482" s="304">
        <f t="shared" ca="1" si="222"/>
        <v>0</v>
      </c>
      <c r="R482" s="306">
        <f t="shared" ca="1" si="223"/>
        <v>0</v>
      </c>
      <c r="S482" s="307">
        <f t="shared" ca="1" si="224"/>
        <v>2.9362999999999984</v>
      </c>
      <c r="T482" s="304">
        <f t="shared" ca="1" si="204"/>
        <v>28.805102999999985</v>
      </c>
      <c r="U482" s="311">
        <f t="shared" ca="1" si="205"/>
        <v>0</v>
      </c>
      <c r="V482" s="306">
        <f t="shared" ca="1" si="206"/>
        <v>1.1926734878967116</v>
      </c>
      <c r="W482" s="304">
        <f t="shared" ca="1" si="207"/>
        <v>25.281642465791855</v>
      </c>
      <c r="Y482" s="314" t="str">
        <f t="shared" ca="1" si="225"/>
        <v/>
      </c>
      <c r="Z482" s="315" t="str">
        <f t="shared" ca="1" si="226"/>
        <v/>
      </c>
      <c r="AA482" s="316" t="str">
        <f t="shared" ca="1" si="227"/>
        <v/>
      </c>
      <c r="AC482" s="310" t="e">
        <f t="shared" ca="1" si="228"/>
        <v>#N/A</v>
      </c>
      <c r="AD482" s="323" t="e">
        <f t="shared" ca="1" si="229"/>
        <v>#N/A</v>
      </c>
      <c r="AE482" s="324" t="e">
        <f t="shared" ca="1" si="208"/>
        <v>#N/A</v>
      </c>
      <c r="AG482" s="306">
        <f t="shared" ca="1" si="230"/>
        <v>1.1882706470908779</v>
      </c>
      <c r="AH482" s="304">
        <f t="shared" ca="1" si="231"/>
        <v>-8.5812514459648668</v>
      </c>
    </row>
    <row r="483" spans="1:34" x14ac:dyDescent="0.2">
      <c r="A483" s="347">
        <f t="shared" ca="1" si="209"/>
        <v>0.1</v>
      </c>
      <c r="B483" s="304">
        <f t="shared" ca="1" si="210"/>
        <v>34.500000000000185</v>
      </c>
      <c r="D483" s="306">
        <f t="shared" ca="1" si="211"/>
        <v>-0.77386081485117364</v>
      </c>
      <c r="E483" s="307">
        <f t="shared" ca="1" si="212"/>
        <v>-1.2348135437270358</v>
      </c>
      <c r="F483" s="304">
        <f t="shared" ca="1" si="213"/>
        <v>1.4572662929381994</v>
      </c>
      <c r="G483" s="306">
        <f t="shared" ca="1" si="214"/>
        <v>9.0833057899560998</v>
      </c>
      <c r="H483" s="307">
        <f t="shared" ca="1" si="215"/>
        <v>-101.63351954021883</v>
      </c>
      <c r="I483" s="304">
        <f t="shared" ca="1" si="216"/>
        <v>102.03861395670705</v>
      </c>
      <c r="J483" s="306">
        <f t="shared" ca="1" si="217"/>
        <v>816.25518737660298</v>
      </c>
      <c r="K483" s="307">
        <f t="shared" ca="1" si="218"/>
        <v>257.26116677537902</v>
      </c>
      <c r="L483" s="304">
        <f t="shared" ca="1" si="203"/>
        <v>855.83633882293327</v>
      </c>
      <c r="M483" s="306">
        <f t="shared" ca="1" si="219"/>
        <v>-1.4816600201303092</v>
      </c>
      <c r="N483" s="304">
        <f t="shared" ca="1" si="220"/>
        <v>-84.892865826735317</v>
      </c>
      <c r="P483" s="310">
        <f t="shared" ca="1" si="221"/>
        <v>23</v>
      </c>
      <c r="Q483" s="304">
        <f t="shared" ca="1" si="222"/>
        <v>0</v>
      </c>
      <c r="R483" s="306">
        <f t="shared" ca="1" si="223"/>
        <v>0</v>
      </c>
      <c r="S483" s="307">
        <f t="shared" ca="1" si="224"/>
        <v>2.9362999999999984</v>
      </c>
      <c r="T483" s="304">
        <f t="shared" ca="1" si="204"/>
        <v>28.805102999999985</v>
      </c>
      <c r="U483" s="311">
        <f t="shared" ca="1" si="205"/>
        <v>0</v>
      </c>
      <c r="V483" s="306">
        <f t="shared" ca="1" si="206"/>
        <v>1.1938857317180942</v>
      </c>
      <c r="W483" s="304">
        <f t="shared" ca="1" si="207"/>
        <v>25.365009230750704</v>
      </c>
      <c r="Y483" s="314" t="str">
        <f t="shared" ca="1" si="225"/>
        <v/>
      </c>
      <c r="Z483" s="315" t="str">
        <f t="shared" ca="1" si="226"/>
        <v/>
      </c>
      <c r="AA483" s="316" t="str">
        <f t="shared" ca="1" si="227"/>
        <v/>
      </c>
      <c r="AC483" s="310" t="e">
        <f t="shared" ca="1" si="228"/>
        <v>#N/A</v>
      </c>
      <c r="AD483" s="323" t="e">
        <f t="shared" ca="1" si="229"/>
        <v>#N/A</v>
      </c>
      <c r="AE483" s="324" t="e">
        <f t="shared" ca="1" si="208"/>
        <v>#N/A</v>
      </c>
      <c r="AG483" s="306">
        <f t="shared" ca="1" si="230"/>
        <v>1.1602620803823473</v>
      </c>
      <c r="AH483" s="304">
        <f t="shared" ca="1" si="231"/>
        <v>-8.6100338745332117</v>
      </c>
    </row>
    <row r="484" spans="1:34" x14ac:dyDescent="0.2">
      <c r="A484" s="347">
        <f t="shared" ca="1" si="209"/>
        <v>0.1</v>
      </c>
      <c r="B484" s="304">
        <f t="shared" ca="1" si="210"/>
        <v>34.600000000000186</v>
      </c>
      <c r="D484" s="306">
        <f t="shared" ca="1" si="211"/>
        <v>-0.7689781217481968</v>
      </c>
      <c r="E484" s="307">
        <f t="shared" ca="1" si="212"/>
        <v>-1.2058689963828773</v>
      </c>
      <c r="F484" s="304">
        <f t="shared" ca="1" si="213"/>
        <v>1.4301913816566061</v>
      </c>
      <c r="G484" s="306">
        <f t="shared" ca="1" si="214"/>
        <v>9.0064079777812793</v>
      </c>
      <c r="H484" s="307">
        <f t="shared" ca="1" si="215"/>
        <v>-101.75410643985711</v>
      </c>
      <c r="I484" s="304">
        <f t="shared" ca="1" si="216"/>
        <v>102.15191413789569</v>
      </c>
      <c r="J484" s="306">
        <f t="shared" ca="1" si="217"/>
        <v>817.15967306498987</v>
      </c>
      <c r="K484" s="307">
        <f t="shared" ca="1" si="218"/>
        <v>247.09178547637524</v>
      </c>
      <c r="L484" s="304">
        <f t="shared" ca="1" si="203"/>
        <v>853.70034656990993</v>
      </c>
      <c r="M484" s="306">
        <f t="shared" ca="1" si="219"/>
        <v>-1.4825148937895509</v>
      </c>
      <c r="N484" s="304">
        <f t="shared" ca="1" si="220"/>
        <v>-84.941846479426772</v>
      </c>
      <c r="P484" s="310">
        <f t="shared" ca="1" si="221"/>
        <v>23</v>
      </c>
      <c r="Q484" s="304">
        <f t="shared" ca="1" si="222"/>
        <v>0</v>
      </c>
      <c r="R484" s="306">
        <f t="shared" ca="1" si="223"/>
        <v>0</v>
      </c>
      <c r="S484" s="307">
        <f t="shared" ca="1" si="224"/>
        <v>2.9362999999999984</v>
      </c>
      <c r="T484" s="304">
        <f t="shared" ca="1" si="204"/>
        <v>28.805102999999985</v>
      </c>
      <c r="U484" s="311">
        <f t="shared" ca="1" si="205"/>
        <v>0</v>
      </c>
      <c r="V484" s="306">
        <f t="shared" ca="1" si="206"/>
        <v>1.1951006504622375</v>
      </c>
      <c r="W484" s="304">
        <f t="shared" ca="1" si="207"/>
        <v>25.447238602728589</v>
      </c>
      <c r="Y484" s="314" t="str">
        <f t="shared" ca="1" si="225"/>
        <v/>
      </c>
      <c r="Z484" s="315" t="str">
        <f t="shared" ca="1" si="226"/>
        <v/>
      </c>
      <c r="AA484" s="316" t="str">
        <f t="shared" ca="1" si="227"/>
        <v/>
      </c>
      <c r="AC484" s="310" t="e">
        <f t="shared" ca="1" si="228"/>
        <v>#N/A</v>
      </c>
      <c r="AD484" s="323" t="e">
        <f t="shared" ca="1" si="229"/>
        <v>#N/A</v>
      </c>
      <c r="AE484" s="324" t="e">
        <f t="shared" ca="1" si="208"/>
        <v>#N/A</v>
      </c>
      <c r="AG484" s="306">
        <f t="shared" ca="1" si="230"/>
        <v>1.1326285442316273</v>
      </c>
      <c r="AH484" s="304">
        <f t="shared" ca="1" si="231"/>
        <v>-8.6384256481799273</v>
      </c>
    </row>
    <row r="485" spans="1:34" x14ac:dyDescent="0.2">
      <c r="A485" s="347">
        <f t="shared" ca="1" si="209"/>
        <v>0.1</v>
      </c>
      <c r="B485" s="304">
        <f t="shared" ca="1" si="210"/>
        <v>34.700000000000188</v>
      </c>
      <c r="D485" s="306">
        <f t="shared" ca="1" si="211"/>
        <v>-0.7640914567663889</v>
      </c>
      <c r="E485" s="307">
        <f t="shared" ca="1" si="212"/>
        <v>-1.1773194004313634</v>
      </c>
      <c r="F485" s="304">
        <f t="shared" ca="1" si="213"/>
        <v>1.4035372189348765</v>
      </c>
      <c r="G485" s="306">
        <f t="shared" ca="1" si="214"/>
        <v>8.9299988321046406</v>
      </c>
      <c r="H485" s="307">
        <f t="shared" ca="1" si="215"/>
        <v>-101.87183837990025</v>
      </c>
      <c r="I485" s="304">
        <f t="shared" ca="1" si="216"/>
        <v>102.26248742350202</v>
      </c>
      <c r="J485" s="306">
        <f t="shared" ca="1" si="217"/>
        <v>818.05649340548416</v>
      </c>
      <c r="K485" s="307">
        <f t="shared" ca="1" si="218"/>
        <v>236.91048823538736</v>
      </c>
      <c r="L485" s="304">
        <f t="shared" ca="1" si="203"/>
        <v>851.67071444238741</v>
      </c>
      <c r="M485" s="306">
        <f t="shared" ca="1" si="219"/>
        <v>-1.4833606745738734</v>
      </c>
      <c r="N485" s="304">
        <f t="shared" ca="1" si="220"/>
        <v>-84.990306148761718</v>
      </c>
      <c r="P485" s="310">
        <f t="shared" ca="1" si="221"/>
        <v>23</v>
      </c>
      <c r="Q485" s="304">
        <f t="shared" ca="1" si="222"/>
        <v>0</v>
      </c>
      <c r="R485" s="306">
        <f t="shared" ca="1" si="223"/>
        <v>0</v>
      </c>
      <c r="S485" s="307">
        <f t="shared" ca="1" si="224"/>
        <v>2.9362999999999984</v>
      </c>
      <c r="T485" s="304">
        <f t="shared" ca="1" si="204"/>
        <v>28.805102999999985</v>
      </c>
      <c r="U485" s="311">
        <f t="shared" ca="1" si="205"/>
        <v>0</v>
      </c>
      <c r="V485" s="306">
        <f t="shared" ca="1" si="206"/>
        <v>1.1963182159641352</v>
      </c>
      <c r="W485" s="304">
        <f t="shared" ca="1" si="207"/>
        <v>25.528340358510814</v>
      </c>
      <c r="Y485" s="314" t="str">
        <f t="shared" ca="1" si="225"/>
        <v/>
      </c>
      <c r="Z485" s="315" t="str">
        <f t="shared" ca="1" si="226"/>
        <v/>
      </c>
      <c r="AA485" s="316" t="str">
        <f t="shared" ca="1" si="227"/>
        <v/>
      </c>
      <c r="AC485" s="310" t="e">
        <f t="shared" ca="1" si="228"/>
        <v>#N/A</v>
      </c>
      <c r="AD485" s="323" t="e">
        <f t="shared" ca="1" si="229"/>
        <v>#N/A</v>
      </c>
      <c r="AE485" s="324" t="e">
        <f t="shared" ca="1" si="208"/>
        <v>#N/A</v>
      </c>
      <c r="AG485" s="306">
        <f t="shared" ca="1" si="230"/>
        <v>1.1053670912206393</v>
      </c>
      <c r="AH485" s="304">
        <f t="shared" ca="1" si="231"/>
        <v>-8.6664300659771154</v>
      </c>
    </row>
    <row r="486" spans="1:34" x14ac:dyDescent="0.2">
      <c r="A486" s="347">
        <f t="shared" ca="1" si="209"/>
        <v>0.1</v>
      </c>
      <c r="B486" s="304">
        <f t="shared" ca="1" si="210"/>
        <v>34.800000000000189</v>
      </c>
      <c r="D486" s="306">
        <f t="shared" ca="1" si="211"/>
        <v>-0.75920175998337835</v>
      </c>
      <c r="E486" s="307">
        <f t="shared" ca="1" si="212"/>
        <v>-1.1491613543431285</v>
      </c>
      <c r="F486" s="304">
        <f t="shared" ca="1" si="213"/>
        <v>1.3773013942770815</v>
      </c>
      <c r="G486" s="306">
        <f t="shared" ca="1" si="214"/>
        <v>8.854078656106303</v>
      </c>
      <c r="H486" s="307">
        <f t="shared" ca="1" si="215"/>
        <v>-101.98675451533457</v>
      </c>
      <c r="I486" s="304">
        <f t="shared" ca="1" si="216"/>
        <v>102.37037073987587</v>
      </c>
      <c r="J486" s="306">
        <f t="shared" ca="1" si="217"/>
        <v>818.94569727989472</v>
      </c>
      <c r="K486" s="307">
        <f t="shared" ca="1" si="218"/>
        <v>226.71755859062563</v>
      </c>
      <c r="L486" s="304">
        <f t="shared" ca="1" si="203"/>
        <v>849.7487313709546</v>
      </c>
      <c r="M486" s="306">
        <f t="shared" ca="1" si="219"/>
        <v>-1.4841974902972437</v>
      </c>
      <c r="N486" s="304">
        <f t="shared" ca="1" si="220"/>
        <v>-85.038252157941017</v>
      </c>
      <c r="P486" s="310">
        <f t="shared" ca="1" si="221"/>
        <v>23</v>
      </c>
      <c r="Q486" s="304">
        <f t="shared" ca="1" si="222"/>
        <v>0</v>
      </c>
      <c r="R486" s="306">
        <f t="shared" ca="1" si="223"/>
        <v>0</v>
      </c>
      <c r="S486" s="307">
        <f t="shared" ca="1" si="224"/>
        <v>2.9362999999999984</v>
      </c>
      <c r="T486" s="304">
        <f t="shared" ca="1" si="204"/>
        <v>28.805102999999985</v>
      </c>
      <c r="U486" s="311">
        <f t="shared" ca="1" si="205"/>
        <v>0</v>
      </c>
      <c r="V486" s="306">
        <f t="shared" ca="1" si="206"/>
        <v>1.1975384004133127</v>
      </c>
      <c r="W486" s="304">
        <f t="shared" ca="1" si="207"/>
        <v>25.608324357700322</v>
      </c>
      <c r="Y486" s="314" t="str">
        <f t="shared" ca="1" si="225"/>
        <v/>
      </c>
      <c r="Z486" s="315" t="str">
        <f t="shared" ca="1" si="226"/>
        <v/>
      </c>
      <c r="AA486" s="316" t="str">
        <f t="shared" ca="1" si="227"/>
        <v/>
      </c>
      <c r="AC486" s="310" t="e">
        <f t="shared" ca="1" si="228"/>
        <v>#N/A</v>
      </c>
      <c r="AD486" s="323" t="e">
        <f t="shared" ca="1" si="229"/>
        <v>#N/A</v>
      </c>
      <c r="AE486" s="324" t="e">
        <f t="shared" ca="1" si="208"/>
        <v>#N/A</v>
      </c>
      <c r="AG486" s="306">
        <f t="shared" ca="1" si="230"/>
        <v>1.0784747340962966</v>
      </c>
      <c r="AH486" s="304">
        <f t="shared" ca="1" si="231"/>
        <v>-8.6940504575523025</v>
      </c>
    </row>
    <row r="487" spans="1:34" x14ac:dyDescent="0.2">
      <c r="A487" s="347">
        <f t="shared" ca="1" si="209"/>
        <v>0.1</v>
      </c>
      <c r="B487" s="304">
        <f t="shared" ca="1" si="210"/>
        <v>34.90000000000019</v>
      </c>
      <c r="D487" s="306">
        <f t="shared" ca="1" si="211"/>
        <v>-0.75430995008501101</v>
      </c>
      <c r="E487" s="307">
        <f t="shared" ca="1" si="212"/>
        <v>-1.121391428091842</v>
      </c>
      <c r="F487" s="304">
        <f t="shared" ca="1" si="213"/>
        <v>1.3514814966528816</v>
      </c>
      <c r="G487" s="306">
        <f t="shared" ca="1" si="214"/>
        <v>8.7786476610978017</v>
      </c>
      <c r="H487" s="307">
        <f t="shared" ca="1" si="215"/>
        <v>-102.09889365814375</v>
      </c>
      <c r="I487" s="304">
        <f t="shared" ca="1" si="216"/>
        <v>102.47560071048447</v>
      </c>
      <c r="J487" s="306">
        <f t="shared" ca="1" si="217"/>
        <v>819.82733359575491</v>
      </c>
      <c r="K487" s="307">
        <f t="shared" ca="1" si="218"/>
        <v>216.51327618195171</v>
      </c>
      <c r="L487" s="304">
        <f t="shared" ca="1" si="203"/>
        <v>847.93564359199297</v>
      </c>
      <c r="M487" s="306">
        <f t="shared" ca="1" si="219"/>
        <v>-1.4850254661742164</v>
      </c>
      <c r="N487" s="304">
        <f t="shared" ca="1" si="220"/>
        <v>-85.085691681230188</v>
      </c>
      <c r="P487" s="310">
        <f t="shared" ca="1" si="221"/>
        <v>23</v>
      </c>
      <c r="Q487" s="304">
        <f t="shared" ca="1" si="222"/>
        <v>0</v>
      </c>
      <c r="R487" s="306">
        <f t="shared" ca="1" si="223"/>
        <v>0</v>
      </c>
      <c r="S487" s="307">
        <f t="shared" ca="1" si="224"/>
        <v>2.9362999999999984</v>
      </c>
      <c r="T487" s="304">
        <f t="shared" ca="1" si="204"/>
        <v>28.805102999999985</v>
      </c>
      <c r="U487" s="311">
        <f t="shared" ca="1" si="205"/>
        <v>0</v>
      </c>
      <c r="V487" s="306">
        <f t="shared" ca="1" si="206"/>
        <v>1.1987611763512784</v>
      </c>
      <c r="W487" s="304">
        <f t="shared" ca="1" si="207"/>
        <v>25.68720053600191</v>
      </c>
      <c r="Y487" s="314" t="str">
        <f t="shared" ca="1" si="225"/>
        <v/>
      </c>
      <c r="Z487" s="315" t="str">
        <f t="shared" ca="1" si="226"/>
        <v/>
      </c>
      <c r="AA487" s="316" t="str">
        <f t="shared" ca="1" si="227"/>
        <v/>
      </c>
      <c r="AC487" s="310" t="e">
        <f t="shared" ca="1" si="228"/>
        <v>#N/A</v>
      </c>
      <c r="AD487" s="323" t="e">
        <f t="shared" ca="1" si="229"/>
        <v>#N/A</v>
      </c>
      <c r="AE487" s="324" t="e">
        <f t="shared" ca="1" si="208"/>
        <v>#N/A</v>
      </c>
      <c r="AG487" s="306">
        <f t="shared" ca="1" si="230"/>
        <v>1.0519484484129098</v>
      </c>
      <c r="AH487" s="304">
        <f t="shared" ca="1" si="231"/>
        <v>-8.7212901807377783</v>
      </c>
    </row>
    <row r="488" spans="1:34" x14ac:dyDescent="0.2">
      <c r="A488" s="347">
        <f t="shared" ca="1" si="209"/>
        <v>0.1</v>
      </c>
      <c r="B488" s="304">
        <f t="shared" ca="1" si="210"/>
        <v>35.000000000000192</v>
      </c>
      <c r="D488" s="306">
        <f t="shared" ca="1" si="211"/>
        <v>-0.74941692459229314</v>
      </c>
      <c r="E488" s="307">
        <f t="shared" ca="1" si="212"/>
        <v>-1.094006165478886</v>
      </c>
      <c r="F488" s="304">
        <f t="shared" ca="1" si="213"/>
        <v>1.3260751173938776</v>
      </c>
      <c r="G488" s="306">
        <f t="shared" ca="1" si="214"/>
        <v>8.7037059686385732</v>
      </c>
      <c r="H488" s="307">
        <f t="shared" ca="1" si="215"/>
        <v>-102.20829427469164</v>
      </c>
      <c r="I488" s="304">
        <f t="shared" ca="1" si="216"/>
        <v>102.57821365246365</v>
      </c>
      <c r="J488" s="306">
        <f t="shared" ca="1" si="217"/>
        <v>820.70145127724174</v>
      </c>
      <c r="K488" s="307">
        <f t="shared" ca="1" si="218"/>
        <v>206.29791678530995</v>
      </c>
      <c r="L488" s="304">
        <f t="shared" ca="1" si="203"/>
        <v>846.23265276076972</v>
      </c>
      <c r="M488" s="306">
        <f t="shared" ca="1" si="219"/>
        <v>-1.4858447248891751</v>
      </c>
      <c r="N488" s="304">
        <f t="shared" ca="1" si="220"/>
        <v>-85.132631747926638</v>
      </c>
      <c r="P488" s="310">
        <f t="shared" ca="1" si="221"/>
        <v>23</v>
      </c>
      <c r="Q488" s="304">
        <f t="shared" ca="1" si="222"/>
        <v>0</v>
      </c>
      <c r="R488" s="306">
        <f t="shared" ca="1" si="223"/>
        <v>0</v>
      </c>
      <c r="S488" s="307">
        <f t="shared" ca="1" si="224"/>
        <v>2.9362999999999984</v>
      </c>
      <c r="T488" s="304">
        <f t="shared" ca="1" si="204"/>
        <v>28.805102999999985</v>
      </c>
      <c r="U488" s="311">
        <f t="shared" ca="1" si="205"/>
        <v>0</v>
      </c>
      <c r="V488" s="306">
        <f t="shared" ca="1" si="206"/>
        <v>1.199986516668937</v>
      </c>
      <c r="W488" s="304">
        <f t="shared" ca="1" si="207"/>
        <v>25.764978898690455</v>
      </c>
      <c r="Y488" s="314" t="str">
        <f t="shared" ca="1" si="225"/>
        <v/>
      </c>
      <c r="Z488" s="315" t="str">
        <f t="shared" ca="1" si="226"/>
        <v/>
      </c>
      <c r="AA488" s="316" t="str">
        <f t="shared" ca="1" si="227"/>
        <v/>
      </c>
      <c r="AC488" s="310">
        <f t="shared" ca="1" si="228"/>
        <v>35.000000000000192</v>
      </c>
      <c r="AD488" s="323">
        <f t="shared" ca="1" si="229"/>
        <v>820.70145127724174</v>
      </c>
      <c r="AE488" s="324" t="e">
        <f t="shared" ca="1" si="208"/>
        <v>#N/A</v>
      </c>
      <c r="AG488" s="306">
        <f t="shared" ca="1" si="230"/>
        <v>1.0257851751004008</v>
      </c>
      <c r="AH488" s="304">
        <f t="shared" ca="1" si="231"/>
        <v>-8.7481526192834256</v>
      </c>
    </row>
    <row r="489" spans="1:34" x14ac:dyDescent="0.2">
      <c r="A489" s="347">
        <f t="shared" ca="1" si="209"/>
        <v>0.1</v>
      </c>
      <c r="B489" s="304">
        <f t="shared" ca="1" si="210"/>
        <v>35.100000000000193</v>
      </c>
      <c r="D489" s="306">
        <f t="shared" ca="1" si="211"/>
        <v>-0.74452356009317688</v>
      </c>
      <c r="E489" s="307">
        <f t="shared" ca="1" si="212"/>
        <v>-1.067002086394309</v>
      </c>
      <c r="F489" s="304">
        <f t="shared" ca="1" si="213"/>
        <v>1.3010798530081182</v>
      </c>
      <c r="G489" s="306">
        <f t="shared" ca="1" si="214"/>
        <v>8.6292536126292561</v>
      </c>
      <c r="H489" s="307">
        <f t="shared" ca="1" si="215"/>
        <v>-102.31499448333106</v>
      </c>
      <c r="I489" s="304">
        <f t="shared" ca="1" si="216"/>
        <v>102.67824557341804</v>
      </c>
      <c r="J489" s="306">
        <f t="shared" ca="1" si="217"/>
        <v>821.56809925630512</v>
      </c>
      <c r="K489" s="307">
        <f t="shared" ca="1" si="218"/>
        <v>196.07175234740882</v>
      </c>
      <c r="L489" s="304">
        <f t="shared" ca="1" si="203"/>
        <v>844.64091410741025</v>
      </c>
      <c r="M489" s="306">
        <f t="shared" ca="1" si="219"/>
        <v>-1.4866553866634014</v>
      </c>
      <c r="N489" s="304">
        <f t="shared" ca="1" si="220"/>
        <v>-85.179079246202392</v>
      </c>
      <c r="P489" s="310">
        <f t="shared" ca="1" si="221"/>
        <v>23</v>
      </c>
      <c r="Q489" s="304">
        <f t="shared" ca="1" si="222"/>
        <v>0</v>
      </c>
      <c r="R489" s="306">
        <f t="shared" ca="1" si="223"/>
        <v>0</v>
      </c>
      <c r="S489" s="307">
        <f t="shared" ca="1" si="224"/>
        <v>2.9362999999999984</v>
      </c>
      <c r="T489" s="304">
        <f t="shared" ca="1" si="204"/>
        <v>28.805102999999985</v>
      </c>
      <c r="U489" s="311">
        <f t="shared" ca="1" si="205"/>
        <v>0</v>
      </c>
      <c r="V489" s="306">
        <f t="shared" ca="1" si="206"/>
        <v>1.2012143946039746</v>
      </c>
      <c r="W489" s="304">
        <f t="shared" ca="1" si="207"/>
        <v>25.841669514261643</v>
      </c>
      <c r="Y489" s="314" t="str">
        <f t="shared" ca="1" si="225"/>
        <v/>
      </c>
      <c r="Z489" s="315" t="str">
        <f t="shared" ca="1" si="226"/>
        <v/>
      </c>
      <c r="AA489" s="316" t="str">
        <f t="shared" ca="1" si="227"/>
        <v/>
      </c>
      <c r="AC489" s="310" t="e">
        <f t="shared" ca="1" si="228"/>
        <v>#N/A</v>
      </c>
      <c r="AD489" s="323" t="e">
        <f t="shared" ca="1" si="229"/>
        <v>#N/A</v>
      </c>
      <c r="AE489" s="324" t="e">
        <f t="shared" ca="1" si="208"/>
        <v>#N/A</v>
      </c>
      <c r="AG489" s="306">
        <f t="shared" ca="1" si="230"/>
        <v>0.99998182295954763</v>
      </c>
      <c r="AH489" s="304">
        <f t="shared" ca="1" si="231"/>
        <v>-8.7746411806322477</v>
      </c>
    </row>
    <row r="490" spans="1:34" x14ac:dyDescent="0.2">
      <c r="A490" s="347">
        <f t="shared" ca="1" si="209"/>
        <v>0.1</v>
      </c>
      <c r="B490" s="304">
        <f t="shared" ca="1" si="210"/>
        <v>35.200000000000195</v>
      </c>
      <c r="D490" s="306">
        <f t="shared" ca="1" si="211"/>
        <v>-0.73963071247881462</v>
      </c>
      <c r="E490" s="307">
        <f t="shared" ca="1" si="212"/>
        <v>-1.040375689014601</v>
      </c>
      <c r="F490" s="304">
        <f t="shared" ca="1" si="213"/>
        <v>1.2764933079082414</v>
      </c>
      <c r="G490" s="306">
        <f t="shared" ca="1" si="214"/>
        <v>8.5552905413813747</v>
      </c>
      <c r="H490" s="307">
        <f t="shared" ca="1" si="215"/>
        <v>-102.41903205223252</v>
      </c>
      <c r="I490" s="304">
        <f t="shared" ca="1" si="216"/>
        <v>102.77573216846321</v>
      </c>
      <c r="J490" s="306">
        <f t="shared" ca="1" si="217"/>
        <v>822.42732646400566</v>
      </c>
      <c r="K490" s="307">
        <f t="shared" ca="1" si="218"/>
        <v>185.83505102063063</v>
      </c>
      <c r="L490" s="304">
        <f t="shared" ca="1" si="203"/>
        <v>843.16153464361298</v>
      </c>
      <c r="M490" s="306">
        <f t="shared" ca="1" si="219"/>
        <v>-1.4874575693200489</v>
      </c>
      <c r="N490" s="304">
        <f t="shared" ca="1" si="220"/>
        <v>-85.225040926826892</v>
      </c>
      <c r="P490" s="310">
        <f t="shared" ca="1" si="221"/>
        <v>23</v>
      </c>
      <c r="Q490" s="304">
        <f t="shared" ca="1" si="222"/>
        <v>0</v>
      </c>
      <c r="R490" s="306">
        <f t="shared" ca="1" si="223"/>
        <v>0</v>
      </c>
      <c r="S490" s="307">
        <f t="shared" ca="1" si="224"/>
        <v>2.9362999999999984</v>
      </c>
      <c r="T490" s="304">
        <f t="shared" ca="1" si="204"/>
        <v>28.805102999999985</v>
      </c>
      <c r="U490" s="311">
        <f t="shared" ca="1" si="205"/>
        <v>0</v>
      </c>
      <c r="V490" s="306">
        <f t="shared" ca="1" si="206"/>
        <v>1.2024447837382126</v>
      </c>
      <c r="W490" s="304">
        <f t="shared" ca="1" si="207"/>
        <v>25.917282508262655</v>
      </c>
      <c r="Y490" s="314" t="str">
        <f t="shared" ca="1" si="225"/>
        <v/>
      </c>
      <c r="Z490" s="315" t="str">
        <f t="shared" ca="1" si="226"/>
        <v/>
      </c>
      <c r="AA490" s="316" t="str">
        <f t="shared" ca="1" si="227"/>
        <v/>
      </c>
      <c r="AC490" s="310" t="e">
        <f t="shared" ca="1" si="228"/>
        <v>#N/A</v>
      </c>
      <c r="AD490" s="323" t="e">
        <f t="shared" ca="1" si="229"/>
        <v>#N/A</v>
      </c>
      <c r="AE490" s="324" t="e">
        <f t="shared" ca="1" si="208"/>
        <v>#N/A</v>
      </c>
      <c r="AG490" s="306">
        <f t="shared" ca="1" si="230"/>
        <v>0.97453527108527283</v>
      </c>
      <c r="AH490" s="304">
        <f t="shared" ca="1" si="231"/>
        <v>-8.8007592937580146</v>
      </c>
    </row>
    <row r="491" spans="1:34" x14ac:dyDescent="0.2">
      <c r="A491" s="347">
        <f t="shared" ca="1" si="209"/>
        <v>0.1</v>
      </c>
      <c r="B491" s="304">
        <f t="shared" ca="1" si="210"/>
        <v>35.300000000000196</v>
      </c>
      <c r="D491" s="306">
        <f t="shared" ca="1" si="211"/>
        <v>-0.73473921718391866</v>
      </c>
      <c r="E491" s="307">
        <f t="shared" ca="1" si="212"/>
        <v>-1.0141234519381221</v>
      </c>
      <c r="F491" s="304">
        <f t="shared" ca="1" si="213"/>
        <v>1.25231309704839</v>
      </c>
      <c r="G491" s="306">
        <f t="shared" ca="1" si="214"/>
        <v>8.4818166196629825</v>
      </c>
      <c r="H491" s="307">
        <f t="shared" ca="1" si="215"/>
        <v>-102.52044439742633</v>
      </c>
      <c r="I491" s="304">
        <f t="shared" ca="1" si="216"/>
        <v>102.87070881750245</v>
      </c>
      <c r="J491" s="306">
        <f t="shared" ca="1" si="217"/>
        <v>823.27918182205792</v>
      </c>
      <c r="K491" s="307">
        <f t="shared" ca="1" si="218"/>
        <v>175.58807719814769</v>
      </c>
      <c r="L491" s="304">
        <f t="shared" ca="1" si="203"/>
        <v>841.79557142796841</v>
      </c>
      <c r="M491" s="306">
        <f t="shared" ca="1" si="219"/>
        <v>-1.4882513883470967</v>
      </c>
      <c r="N491" s="304">
        <f t="shared" ca="1" si="220"/>
        <v>-85.270523406773904</v>
      </c>
      <c r="P491" s="310">
        <f t="shared" ca="1" si="221"/>
        <v>23</v>
      </c>
      <c r="Q491" s="304">
        <f t="shared" ca="1" si="222"/>
        <v>0</v>
      </c>
      <c r="R491" s="306">
        <f t="shared" ca="1" si="223"/>
        <v>0</v>
      </c>
      <c r="S491" s="307">
        <f t="shared" ca="1" si="224"/>
        <v>2.9362999999999984</v>
      </c>
      <c r="T491" s="304">
        <f t="shared" ca="1" si="204"/>
        <v>28.805102999999985</v>
      </c>
      <c r="U491" s="311">
        <f t="shared" ca="1" si="205"/>
        <v>0</v>
      </c>
      <c r="V491" s="306">
        <f t="shared" ca="1" si="206"/>
        <v>1.2036776579949287</v>
      </c>
      <c r="W491" s="304">
        <f t="shared" ca="1" si="207"/>
        <v>25.99182805730063</v>
      </c>
      <c r="Y491" s="314" t="str">
        <f t="shared" ca="1" si="225"/>
        <v/>
      </c>
      <c r="Z491" s="315" t="str">
        <f t="shared" ca="1" si="226"/>
        <v/>
      </c>
      <c r="AA491" s="316" t="str">
        <f t="shared" ca="1" si="227"/>
        <v/>
      </c>
      <c r="AC491" s="310" t="e">
        <f t="shared" ca="1" si="228"/>
        <v>#N/A</v>
      </c>
      <c r="AD491" s="323" t="e">
        <f t="shared" ca="1" si="229"/>
        <v>#N/A</v>
      </c>
      <c r="AE491" s="324" t="e">
        <f t="shared" ca="1" si="208"/>
        <v>#N/A</v>
      </c>
      <c r="AG491" s="306">
        <f t="shared" ca="1" si="230"/>
        <v>0.94944237121920594</v>
      </c>
      <c r="AH491" s="304">
        <f t="shared" ca="1" si="231"/>
        <v>-8.8265104070642195</v>
      </c>
    </row>
    <row r="492" spans="1:34" x14ac:dyDescent="0.2">
      <c r="A492" s="347">
        <f t="shared" ca="1" si="209"/>
        <v>0.1</v>
      </c>
      <c r="B492" s="304">
        <f t="shared" ca="1" si="210"/>
        <v>35.400000000000198</v>
      </c>
      <c r="D492" s="306">
        <f t="shared" ca="1" si="211"/>
        <v>-0.72984988943087881</v>
      </c>
      <c r="E492" s="307">
        <f t="shared" ca="1" si="212"/>
        <v>-0.98824183625898776</v>
      </c>
      <c r="F492" s="304">
        <f t="shared" ca="1" si="213"/>
        <v>1.2285368484643844</v>
      </c>
      <c r="G492" s="306">
        <f t="shared" ca="1" si="214"/>
        <v>8.4088316307198951</v>
      </c>
      <c r="H492" s="307">
        <f t="shared" ca="1" si="215"/>
        <v>-102.61926858105222</v>
      </c>
      <c r="I492" s="304">
        <f t="shared" ca="1" si="216"/>
        <v>102.96321058273158</v>
      </c>
      <c r="J492" s="306">
        <f t="shared" ca="1" si="217"/>
        <v>824.12371423457705</v>
      </c>
      <c r="K492" s="307">
        <f t="shared" ca="1" si="218"/>
        <v>165.33109154922377</v>
      </c>
      <c r="L492" s="304">
        <f t="shared" ca="1" si="203"/>
        <v>840.54402989769233</v>
      </c>
      <c r="M492" s="306">
        <f t="shared" ca="1" si="219"/>
        <v>-1.4890369569583541</v>
      </c>
      <c r="N492" s="304">
        <f t="shared" ca="1" si="220"/>
        <v>-85.315533172716911</v>
      </c>
      <c r="P492" s="310">
        <f t="shared" ca="1" si="221"/>
        <v>23</v>
      </c>
      <c r="Q492" s="304">
        <f t="shared" ca="1" si="222"/>
        <v>0</v>
      </c>
      <c r="R492" s="306">
        <f t="shared" ca="1" si="223"/>
        <v>0</v>
      </c>
      <c r="S492" s="307">
        <f t="shared" ca="1" si="224"/>
        <v>2.9362999999999984</v>
      </c>
      <c r="T492" s="304">
        <f t="shared" ca="1" si="204"/>
        <v>28.805102999999985</v>
      </c>
      <c r="U492" s="311">
        <f t="shared" ca="1" si="205"/>
        <v>0</v>
      </c>
      <c r="V492" s="306">
        <f t="shared" ca="1" si="206"/>
        <v>1.2049129916361581</v>
      </c>
      <c r="W492" s="304">
        <f t="shared" ca="1" si="207"/>
        <v>26.065316383226769</v>
      </c>
      <c r="Y492" s="314" t="str">
        <f t="shared" ca="1" si="225"/>
        <v/>
      </c>
      <c r="Z492" s="315" t="str">
        <f t="shared" ca="1" si="226"/>
        <v/>
      </c>
      <c r="AA492" s="316" t="str">
        <f t="shared" ca="1" si="227"/>
        <v/>
      </c>
      <c r="AC492" s="310" t="e">
        <f t="shared" ca="1" si="228"/>
        <v>#N/A</v>
      </c>
      <c r="AD492" s="323" t="e">
        <f t="shared" ca="1" si="229"/>
        <v>#N/A</v>
      </c>
      <c r="AE492" s="324" t="e">
        <f t="shared" ca="1" si="208"/>
        <v>#N/A</v>
      </c>
      <c r="AG492" s="306">
        <f t="shared" ca="1" si="230"/>
        <v>0.9246999500326325</v>
      </c>
      <c r="AH492" s="304">
        <f t="shared" ca="1" si="231"/>
        <v>-8.8518979863435767</v>
      </c>
    </row>
    <row r="493" spans="1:34" x14ac:dyDescent="0.2">
      <c r="A493" s="347">
        <f t="shared" ca="1" si="209"/>
        <v>0.1</v>
      </c>
      <c r="B493" s="304">
        <f t="shared" ca="1" si="210"/>
        <v>35.500000000000199</v>
      </c>
      <c r="D493" s="306">
        <f t="shared" ca="1" si="211"/>
        <v>-0.72496352447729107</v>
      </c>
      <c r="E493" s="307">
        <f t="shared" ca="1" si="212"/>
        <v>-0.96272728758011539</v>
      </c>
      <c r="F493" s="304">
        <f t="shared" ca="1" si="213"/>
        <v>1.2051622057108753</v>
      </c>
      <c r="G493" s="306">
        <f t="shared" ca="1" si="214"/>
        <v>8.3363352782721662</v>
      </c>
      <c r="H493" s="307">
        <f t="shared" ca="1" si="215"/>
        <v>-102.71554130981023</v>
      </c>
      <c r="I493" s="304">
        <f t="shared" ca="1" si="216"/>
        <v>103.0532722063647</v>
      </c>
      <c r="J493" s="306">
        <f t="shared" ca="1" si="217"/>
        <v>824.96097258002669</v>
      </c>
      <c r="K493" s="307">
        <f t="shared" ca="1" si="218"/>
        <v>155.06435105468066</v>
      </c>
      <c r="L493" s="304">
        <f t="shared" ca="1" si="203"/>
        <v>839.40786227446836</v>
      </c>
      <c r="M493" s="306">
        <f t="shared" ca="1" si="219"/>
        <v>-1.4898143861525841</v>
      </c>
      <c r="N493" s="304">
        <f t="shared" ca="1" si="220"/>
        <v>-85.360076584416547</v>
      </c>
      <c r="P493" s="310">
        <f t="shared" ca="1" si="221"/>
        <v>23</v>
      </c>
      <c r="Q493" s="304">
        <f t="shared" ca="1" si="222"/>
        <v>0</v>
      </c>
      <c r="R493" s="306">
        <f t="shared" ca="1" si="223"/>
        <v>0</v>
      </c>
      <c r="S493" s="307">
        <f t="shared" ca="1" si="224"/>
        <v>2.9362999999999984</v>
      </c>
      <c r="T493" s="304">
        <f t="shared" ca="1" si="204"/>
        <v>28.805102999999985</v>
      </c>
      <c r="U493" s="311">
        <f t="shared" ca="1" si="205"/>
        <v>0</v>
      </c>
      <c r="V493" s="306">
        <f t="shared" ca="1" si="206"/>
        <v>1.2061507592599632</v>
      </c>
      <c r="W493" s="304">
        <f t="shared" ca="1" si="207"/>
        <v>26.137757747493435</v>
      </c>
      <c r="Y493" s="314" t="str">
        <f t="shared" ca="1" si="225"/>
        <v/>
      </c>
      <c r="Z493" s="315" t="str">
        <f t="shared" ca="1" si="226"/>
        <v/>
      </c>
      <c r="AA493" s="316" t="str">
        <f t="shared" ca="1" si="227"/>
        <v/>
      </c>
      <c r="AC493" s="310" t="e">
        <f t="shared" ca="1" si="228"/>
        <v>#N/A</v>
      </c>
      <c r="AD493" s="323" t="e">
        <f t="shared" ca="1" si="229"/>
        <v>#N/A</v>
      </c>
      <c r="AE493" s="324" t="e">
        <f t="shared" ca="1" si="208"/>
        <v>#N/A</v>
      </c>
      <c r="AG493" s="306">
        <f t="shared" ca="1" si="230"/>
        <v>0.90030481134099105</v>
      </c>
      <c r="AH493" s="304">
        <f t="shared" ca="1" si="231"/>
        <v>-8.8769255127973246</v>
      </c>
    </row>
    <row r="494" spans="1:34" x14ac:dyDescent="0.2">
      <c r="A494" s="347">
        <f t="shared" ca="1" si="209"/>
        <v>0.1</v>
      </c>
      <c r="B494" s="304">
        <f t="shared" ca="1" si="210"/>
        <v>35.6000000000002</v>
      </c>
      <c r="D494" s="306">
        <f t="shared" ca="1" si="211"/>
        <v>-0.72008089786659291</v>
      </c>
      <c r="E494" s="307">
        <f t="shared" ca="1" si="212"/>
        <v>-0.93757623796636125</v>
      </c>
      <c r="F494" s="304">
        <f t="shared" ca="1" si="213"/>
        <v>1.1821868301886609</v>
      </c>
      <c r="G494" s="306">
        <f t="shared" ca="1" si="214"/>
        <v>8.2643271884855061</v>
      </c>
      <c r="H494" s="307">
        <f t="shared" ca="1" si="215"/>
        <v>-102.80929893360687</v>
      </c>
      <c r="I494" s="304">
        <f t="shared" ca="1" si="216"/>
        <v>103.14092810857423</v>
      </c>
      <c r="J494" s="306">
        <f t="shared" ca="1" si="217"/>
        <v>825.79100570336459</v>
      </c>
      <c r="K494" s="307">
        <f t="shared" ca="1" si="218"/>
        <v>144.7881090425098</v>
      </c>
      <c r="L494" s="304">
        <f t="shared" ca="1" si="203"/>
        <v>838.38796605192283</v>
      </c>
      <c r="M494" s="306">
        <f t="shared" ca="1" si="219"/>
        <v>-1.4905837847708121</v>
      </c>
      <c r="N494" s="304">
        <f t="shared" ca="1" si="220"/>
        <v>-85.404159878004208</v>
      </c>
      <c r="P494" s="310">
        <f t="shared" ca="1" si="221"/>
        <v>23</v>
      </c>
      <c r="Q494" s="304">
        <f t="shared" ca="1" si="222"/>
        <v>0</v>
      </c>
      <c r="R494" s="306">
        <f t="shared" ca="1" si="223"/>
        <v>0</v>
      </c>
      <c r="S494" s="307">
        <f t="shared" ca="1" si="224"/>
        <v>2.9362999999999984</v>
      </c>
      <c r="T494" s="304">
        <f t="shared" ca="1" si="204"/>
        <v>28.805102999999985</v>
      </c>
      <c r="U494" s="311">
        <f t="shared" ca="1" si="205"/>
        <v>0</v>
      </c>
      <c r="V494" s="306">
        <f t="shared" ca="1" si="206"/>
        <v>1.2073909357976855</v>
      </c>
      <c r="W494" s="304">
        <f t="shared" ca="1" si="207"/>
        <v>26.20916244568199</v>
      </c>
      <c r="Y494" s="314" t="str">
        <f t="shared" ca="1" si="225"/>
        <v/>
      </c>
      <c r="Z494" s="315" t="str">
        <f t="shared" ca="1" si="226"/>
        <v/>
      </c>
      <c r="AA494" s="316" t="str">
        <f t="shared" ca="1" si="227"/>
        <v/>
      </c>
      <c r="AC494" s="310" t="e">
        <f t="shared" ca="1" si="228"/>
        <v>#N/A</v>
      </c>
      <c r="AD494" s="323" t="e">
        <f t="shared" ca="1" si="229"/>
        <v>#N/A</v>
      </c>
      <c r="AE494" s="324" t="e">
        <f t="shared" ca="1" si="208"/>
        <v>#N/A</v>
      </c>
      <c r="AG494" s="306">
        <f t="shared" ca="1" si="230"/>
        <v>0.87625373825109598</v>
      </c>
      <c r="AH494" s="304">
        <f t="shared" ca="1" si="231"/>
        <v>-8.9015964811134598</v>
      </c>
    </row>
    <row r="495" spans="1:34" x14ac:dyDescent="0.2">
      <c r="A495" s="347">
        <f t="shared" ca="1" si="209"/>
        <v>0.1</v>
      </c>
      <c r="B495" s="304">
        <f t="shared" ca="1" si="210"/>
        <v>35.700000000000202</v>
      </c>
      <c r="D495" s="306">
        <f t="shared" ca="1" si="211"/>
        <v>-0.7152027656814669</v>
      </c>
      <c r="E495" s="307">
        <f t="shared" ca="1" si="212"/>
        <v>-0.91278510783851985</v>
      </c>
      <c r="F495" s="304">
        <f t="shared" ca="1" si="213"/>
        <v>1.1596084033544245</v>
      </c>
      <c r="G495" s="306">
        <f t="shared" ca="1" si="214"/>
        <v>8.1928069119173585</v>
      </c>
      <c r="H495" s="307">
        <f t="shared" ca="1" si="215"/>
        <v>-102.90057744439072</v>
      </c>
      <c r="I495" s="304">
        <f t="shared" ca="1" si="216"/>
        <v>103.22621238563883</v>
      </c>
      <c r="J495" s="306">
        <f t="shared" ca="1" si="217"/>
        <v>826.61386240838476</v>
      </c>
      <c r="K495" s="307">
        <f t="shared" ca="1" si="218"/>
        <v>134.50261522360992</v>
      </c>
      <c r="L495" s="304">
        <f t="shared" ca="1" si="203"/>
        <v>837.48518257202522</v>
      </c>
      <c r="M495" s="306">
        <f t="shared" ca="1" si="219"/>
        <v>-1.4913452595518846</v>
      </c>
      <c r="N495" s="304">
        <f t="shared" ca="1" si="220"/>
        <v>-85.447789169165304</v>
      </c>
      <c r="P495" s="310">
        <f t="shared" ca="1" si="221"/>
        <v>23</v>
      </c>
      <c r="Q495" s="304">
        <f t="shared" ca="1" si="222"/>
        <v>0</v>
      </c>
      <c r="R495" s="306">
        <f t="shared" ca="1" si="223"/>
        <v>0</v>
      </c>
      <c r="S495" s="307">
        <f t="shared" ca="1" si="224"/>
        <v>2.9362999999999984</v>
      </c>
      <c r="T495" s="304">
        <f t="shared" ca="1" si="204"/>
        <v>28.805102999999985</v>
      </c>
      <c r="U495" s="311">
        <f t="shared" ca="1" si="205"/>
        <v>0</v>
      </c>
      <c r="V495" s="306">
        <f t="shared" ca="1" si="206"/>
        <v>1.2086334965111736</v>
      </c>
      <c r="W495" s="304">
        <f t="shared" ca="1" si="207"/>
        <v>26.279540802198802</v>
      </c>
      <c r="Y495" s="314" t="str">
        <f t="shared" ca="1" si="225"/>
        <v/>
      </c>
      <c r="Z495" s="315" t="str">
        <f t="shared" ca="1" si="226"/>
        <v/>
      </c>
      <c r="AA495" s="316" t="str">
        <f t="shared" ca="1" si="227"/>
        <v/>
      </c>
      <c r="AC495" s="310" t="e">
        <f t="shared" ca="1" si="228"/>
        <v>#N/A</v>
      </c>
      <c r="AD495" s="323" t="e">
        <f t="shared" ca="1" si="229"/>
        <v>#N/A</v>
      </c>
      <c r="AE495" s="324" t="e">
        <f t="shared" ca="1" si="208"/>
        <v>#N/A</v>
      </c>
      <c r="AG495" s="306">
        <f t="shared" ca="1" si="230"/>
        <v>0.8525434952422497</v>
      </c>
      <c r="AH495" s="304">
        <f t="shared" ca="1" si="231"/>
        <v>-8.9259143976031083</v>
      </c>
    </row>
    <row r="496" spans="1:34" x14ac:dyDescent="0.2">
      <c r="A496" s="347">
        <f t="shared" ca="1" si="209"/>
        <v>0.1</v>
      </c>
      <c r="B496" s="304">
        <f t="shared" ca="1" si="210"/>
        <v>35.800000000000203</v>
      </c>
      <c r="D496" s="306">
        <f t="shared" ca="1" si="211"/>
        <v>-0.71032986479971882</v>
      </c>
      <c r="E496" s="307">
        <f t="shared" ca="1" si="212"/>
        <v>-0.88835030780908575</v>
      </c>
      <c r="F496" s="304">
        <f t="shared" ca="1" si="213"/>
        <v>1.137424628804425</v>
      </c>
      <c r="G496" s="306">
        <f t="shared" ca="1" si="214"/>
        <v>8.1217739254373864</v>
      </c>
      <c r="H496" s="307">
        <f t="shared" ca="1" si="215"/>
        <v>-102.98941247517163</v>
      </c>
      <c r="I496" s="304">
        <f t="shared" ca="1" si="216"/>
        <v>103.30915880829228</v>
      </c>
      <c r="J496" s="306">
        <f t="shared" ca="1" si="217"/>
        <v>827.42959145025247</v>
      </c>
      <c r="K496" s="307">
        <f t="shared" ca="1" si="218"/>
        <v>124.20811572763181</v>
      </c>
      <c r="L496" s="304">
        <f t="shared" ca="1" si="203"/>
        <v>836.70029569741428</v>
      </c>
      <c r="M496" s="306">
        <f t="shared" ca="1" si="219"/>
        <v>-1.4920989151863346</v>
      </c>
      <c r="N496" s="304">
        <f t="shared" ca="1" si="220"/>
        <v>-85.490970456225554</v>
      </c>
      <c r="P496" s="310">
        <f t="shared" ca="1" si="221"/>
        <v>23</v>
      </c>
      <c r="Q496" s="304">
        <f t="shared" ca="1" si="222"/>
        <v>0</v>
      </c>
      <c r="R496" s="306">
        <f t="shared" ca="1" si="223"/>
        <v>0</v>
      </c>
      <c r="S496" s="307">
        <f t="shared" ca="1" si="224"/>
        <v>2.9362999999999984</v>
      </c>
      <c r="T496" s="304">
        <f t="shared" ca="1" si="204"/>
        <v>28.805102999999985</v>
      </c>
      <c r="U496" s="311">
        <f t="shared" ca="1" si="205"/>
        <v>0</v>
      </c>
      <c r="V496" s="306">
        <f t="shared" ca="1" si="206"/>
        <v>1.2098784169899897</v>
      </c>
      <c r="W496" s="304">
        <f t="shared" ca="1" si="207"/>
        <v>26.348903165136708</v>
      </c>
      <c r="Y496" s="314" t="str">
        <f t="shared" ca="1" si="225"/>
        <v/>
      </c>
      <c r="Z496" s="315" t="str">
        <f t="shared" ca="1" si="226"/>
        <v/>
      </c>
      <c r="AA496" s="316" t="str">
        <f t="shared" ca="1" si="227"/>
        <v/>
      </c>
      <c r="AC496" s="310" t="e">
        <f t="shared" ca="1" si="228"/>
        <v>#N/A</v>
      </c>
      <c r="AD496" s="323" t="e">
        <f t="shared" ca="1" si="229"/>
        <v>#N/A</v>
      </c>
      <c r="AE496" s="324" t="e">
        <f t="shared" ca="1" si="208"/>
        <v>#N/A</v>
      </c>
      <c r="AG496" s="306">
        <f t="shared" ca="1" si="230"/>
        <v>0.82917083018239879</v>
      </c>
      <c r="AH496" s="304">
        <f t="shared" ca="1" si="231"/>
        <v>-8.9498827783941746</v>
      </c>
    </row>
    <row r="497" spans="1:34" x14ac:dyDescent="0.2">
      <c r="A497" s="347">
        <f t="shared" ca="1" si="209"/>
        <v>0.1</v>
      </c>
      <c r="B497" s="304">
        <f t="shared" ca="1" si="210"/>
        <v>35.900000000000205</v>
      </c>
      <c r="D497" s="306">
        <f t="shared" ca="1" si="211"/>
        <v>-0.70546291315234799</v>
      </c>
      <c r="E497" s="307">
        <f t="shared" ca="1" si="212"/>
        <v>-0.86426824046069761</v>
      </c>
      <c r="F497" s="304">
        <f t="shared" ca="1" si="213"/>
        <v>1.115633234222801</v>
      </c>
      <c r="G497" s="306">
        <f t="shared" ca="1" si="214"/>
        <v>8.0512276341221511</v>
      </c>
      <c r="H497" s="307">
        <f t="shared" ca="1" si="215"/>
        <v>-103.07583929921771</v>
      </c>
      <c r="I497" s="304">
        <f t="shared" ca="1" si="216"/>
        <v>103.38980082026758</v>
      </c>
      <c r="J497" s="306">
        <f t="shared" ca="1" si="217"/>
        <v>828.23824152823045</v>
      </c>
      <c r="K497" s="307">
        <f t="shared" ca="1" si="218"/>
        <v>113.90485313891234</v>
      </c>
      <c r="L497" s="304">
        <f t="shared" ca="1" si="203"/>
        <v>836.03403058629897</v>
      </c>
      <c r="M497" s="306">
        <f t="shared" ca="1" si="219"/>
        <v>-1.4928448543686177</v>
      </c>
      <c r="N497" s="304">
        <f t="shared" ca="1" si="220"/>
        <v>-85.533709623143807</v>
      </c>
      <c r="P497" s="310">
        <f t="shared" ca="1" si="221"/>
        <v>23</v>
      </c>
      <c r="Q497" s="304">
        <f t="shared" ca="1" si="222"/>
        <v>0</v>
      </c>
      <c r="R497" s="306">
        <f t="shared" ca="1" si="223"/>
        <v>0</v>
      </c>
      <c r="S497" s="307">
        <f t="shared" ca="1" si="224"/>
        <v>2.9362999999999984</v>
      </c>
      <c r="T497" s="304">
        <f t="shared" ca="1" si="204"/>
        <v>28.805102999999985</v>
      </c>
      <c r="U497" s="311">
        <f t="shared" ca="1" si="205"/>
        <v>0</v>
      </c>
      <c r="V497" s="306">
        <f t="shared" ca="1" si="206"/>
        <v>1.2111256731486038</v>
      </c>
      <c r="W497" s="304">
        <f t="shared" ca="1" si="207"/>
        <v>26.417259901299673</v>
      </c>
      <c r="Y497" s="314" t="str">
        <f t="shared" ca="1" si="225"/>
        <v/>
      </c>
      <c r="Z497" s="315" t="str">
        <f t="shared" ca="1" si="226"/>
        <v/>
      </c>
      <c r="AA497" s="316" t="str">
        <f t="shared" ca="1" si="227"/>
        <v/>
      </c>
      <c r="AC497" s="310" t="e">
        <f t="shared" ca="1" si="228"/>
        <v>#N/A</v>
      </c>
      <c r="AD497" s="323" t="e">
        <f t="shared" ca="1" si="229"/>
        <v>#N/A</v>
      </c>
      <c r="AE497" s="324" t="e">
        <f t="shared" ca="1" si="208"/>
        <v>#N/A</v>
      </c>
      <c r="AG497" s="306">
        <f t="shared" ca="1" si="230"/>
        <v>0.80613247628059348</v>
      </c>
      <c r="AH497" s="304">
        <f t="shared" ca="1" si="231"/>
        <v>-8.9735051476813421</v>
      </c>
    </row>
    <row r="498" spans="1:34" x14ac:dyDescent="0.2">
      <c r="A498" s="347">
        <f t="shared" ca="1" si="209"/>
        <v>0.1</v>
      </c>
      <c r="B498" s="304">
        <f t="shared" ca="1" si="210"/>
        <v>36.000000000000206</v>
      </c>
      <c r="D498" s="306">
        <f t="shared" ca="1" si="211"/>
        <v>-0.70060260998350754</v>
      </c>
      <c r="E498" s="307">
        <f t="shared" ca="1" si="212"/>
        <v>-0.84053530206807636</v>
      </c>
      <c r="F498" s="304">
        <f t="shared" ca="1" si="213"/>
        <v>1.0942319731841028</v>
      </c>
      <c r="G498" s="306">
        <f t="shared" ca="1" si="214"/>
        <v>7.9811673731238004</v>
      </c>
      <c r="H498" s="307">
        <f t="shared" ca="1" si="215"/>
        <v>-103.15989282942451</v>
      </c>
      <c r="I498" s="304">
        <f t="shared" ca="1" si="216"/>
        <v>103.46817153702952</v>
      </c>
      <c r="J498" s="306">
        <f t="shared" ca="1" si="217"/>
        <v>829.03986127859275</v>
      </c>
      <c r="K498" s="307">
        <f t="shared" ca="1" si="218"/>
        <v>103.59306653248024</v>
      </c>
      <c r="L498" s="304">
        <f t="shared" ca="1" si="203"/>
        <v>835.48705257617917</v>
      </c>
      <c r="M498" s="306">
        <f t="shared" ca="1" si="219"/>
        <v>-1.4935831778477693</v>
      </c>
      <c r="N498" s="304">
        <f t="shared" ca="1" si="220"/>
        <v>-85.576012442414608</v>
      </c>
      <c r="P498" s="310">
        <f t="shared" ca="1" si="221"/>
        <v>23</v>
      </c>
      <c r="Q498" s="304">
        <f t="shared" ca="1" si="222"/>
        <v>0</v>
      </c>
      <c r="R498" s="306">
        <f t="shared" ca="1" si="223"/>
        <v>0</v>
      </c>
      <c r="S498" s="307">
        <f t="shared" ca="1" si="224"/>
        <v>2.9362999999999984</v>
      </c>
      <c r="T498" s="304">
        <f t="shared" ca="1" si="204"/>
        <v>28.805102999999985</v>
      </c>
      <c r="U498" s="311">
        <f t="shared" ca="1" si="205"/>
        <v>0</v>
      </c>
      <c r="V498" s="306">
        <f t="shared" ca="1" si="206"/>
        <v>1.2123752412235653</v>
      </c>
      <c r="W498" s="304">
        <f t="shared" ca="1" si="207"/>
        <v>26.484621391387673</v>
      </c>
      <c r="Y498" s="314" t="str">
        <f t="shared" ca="1" si="225"/>
        <v/>
      </c>
      <c r="Z498" s="315" t="str">
        <f t="shared" ca="1" si="226"/>
        <v/>
      </c>
      <c r="AA498" s="316" t="str">
        <f t="shared" ca="1" si="227"/>
        <v/>
      </c>
      <c r="AC498" s="310">
        <f t="shared" ca="1" si="228"/>
        <v>36.000000000000206</v>
      </c>
      <c r="AD498" s="323">
        <f t="shared" ca="1" si="229"/>
        <v>829.03986127859275</v>
      </c>
      <c r="AE498" s="324" t="e">
        <f t="shared" ca="1" si="208"/>
        <v>#N/A</v>
      </c>
      <c r="AG498" s="306">
        <f t="shared" ca="1" si="230"/>
        <v>0.78342515397682178</v>
      </c>
      <c r="AH498" s="304">
        <f t="shared" ca="1" si="231"/>
        <v>-8.9967850360316337</v>
      </c>
    </row>
    <row r="499" spans="1:34" x14ac:dyDescent="0.2">
      <c r="A499" s="347">
        <f t="shared" ca="1" si="209"/>
        <v>0.1</v>
      </c>
      <c r="B499" s="304">
        <f t="shared" ca="1" si="210"/>
        <v>36.100000000000207</v>
      </c>
      <c r="D499" s="306">
        <f t="shared" ca="1" si="211"/>
        <v>-0.69574963611210616</v>
      </c>
      <c r="E499" s="307">
        <f t="shared" ca="1" si="212"/>
        <v>-0.81714788426443619</v>
      </c>
      <c r="F499" s="304">
        <f t="shared" ca="1" si="213"/>
        <v>1.0732186267988328</v>
      </c>
      <c r="G499" s="306">
        <f t="shared" ca="1" si="214"/>
        <v>7.9115924095125898</v>
      </c>
      <c r="H499" s="307">
        <f t="shared" ca="1" si="215"/>
        <v>-103.24160761785095</v>
      </c>
      <c r="I499" s="304">
        <f t="shared" ca="1" si="216"/>
        <v>103.54430374468967</v>
      </c>
      <c r="J499" s="306">
        <f t="shared" ca="1" si="217"/>
        <v>829.8344992677246</v>
      </c>
      <c r="K499" s="307">
        <f t="shared" ca="1" si="218"/>
        <v>93.272991510116469</v>
      </c>
      <c r="L499" s="304">
        <f t="shared" ca="1" si="203"/>
        <v>835.0599661821667</v>
      </c>
      <c r="M499" s="306">
        <f t="shared" ca="1" si="219"/>
        <v>-1.4943139844765416</v>
      </c>
      <c r="N499" s="304">
        <f t="shared" ca="1" si="220"/>
        <v>-85.617884577883444</v>
      </c>
      <c r="P499" s="310">
        <f t="shared" ca="1" si="221"/>
        <v>23</v>
      </c>
      <c r="Q499" s="304">
        <f t="shared" ca="1" si="222"/>
        <v>0</v>
      </c>
      <c r="R499" s="306">
        <f t="shared" ca="1" si="223"/>
        <v>0</v>
      </c>
      <c r="S499" s="307">
        <f t="shared" ca="1" si="224"/>
        <v>2.9362999999999984</v>
      </c>
      <c r="T499" s="304">
        <f t="shared" ca="1" si="204"/>
        <v>28.805102999999985</v>
      </c>
      <c r="U499" s="311">
        <f t="shared" ca="1" si="205"/>
        <v>0</v>
      </c>
      <c r="V499" s="306">
        <f t="shared" ca="1" si="206"/>
        <v>1.2136270977706651</v>
      </c>
      <c r="W499" s="304">
        <f t="shared" ca="1" si="207"/>
        <v>26.550998025339211</v>
      </c>
      <c r="Y499" s="314" t="str">
        <f t="shared" ca="1" si="225"/>
        <v/>
      </c>
      <c r="Z499" s="315" t="str">
        <f t="shared" ca="1" si="226"/>
        <v/>
      </c>
      <c r="AA499" s="316" t="str">
        <f t="shared" ca="1" si="227"/>
        <v/>
      </c>
      <c r="AC499" s="310" t="e">
        <f t="shared" ca="1" si="228"/>
        <v>#N/A</v>
      </c>
      <c r="AD499" s="323" t="e">
        <f t="shared" ca="1" si="229"/>
        <v>#N/A</v>
      </c>
      <c r="AE499" s="324" t="e">
        <f t="shared" ca="1" si="208"/>
        <v>#N/A</v>
      </c>
      <c r="AG499" s="306">
        <f t="shared" ca="1" si="230"/>
        <v>0.76104557277044727</v>
      </c>
      <c r="AH499" s="304">
        <f t="shared" ca="1" si="231"/>
        <v>-9.0197259787445727</v>
      </c>
    </row>
    <row r="500" spans="1:34" x14ac:dyDescent="0.2">
      <c r="A500" s="347">
        <f t="shared" ca="1" si="209"/>
        <v>0.1</v>
      </c>
      <c r="B500" s="304">
        <f t="shared" ca="1" si="210"/>
        <v>36.200000000000209</v>
      </c>
      <c r="D500" s="306">
        <f t="shared" ca="1" si="211"/>
        <v>-0.69090465419477209</v>
      </c>
      <c r="E500" s="307">
        <f t="shared" ca="1" si="212"/>
        <v>-0.79410237565333297</v>
      </c>
      <c r="F500" s="304">
        <f t="shared" ca="1" si="213"/>
        <v>1.0525910051897007</v>
      </c>
      <c r="G500" s="306">
        <f t="shared" ca="1" si="214"/>
        <v>7.8425019440931125</v>
      </c>
      <c r="H500" s="307">
        <f t="shared" ca="1" si="215"/>
        <v>-103.32101785541627</v>
      </c>
      <c r="I500" s="304">
        <f t="shared" ca="1" si="216"/>
        <v>103.61822989909813</v>
      </c>
      <c r="J500" s="306">
        <f t="shared" ca="1" si="217"/>
        <v>830.62220398540489</v>
      </c>
      <c r="K500" s="307">
        <f t="shared" ca="1" si="218"/>
        <v>82.94486023645311</v>
      </c>
      <c r="L500" s="304">
        <f t="shared" ca="1" si="203"/>
        <v>834.75331421517365</v>
      </c>
      <c r="M500" s="306">
        <f t="shared" ca="1" si="219"/>
        <v>-1.4950373712590692</v>
      </c>
      <c r="N500" s="304">
        <f t="shared" ca="1" si="220"/>
        <v>-85.659331587477823</v>
      </c>
      <c r="P500" s="310">
        <f t="shared" ca="1" si="221"/>
        <v>23</v>
      </c>
      <c r="Q500" s="304">
        <f t="shared" ca="1" si="222"/>
        <v>0</v>
      </c>
      <c r="R500" s="306">
        <f t="shared" ca="1" si="223"/>
        <v>0</v>
      </c>
      <c r="S500" s="307">
        <f t="shared" ca="1" si="224"/>
        <v>2.9362999999999984</v>
      </c>
      <c r="T500" s="304">
        <f t="shared" ca="1" si="204"/>
        <v>28.805102999999985</v>
      </c>
      <c r="U500" s="311">
        <f t="shared" ca="1" si="205"/>
        <v>0</v>
      </c>
      <c r="V500" s="306">
        <f t="shared" ca="1" si="206"/>
        <v>1.2148812196620791</v>
      </c>
      <c r="W500" s="304">
        <f t="shared" ca="1" si="207"/>
        <v>26.616400197828838</v>
      </c>
      <c r="Y500" s="314" t="str">
        <f t="shared" ca="1" si="225"/>
        <v/>
      </c>
      <c r="Z500" s="315" t="str">
        <f t="shared" ca="1" si="226"/>
        <v/>
      </c>
      <c r="AA500" s="316" t="str">
        <f t="shared" ca="1" si="227"/>
        <v/>
      </c>
      <c r="AC500" s="310" t="e">
        <f t="shared" ca="1" si="228"/>
        <v>#N/A</v>
      </c>
      <c r="AD500" s="323" t="e">
        <f t="shared" ca="1" si="229"/>
        <v>#N/A</v>
      </c>
      <c r="AE500" s="324" t="e">
        <f t="shared" ca="1" si="208"/>
        <v>#N/A</v>
      </c>
      <c r="AG500" s="306">
        <f t="shared" ca="1" si="230"/>
        <v>0.73899043298849421</v>
      </c>
      <c r="AH500" s="304">
        <f t="shared" ca="1" si="231"/>
        <v>-9.0423315142659906</v>
      </c>
    </row>
    <row r="501" spans="1:34" x14ac:dyDescent="0.2">
      <c r="A501" s="347">
        <f t="shared" ca="1" si="209"/>
        <v>0.1</v>
      </c>
      <c r="B501" s="304">
        <f t="shared" ca="1" si="210"/>
        <v>36.30000000000021</v>
      </c>
      <c r="D501" s="306">
        <f t="shared" ca="1" si="211"/>
        <v>-0.68606830898994586</v>
      </c>
      <c r="E501" s="307">
        <f t="shared" ca="1" si="212"/>
        <v>-0.77139516336679215</v>
      </c>
      <c r="F501" s="304">
        <f t="shared" ca="1" si="213"/>
        <v>1.0323469487851473</v>
      </c>
      <c r="G501" s="306">
        <f t="shared" ca="1" si="214"/>
        <v>7.7738951131941176</v>
      </c>
      <c r="H501" s="307">
        <f t="shared" ca="1" si="215"/>
        <v>-103.39815737175296</v>
      </c>
      <c r="I501" s="304">
        <f t="shared" ca="1" si="216"/>
        <v>103.68998212510567</v>
      </c>
      <c r="J501" s="306">
        <f t="shared" ca="1" si="217"/>
        <v>831.40302383826929</v>
      </c>
      <c r="K501" s="307">
        <f t="shared" ca="1" si="218"/>
        <v>72.608901475094655</v>
      </c>
      <c r="L501" s="304">
        <f t="shared" ca="1" si="203"/>
        <v>834.56757702467553</v>
      </c>
      <c r="M501" s="306">
        <f t="shared" ca="1" si="219"/>
        <v>-1.4957534333971148</v>
      </c>
      <c r="N501" s="304">
        <f t="shared" ca="1" si="220"/>
        <v>-85.700358925856946</v>
      </c>
      <c r="P501" s="310">
        <f t="shared" ca="1" si="221"/>
        <v>23</v>
      </c>
      <c r="Q501" s="304">
        <f t="shared" ca="1" si="222"/>
        <v>0</v>
      </c>
      <c r="R501" s="306">
        <f t="shared" ca="1" si="223"/>
        <v>0</v>
      </c>
      <c r="S501" s="307">
        <f t="shared" ca="1" si="224"/>
        <v>2.9362999999999984</v>
      </c>
      <c r="T501" s="304">
        <f t="shared" ca="1" si="204"/>
        <v>28.805102999999985</v>
      </c>
      <c r="U501" s="311">
        <f t="shared" ca="1" si="205"/>
        <v>0</v>
      </c>
      <c r="V501" s="306">
        <f t="shared" ca="1" si="206"/>
        <v>1.2161375840835067</v>
      </c>
      <c r="W501" s="304">
        <f t="shared" ca="1" si="207"/>
        <v>26.680838303916918</v>
      </c>
      <c r="Y501" s="314" t="str">
        <f t="shared" ca="1" si="225"/>
        <v/>
      </c>
      <c r="Z501" s="315" t="str">
        <f t="shared" ca="1" si="226"/>
        <v/>
      </c>
      <c r="AA501" s="316" t="str">
        <f t="shared" ca="1" si="227"/>
        <v/>
      </c>
      <c r="AC501" s="310" t="e">
        <f t="shared" ca="1" si="228"/>
        <v>#N/A</v>
      </c>
      <c r="AD501" s="323" t="e">
        <f t="shared" ca="1" si="229"/>
        <v>#N/A</v>
      </c>
      <c r="AE501" s="324" t="e">
        <f t="shared" ca="1" si="208"/>
        <v>#N/A</v>
      </c>
      <c r="AG501" s="306">
        <f t="shared" ca="1" si="230"/>
        <v>0.71725642749485452</v>
      </c>
      <c r="AH501" s="304">
        <f t="shared" ca="1" si="231"/>
        <v>-9.0646051826546508</v>
      </c>
    </row>
    <row r="502" spans="1:34" x14ac:dyDescent="0.2">
      <c r="A502" s="347">
        <f t="shared" ca="1" si="209"/>
        <v>0.1</v>
      </c>
      <c r="B502" s="304">
        <f t="shared" ca="1" si="210"/>
        <v>36.400000000000212</v>
      </c>
      <c r="D502" s="306">
        <f t="shared" ca="1" si="211"/>
        <v>-0.68124122762284745</v>
      </c>
      <c r="E502" s="307">
        <f t="shared" ca="1" si="212"/>
        <v>-0.74902263457071072</v>
      </c>
      <c r="F502" s="304">
        <f t="shared" ca="1" si="213"/>
        <v>1.0124843294156867</v>
      </c>
      <c r="G502" s="306">
        <f t="shared" ca="1" si="214"/>
        <v>7.7057709904318328</v>
      </c>
      <c r="H502" s="307">
        <f t="shared" ca="1" si="215"/>
        <v>-103.47305963521003</v>
      </c>
      <c r="I502" s="304">
        <f t="shared" ca="1" si="216"/>
        <v>103.75959221599086</v>
      </c>
      <c r="J502" s="306">
        <f t="shared" ca="1" si="217"/>
        <v>832.17700714345062</v>
      </c>
      <c r="K502" s="307">
        <f t="shared" ca="1" si="218"/>
        <v>62.265340624746507</v>
      </c>
      <c r="L502" s="304">
        <f t="shared" ca="1" si="203"/>
        <v>834.5031718701531</v>
      </c>
      <c r="M502" s="306">
        <f t="shared" ca="1" si="219"/>
        <v>-1.4964622643349414</v>
      </c>
      <c r="N502" s="304">
        <f t="shared" ca="1" si="220"/>
        <v>-85.740971946982725</v>
      </c>
      <c r="P502" s="310">
        <f t="shared" ca="1" si="221"/>
        <v>23</v>
      </c>
      <c r="Q502" s="304">
        <f t="shared" ca="1" si="222"/>
        <v>0</v>
      </c>
      <c r="R502" s="306">
        <f t="shared" ca="1" si="223"/>
        <v>0</v>
      </c>
      <c r="S502" s="307">
        <f t="shared" ca="1" si="224"/>
        <v>2.9362999999999984</v>
      </c>
      <c r="T502" s="304">
        <f t="shared" ca="1" si="204"/>
        <v>28.805102999999985</v>
      </c>
      <c r="U502" s="311">
        <f t="shared" ca="1" si="205"/>
        <v>0</v>
      </c>
      <c r="V502" s="306">
        <f t="shared" ca="1" si="206"/>
        <v>1.2173961685312911</v>
      </c>
      <c r="W502" s="304">
        <f t="shared" ca="1" si="207"/>
        <v>26.744322734848733</v>
      </c>
      <c r="Y502" s="314" t="str">
        <f t="shared" ca="1" si="225"/>
        <v/>
      </c>
      <c r="Z502" s="315" t="str">
        <f t="shared" ca="1" si="226"/>
        <v/>
      </c>
      <c r="AA502" s="316" t="str">
        <f t="shared" ca="1" si="227"/>
        <v/>
      </c>
      <c r="AC502" s="310" t="e">
        <f t="shared" ca="1" si="228"/>
        <v>#N/A</v>
      </c>
      <c r="AD502" s="323" t="e">
        <f t="shared" ca="1" si="229"/>
        <v>#N/A</v>
      </c>
      <c r="AE502" s="324" t="e">
        <f t="shared" ca="1" si="208"/>
        <v>#N/A</v>
      </c>
      <c r="AG502" s="306">
        <f t="shared" ca="1" si="230"/>
        <v>0.69584024334163885</v>
      </c>
      <c r="AH502" s="304">
        <f t="shared" ca="1" si="231"/>
        <v>-9.0865505241007156</v>
      </c>
    </row>
    <row r="503" spans="1:34" x14ac:dyDescent="0.2">
      <c r="A503" s="347">
        <f t="shared" ca="1" si="209"/>
        <v>0.1</v>
      </c>
      <c r="B503" s="304">
        <f t="shared" ca="1" si="210"/>
        <v>36.500000000000213</v>
      </c>
      <c r="D503" s="306">
        <f t="shared" ca="1" si="211"/>
        <v>-0.67642401985110334</v>
      </c>
      <c r="E503" s="307">
        <f t="shared" ca="1" si="212"/>
        <v>-0.72698117791854244</v>
      </c>
      <c r="F503" s="304">
        <f t="shared" ca="1" si="213"/>
        <v>0.9930010511975087</v>
      </c>
      <c r="G503" s="306">
        <f t="shared" ca="1" si="214"/>
        <v>7.6381285884467225</v>
      </c>
      <c r="H503" s="307">
        <f t="shared" ca="1" si="215"/>
        <v>-103.54575775300189</v>
      </c>
      <c r="I503" s="304">
        <f t="shared" ca="1" si="216"/>
        <v>103.82709163304634</v>
      </c>
      <c r="J503" s="306">
        <f t="shared" ca="1" si="217"/>
        <v>832.94420212239459</v>
      </c>
      <c r="K503" s="307">
        <f t="shared" ca="1" si="218"/>
        <v>51.914399755335907</v>
      </c>
      <c r="L503" s="304">
        <f t="shared" ca="1" si="203"/>
        <v>834.56045242466962</v>
      </c>
      <c r="M503" s="306">
        <f t="shared" ca="1" si="219"/>
        <v>-1.4971639558028604</v>
      </c>
      <c r="N503" s="304">
        <f t="shared" ca="1" si="220"/>
        <v>-85.78117590661482</v>
      </c>
      <c r="P503" s="310">
        <f t="shared" ca="1" si="221"/>
        <v>23</v>
      </c>
      <c r="Q503" s="304">
        <f t="shared" ca="1" si="222"/>
        <v>0</v>
      </c>
      <c r="R503" s="306">
        <f t="shared" ca="1" si="223"/>
        <v>0</v>
      </c>
      <c r="S503" s="307">
        <f t="shared" ca="1" si="224"/>
        <v>2.9362999999999984</v>
      </c>
      <c r="T503" s="304">
        <f t="shared" ca="1" si="204"/>
        <v>28.805102999999985</v>
      </c>
      <c r="U503" s="311">
        <f t="shared" ca="1" si="205"/>
        <v>0</v>
      </c>
      <c r="V503" s="306">
        <f t="shared" ca="1" si="206"/>
        <v>1.2186569508095384</v>
      </c>
      <c r="W503" s="304">
        <f t="shared" ca="1" si="207"/>
        <v>26.80686387400036</v>
      </c>
      <c r="Y503" s="314" t="str">
        <f t="shared" ca="1" si="225"/>
        <v/>
      </c>
      <c r="Z503" s="315" t="str">
        <f t="shared" ca="1" si="226"/>
        <v/>
      </c>
      <c r="AA503" s="316" t="str">
        <f t="shared" ca="1" si="227"/>
        <v/>
      </c>
      <c r="AC503" s="310" t="e">
        <f t="shared" ca="1" si="228"/>
        <v>#N/A</v>
      </c>
      <c r="AD503" s="323" t="e">
        <f t="shared" ca="1" si="229"/>
        <v>#N/A</v>
      </c>
      <c r="AE503" s="324" t="e">
        <f t="shared" ca="1" si="208"/>
        <v>#N/A</v>
      </c>
      <c r="AG503" s="306">
        <f t="shared" ca="1" si="230"/>
        <v>0.67473856336389026</v>
      </c>
      <c r="AH503" s="304">
        <f t="shared" ca="1" si="231"/>
        <v>-9.1081710774950615</v>
      </c>
    </row>
    <row r="504" spans="1:34" x14ac:dyDescent="0.2">
      <c r="A504" s="347">
        <f t="shared" ca="1" si="209"/>
        <v>0.1</v>
      </c>
      <c r="B504" s="304">
        <f t="shared" ca="1" si="210"/>
        <v>36.600000000000215</v>
      </c>
      <c r="D504" s="306">
        <f t="shared" ca="1" si="211"/>
        <v>-0.67161727833079377</v>
      </c>
      <c r="E504" s="307">
        <f t="shared" ca="1" si="212"/>
        <v>-0.70526718495412766</v>
      </c>
      <c r="F504" s="304">
        <f t="shared" ca="1" si="213"/>
        <v>0.97389505118651398</v>
      </c>
      <c r="G504" s="306">
        <f t="shared" ca="1" si="214"/>
        <v>7.5709668606136429</v>
      </c>
      <c r="H504" s="307">
        <f t="shared" ca="1" si="215"/>
        <v>-103.61628447149731</v>
      </c>
      <c r="I504" s="304">
        <f t="shared" ca="1" si="216"/>
        <v>103.89251150531864</v>
      </c>
      <c r="J504" s="306">
        <f t="shared" ca="1" si="217"/>
        <v>833.70465689484763</v>
      </c>
      <c r="K504" s="307">
        <f t="shared" ca="1" si="218"/>
        <v>41.556297644110948</v>
      </c>
      <c r="L504" s="304">
        <f t="shared" ca="1" si="203"/>
        <v>834.73970841337223</v>
      </c>
      <c r="M504" s="306">
        <f t="shared" ca="1" si="219"/>
        <v>-1.4978585978594947</v>
      </c>
      <c r="N504" s="304">
        <f t="shared" ca="1" si="220"/>
        <v>-85.820975964732256</v>
      </c>
      <c r="P504" s="310">
        <f t="shared" ca="1" si="221"/>
        <v>23</v>
      </c>
      <c r="Q504" s="304">
        <f t="shared" ca="1" si="222"/>
        <v>0</v>
      </c>
      <c r="R504" s="306">
        <f t="shared" ca="1" si="223"/>
        <v>0</v>
      </c>
      <c r="S504" s="307">
        <f t="shared" ca="1" si="224"/>
        <v>2.9362999999999984</v>
      </c>
      <c r="T504" s="304">
        <f t="shared" ca="1" si="204"/>
        <v>28.805102999999985</v>
      </c>
      <c r="U504" s="311">
        <f t="shared" ca="1" si="205"/>
        <v>0</v>
      </c>
      <c r="V504" s="306">
        <f t="shared" ca="1" si="206"/>
        <v>1.2199199090272228</v>
      </c>
      <c r="W504" s="304">
        <f t="shared" ca="1" si="207"/>
        <v>26.868472092968318</v>
      </c>
      <c r="Y504" s="314" t="str">
        <f t="shared" ca="1" si="225"/>
        <v/>
      </c>
      <c r="Z504" s="315" t="str">
        <f t="shared" ca="1" si="226"/>
        <v/>
      </c>
      <c r="AA504" s="316" t="str">
        <f t="shared" ca="1" si="227"/>
        <v/>
      </c>
      <c r="AC504" s="310" t="e">
        <f t="shared" ca="1" si="228"/>
        <v>#N/A</v>
      </c>
      <c r="AD504" s="323" t="e">
        <f t="shared" ca="1" si="229"/>
        <v>#N/A</v>
      </c>
      <c r="AE504" s="324" t="e">
        <f t="shared" ca="1" si="208"/>
        <v>#N/A</v>
      </c>
      <c r="AG504" s="306">
        <f t="shared" ca="1" si="230"/>
        <v>0.65394806771875302</v>
      </c>
      <c r="AH504" s="304">
        <f t="shared" ca="1" si="231"/>
        <v>-9.1294703790485894</v>
      </c>
    </row>
    <row r="505" spans="1:34" x14ac:dyDescent="0.2">
      <c r="A505" s="347">
        <f t="shared" ca="1" si="209"/>
        <v>0.1</v>
      </c>
      <c r="B505" s="304">
        <f t="shared" ca="1" si="210"/>
        <v>36.700000000000216</v>
      </c>
      <c r="D505" s="306">
        <f t="shared" ca="1" si="211"/>
        <v>-0.66682157888273297</v>
      </c>
      <c r="E505" s="307">
        <f t="shared" ca="1" si="212"/>
        <v>-0.68387705146471944</v>
      </c>
      <c r="F505" s="304">
        <f t="shared" ca="1" si="213"/>
        <v>0.95516429978498429</v>
      </c>
      <c r="G505" s="306">
        <f t="shared" ca="1" si="214"/>
        <v>7.5042847027253696</v>
      </c>
      <c r="H505" s="307">
        <f t="shared" ca="1" si="215"/>
        <v>-103.68467217664379</v>
      </c>
      <c r="I505" s="304">
        <f t="shared" ca="1" si="216"/>
        <v>103.95588262949649</v>
      </c>
      <c r="J505" s="306">
        <f t="shared" ca="1" si="217"/>
        <v>834.4584194730146</v>
      </c>
      <c r="K505" s="307">
        <f t="shared" ca="1" si="218"/>
        <v>31.191249811703891</v>
      </c>
      <c r="L505" s="304">
        <f t="shared" ca="1" si="203"/>
        <v>835.04116538899905</v>
      </c>
      <c r="M505" s="306">
        <f t="shared" ca="1" si="219"/>
        <v>-1.4985462789328061</v>
      </c>
      <c r="N505" s="304">
        <f t="shared" ca="1" si="220"/>
        <v>-85.860377187884026</v>
      </c>
      <c r="P505" s="310">
        <f t="shared" ca="1" si="221"/>
        <v>23</v>
      </c>
      <c r="Q505" s="304">
        <f t="shared" ca="1" si="222"/>
        <v>0</v>
      </c>
      <c r="R505" s="306">
        <f t="shared" ca="1" si="223"/>
        <v>0</v>
      </c>
      <c r="S505" s="307">
        <f t="shared" ca="1" si="224"/>
        <v>2.9362999999999984</v>
      </c>
      <c r="T505" s="304">
        <f t="shared" ca="1" si="204"/>
        <v>28.805102999999985</v>
      </c>
      <c r="U505" s="311">
        <f t="shared" ca="1" si="205"/>
        <v>0</v>
      </c>
      <c r="V505" s="306">
        <f t="shared" ca="1" si="206"/>
        <v>1.2211850215952884</v>
      </c>
      <c r="W505" s="304">
        <f t="shared" ca="1" si="207"/>
        <v>26.92915774780046</v>
      </c>
      <c r="Y505" s="314" t="str">
        <f t="shared" ca="1" si="225"/>
        <v/>
      </c>
      <c r="Z505" s="315" t="str">
        <f t="shared" ca="1" si="226"/>
        <v/>
      </c>
      <c r="AA505" s="316" t="str">
        <f t="shared" ca="1" si="227"/>
        <v/>
      </c>
      <c r="AC505" s="310" t="e">
        <f t="shared" ca="1" si="228"/>
        <v>#N/A</v>
      </c>
      <c r="AD505" s="323" t="e">
        <f t="shared" ca="1" si="229"/>
        <v>#N/A</v>
      </c>
      <c r="AE505" s="324" t="e">
        <f t="shared" ca="1" si="208"/>
        <v>#N/A</v>
      </c>
      <c r="AG505" s="306">
        <f t="shared" ca="1" si="230"/>
        <v>0.63346543537033106</v>
      </c>
      <c r="AH505" s="304">
        <f t="shared" ca="1" si="231"/>
        <v>-9.1504519609605062</v>
      </c>
    </row>
    <row r="506" spans="1:34" x14ac:dyDescent="0.2">
      <c r="A506" s="347">
        <f t="shared" ca="1" si="209"/>
        <v>0.1</v>
      </c>
      <c r="B506" s="304">
        <f t="shared" ca="1" si="210"/>
        <v>36.800000000000217</v>
      </c>
      <c r="D506" s="306">
        <f t="shared" ca="1" si="211"/>
        <v>-0.66203748075875091</v>
      </c>
      <c r="E506" s="307">
        <f t="shared" ca="1" si="212"/>
        <v>-0.66280717878509776</v>
      </c>
      <c r="F506" s="304">
        <f t="shared" ca="1" si="213"/>
        <v>0.93680680088183288</v>
      </c>
      <c r="G506" s="306">
        <f t="shared" ca="1" si="214"/>
        <v>7.4380809546494948</v>
      </c>
      <c r="H506" s="307">
        <f t="shared" ca="1" si="215"/>
        <v>-103.7509528945223</v>
      </c>
      <c r="I506" s="304">
        <f t="shared" ca="1" si="216"/>
        <v>104.01723546994172</v>
      </c>
      <c r="J506" s="306">
        <f t="shared" ca="1" si="217"/>
        <v>835.20553775588337</v>
      </c>
      <c r="K506" s="307">
        <f t="shared" ca="1" si="218"/>
        <v>20.819468558145587</v>
      </c>
      <c r="L506" s="304">
        <f t="shared" ca="1" si="203"/>
        <v>835.4649846457587</v>
      </c>
      <c r="M506" s="306">
        <f t="shared" ca="1" si="219"/>
        <v>-1.4992270858599219</v>
      </c>
      <c r="N506" s="304">
        <f t="shared" ca="1" si="220"/>
        <v>-85.89938455147103</v>
      </c>
      <c r="P506" s="310">
        <f t="shared" ca="1" si="221"/>
        <v>23</v>
      </c>
      <c r="Q506" s="304">
        <f t="shared" ca="1" si="222"/>
        <v>0</v>
      </c>
      <c r="R506" s="306">
        <f t="shared" ca="1" si="223"/>
        <v>0</v>
      </c>
      <c r="S506" s="307">
        <f t="shared" ca="1" si="224"/>
        <v>2.9362999999999984</v>
      </c>
      <c r="T506" s="304">
        <f t="shared" ca="1" si="204"/>
        <v>28.805102999999985</v>
      </c>
      <c r="U506" s="311">
        <f t="shared" ca="1" si="205"/>
        <v>0</v>
      </c>
      <c r="V506" s="306">
        <f t="shared" ca="1" si="206"/>
        <v>1.222452267223749</v>
      </c>
      <c r="W506" s="304">
        <f t="shared" ca="1" si="207"/>
        <v>26.988931175364957</v>
      </c>
      <c r="Y506" s="314" t="str">
        <f t="shared" ca="1" si="225"/>
        <v/>
      </c>
      <c r="Z506" s="315" t="str">
        <f t="shared" ca="1" si="226"/>
        <v/>
      </c>
      <c r="AA506" s="316" t="str">
        <f t="shared" ca="1" si="227"/>
        <v/>
      </c>
      <c r="AC506" s="310" t="e">
        <f t="shared" ca="1" si="228"/>
        <v>#N/A</v>
      </c>
      <c r="AD506" s="323" t="e">
        <f t="shared" ca="1" si="229"/>
        <v>#N/A</v>
      </c>
      <c r="AE506" s="324" t="e">
        <f t="shared" ca="1" si="208"/>
        <v>#N/A</v>
      </c>
      <c r="AG506" s="306">
        <f t="shared" ca="1" si="230"/>
        <v>0.61328734552132502</v>
      </c>
      <c r="AH506" s="304">
        <f t="shared" ca="1" si="231"/>
        <v>-9.1711193501346848</v>
      </c>
    </row>
    <row r="507" spans="1:34" x14ac:dyDescent="0.2">
      <c r="A507" s="347">
        <f t="shared" ca="1" si="209"/>
        <v>0.1</v>
      </c>
      <c r="B507" s="304">
        <f t="shared" ca="1" si="210"/>
        <v>36.900000000000219</v>
      </c>
      <c r="D507" s="306">
        <f t="shared" ca="1" si="211"/>
        <v>-0.65726552690781914</v>
      </c>
      <c r="E507" s="307">
        <f t="shared" ca="1" si="212"/>
        <v>-0.64205397505384276</v>
      </c>
      <c r="F507" s="304">
        <f t="shared" ca="1" si="213"/>
        <v>0.91882059170648411</v>
      </c>
      <c r="G507" s="306">
        <f t="shared" ca="1" si="214"/>
        <v>7.3723544019587131</v>
      </c>
      <c r="H507" s="307">
        <f t="shared" ca="1" si="215"/>
        <v>-103.81515829202769</v>
      </c>
      <c r="I507" s="304">
        <f t="shared" ca="1" si="216"/>
        <v>104.07660015885821</v>
      </c>
      <c r="J507" s="306">
        <f t="shared" ca="1" si="217"/>
        <v>835.94605952371376</v>
      </c>
      <c r="K507" s="307">
        <f t="shared" ca="1" si="218"/>
        <v>10.441162998818086</v>
      </c>
      <c r="L507" s="304">
        <f t="shared" ca="1" si="203"/>
        <v>836.01126327220754</v>
      </c>
      <c r="M507" s="306">
        <f t="shared" ca="1" si="219"/>
        <v>-1.499901103925805</v>
      </c>
      <c r="N507" s="304">
        <f t="shared" ca="1" si="220"/>
        <v>-85.938002941961699</v>
      </c>
      <c r="P507" s="310">
        <f t="shared" ca="1" si="221"/>
        <v>23</v>
      </c>
      <c r="Q507" s="304">
        <f t="shared" ca="1" si="222"/>
        <v>0</v>
      </c>
      <c r="R507" s="306">
        <f t="shared" ca="1" si="223"/>
        <v>0</v>
      </c>
      <c r="S507" s="307">
        <f t="shared" ca="1" si="224"/>
        <v>2.9362999999999984</v>
      </c>
      <c r="T507" s="304">
        <f t="shared" ca="1" si="204"/>
        <v>28.805102999999985</v>
      </c>
      <c r="U507" s="311">
        <f t="shared" ca="1" si="205"/>
        <v>0</v>
      </c>
      <c r="V507" s="306">
        <f t="shared" ca="1" si="206"/>
        <v>1.2237216249187748</v>
      </c>
      <c r="W507" s="304">
        <f t="shared" ca="1" si="207"/>
        <v>27.047802689854795</v>
      </c>
      <c r="Y507" s="314" t="str">
        <f t="shared" ca="1" si="225"/>
        <v/>
      </c>
      <c r="Z507" s="315" t="str">
        <f t="shared" ca="1" si="226"/>
        <v/>
      </c>
      <c r="AA507" s="316" t="str">
        <f t="shared" ca="1" si="227"/>
        <v/>
      </c>
      <c r="AC507" s="310" t="e">
        <f t="shared" ca="1" si="228"/>
        <v>#N/A</v>
      </c>
      <c r="AD507" s="323" t="e">
        <f t="shared" ca="1" si="229"/>
        <v>#N/A</v>
      </c>
      <c r="AE507" s="324" t="e">
        <f t="shared" ca="1" si="208"/>
        <v>#N/A</v>
      </c>
      <c r="AG507" s="306">
        <f t="shared" ca="1" si="230"/>
        <v>0.59341047899266819</v>
      </c>
      <c r="AH507" s="304">
        <f t="shared" ca="1" si="231"/>
        <v>-9.1914760669430819</v>
      </c>
    </row>
    <row r="508" spans="1:34" x14ac:dyDescent="0.2">
      <c r="A508" s="347">
        <f t="shared" ca="1" si="209"/>
        <v>0.1</v>
      </c>
      <c r="B508" s="304">
        <f t="shared" ca="1" si="210"/>
        <v>37.00000000000022</v>
      </c>
      <c r="D508" s="306">
        <f t="shared" ca="1" si="211"/>
        <v>-0.65250624424180004</v>
      </c>
      <c r="E508" s="307">
        <f t="shared" ca="1" si="212"/>
        <v>-0.62161385642265721</v>
      </c>
      <c r="F508" s="304">
        <f t="shared" ca="1" si="213"/>
        <v>0.90120374237526746</v>
      </c>
      <c r="G508" s="306">
        <f t="shared" ca="1" si="214"/>
        <v>7.3071037775345333</v>
      </c>
      <c r="H508" s="307">
        <f t="shared" ca="1" si="215"/>
        <v>-103.87731967766996</v>
      </c>
      <c r="I508" s="304">
        <f t="shared" ca="1" si="216"/>
        <v>104.13400649659312</v>
      </c>
      <c r="J508" s="306">
        <f t="shared" ca="1" si="217"/>
        <v>836.68003243268845</v>
      </c>
      <c r="K508" s="307">
        <f t="shared" ca="1" si="218"/>
        <v>5.6539100333203862E-2</v>
      </c>
      <c r="L508" s="304">
        <f t="shared" ca="1" si="203"/>
        <v>836.68003434301841</v>
      </c>
      <c r="M508" s="306">
        <f t="shared" ca="1" si="219"/>
        <v>-1.5005684169008029</v>
      </c>
      <c r="N508" s="304">
        <f t="shared" ca="1" si="220"/>
        <v>-85.976237159043393</v>
      </c>
      <c r="P508" s="310">
        <f t="shared" ca="1" si="221"/>
        <v>23</v>
      </c>
      <c r="Q508" s="304">
        <f t="shared" ca="1" si="222"/>
        <v>0</v>
      </c>
      <c r="R508" s="306">
        <f t="shared" ca="1" si="223"/>
        <v>0</v>
      </c>
      <c r="S508" s="307">
        <f t="shared" ca="1" si="224"/>
        <v>2.9362999999999984</v>
      </c>
      <c r="T508" s="304">
        <f t="shared" ca="1" si="204"/>
        <v>28.805102999999985</v>
      </c>
      <c r="U508" s="311">
        <f t="shared" ca="1" si="205"/>
        <v>0</v>
      </c>
      <c r="V508" s="306">
        <f t="shared" ca="1" si="206"/>
        <v>1.2249930739797887</v>
      </c>
      <c r="W508" s="304">
        <f t="shared" ca="1" si="207"/>
        <v>27.105782579425007</v>
      </c>
      <c r="Y508" s="314" t="str">
        <f t="shared" ca="1" si="225"/>
        <v/>
      </c>
      <c r="Z508" s="315" t="str">
        <f t="shared" ca="1" si="226"/>
        <v/>
      </c>
      <c r="AA508" s="316" t="str">
        <f t="shared" ca="1" si="227"/>
        <v/>
      </c>
      <c r="AC508" s="310">
        <f t="shared" ca="1" si="228"/>
        <v>37.00000000000022</v>
      </c>
      <c r="AD508" s="323">
        <f t="shared" ca="1" si="229"/>
        <v>836.68003243268845</v>
      </c>
      <c r="AE508" s="324" t="e">
        <f t="shared" ca="1" si="208"/>
        <v>#N/A</v>
      </c>
      <c r="AG508" s="306">
        <f t="shared" ca="1" si="230"/>
        <v>0.5738315195522965</v>
      </c>
      <c r="AH508" s="304">
        <f t="shared" ca="1" si="231"/>
        <v>-9.2115256240352856</v>
      </c>
    </row>
    <row r="509" spans="1:34" x14ac:dyDescent="0.2">
      <c r="A509" s="347">
        <f t="shared" ca="1" si="209"/>
        <v>0.1</v>
      </c>
      <c r="B509" s="304">
        <f t="shared" ca="1" si="210"/>
        <v>37.100000000000222</v>
      </c>
      <c r="D509" s="306">
        <f t="shared" ca="1" si="211"/>
        <v>-0.64776014390067294</v>
      </c>
      <c r="E509" s="307">
        <f t="shared" ca="1" si="212"/>
        <v>-0.60148324821972032</v>
      </c>
      <c r="F509" s="304">
        <f t="shared" ca="1" si="213"/>
        <v>0.88395435510843323</v>
      </c>
      <c r="G509" s="306">
        <f t="shared" ca="1" si="214"/>
        <v>7.2423277631444662</v>
      </c>
      <c r="H509" s="307">
        <f t="shared" ca="1" si="215"/>
        <v>-103.93746800249193</v>
      </c>
      <c r="I509" s="304">
        <f t="shared" ca="1" si="216"/>
        <v>104.18948395206613</v>
      </c>
      <c r="J509" s="306">
        <f t="shared" ca="1" si="217"/>
        <v>837.4075040097224</v>
      </c>
      <c r="K509" s="307">
        <f t="shared" ca="1" si="218"/>
        <v>-10.334200283674891</v>
      </c>
      <c r="L509" s="304">
        <f t="shared" ca="1" si="203"/>
        <v>837.47126724879126</v>
      </c>
      <c r="M509" s="306">
        <f t="shared" ca="1" si="219"/>
        <v>-1.5012291070771127</v>
      </c>
      <c r="N509" s="304">
        <f t="shared" ca="1" si="220"/>
        <v>-86.014091917711696</v>
      </c>
      <c r="P509" s="310">
        <f t="shared" ca="1" si="221"/>
        <v>23</v>
      </c>
      <c r="Q509" s="304">
        <f t="shared" ca="1" si="222"/>
        <v>0</v>
      </c>
      <c r="R509" s="306">
        <f t="shared" ca="1" si="223"/>
        <v>0</v>
      </c>
      <c r="S509" s="307">
        <f t="shared" ca="1" si="224"/>
        <v>2.9362999999999984</v>
      </c>
      <c r="T509" s="304">
        <f t="shared" ca="1" si="204"/>
        <v>28.805102999999985</v>
      </c>
      <c r="U509" s="311">
        <f t="shared" ca="1" si="205"/>
        <v>0</v>
      </c>
      <c r="V509" s="306">
        <f t="shared" ca="1" si="206"/>
        <v>1.2262665939965525</v>
      </c>
      <c r="W509" s="304">
        <f t="shared" ca="1" si="207"/>
        <v>27.162881102959645</v>
      </c>
      <c r="Y509" s="314" t="str">
        <f t="shared" ca="1" si="225"/>
        <v>Impact balistique</v>
      </c>
      <c r="Z509" s="315" t="str">
        <f t="shared" ca="1" si="226"/>
        <v/>
      </c>
      <c r="AA509" s="316" t="str">
        <f t="shared" ca="1" si="227"/>
        <v/>
      </c>
      <c r="AC509" s="310" t="e">
        <f t="shared" ca="1" si="228"/>
        <v>#N/A</v>
      </c>
      <c r="AD509" s="323" t="e">
        <f t="shared" ca="1" si="229"/>
        <v>#N/A</v>
      </c>
      <c r="AE509" s="324" t="e">
        <f t="shared" ca="1" si="208"/>
        <v>#N/A</v>
      </c>
      <c r="AG509" s="306">
        <f t="shared" ca="1" si="230"/>
        <v>0.55454715519410769</v>
      </c>
      <c r="AH509" s="304">
        <f t="shared" ca="1" si="231"/>
        <v>-9.2312715251932786</v>
      </c>
    </row>
    <row r="510" spans="1:34" x14ac:dyDescent="0.2">
      <c r="A510" s="347">
        <f t="shared" ca="1" si="209"/>
        <v>1E-4</v>
      </c>
      <c r="B510" s="304">
        <f t="shared" ca="1" si="210"/>
        <v>37.100100000000225</v>
      </c>
      <c r="D510" s="306">
        <f t="shared" ca="1" si="211"/>
        <v>-0.64302772151706089</v>
      </c>
      <c r="E510" s="307">
        <f t="shared" ca="1" si="212"/>
        <v>-0.58165858606810517</v>
      </c>
      <c r="F510" s="304">
        <f t="shared" ca="1" si="213"/>
        <v>0.86707056309516706</v>
      </c>
      <c r="G510" s="306">
        <f t="shared" ca="1" si="214"/>
        <v>7.2422634603723148</v>
      </c>
      <c r="H510" s="307">
        <f t="shared" ca="1" si="215"/>
        <v>-103.93752616835053</v>
      </c>
      <c r="I510" s="304">
        <f t="shared" ca="1" si="216"/>
        <v>104.18953750749638</v>
      </c>
      <c r="J510" s="306">
        <f t="shared" ca="1" si="217"/>
        <v>837.4075040097224</v>
      </c>
      <c r="K510" s="307">
        <f t="shared" ca="1" si="218"/>
        <v>-10.344594033383434</v>
      </c>
      <c r="L510" s="304">
        <f t="shared" ca="1" si="203"/>
        <v>837.47139556972854</v>
      </c>
      <c r="M510" s="306">
        <f t="shared" ca="1" si="219"/>
        <v>-1.5012297615613415</v>
      </c>
      <c r="N510" s="304">
        <f t="shared" ca="1" si="220"/>
        <v>-86.01412941689577</v>
      </c>
      <c r="P510" s="310">
        <f t="shared" ca="1" si="221"/>
        <v>23</v>
      </c>
      <c r="Q510" s="304">
        <f t="shared" ca="1" si="222"/>
        <v>0</v>
      </c>
      <c r="R510" s="306">
        <f t="shared" ca="1" si="223"/>
        <v>0</v>
      </c>
      <c r="S510" s="307">
        <f t="shared" ca="1" si="224"/>
        <v>2.9362999999999984</v>
      </c>
      <c r="T510" s="304">
        <f t="shared" ca="1" si="204"/>
        <v>28.805102999999985</v>
      </c>
      <c r="U510" s="311">
        <f t="shared" ca="1" si="205"/>
        <v>0</v>
      </c>
      <c r="V510" s="306">
        <f t="shared" ca="1" si="206"/>
        <v>1.2262678685483606</v>
      </c>
      <c r="W510" s="304">
        <f t="shared" ca="1" si="207"/>
        <v>27.162937259939923</v>
      </c>
      <c r="Y510" s="314" t="str">
        <f t="shared" ca="1" si="225"/>
        <v/>
      </c>
      <c r="Z510" s="315" t="str">
        <f t="shared" ca="1" si="226"/>
        <v/>
      </c>
      <c r="AA510" s="316" t="str">
        <f t="shared" ca="1" si="227"/>
        <v/>
      </c>
      <c r="AC510" s="310" t="e">
        <f t="shared" ca="1" si="228"/>
        <v>#N/A</v>
      </c>
      <c r="AD510" s="323" t="e">
        <f t="shared" ca="1" si="229"/>
        <v>#N/A</v>
      </c>
      <c r="AE510" s="324" t="e">
        <f t="shared" ca="1" si="208"/>
        <v>#N/A</v>
      </c>
      <c r="AG510" s="306">
        <f t="shared" ca="1" si="230"/>
        <v>0.53555407936836374</v>
      </c>
      <c r="AH510" s="304">
        <f t="shared" ca="1" si="231"/>
        <v>-9.2507172642303779</v>
      </c>
    </row>
    <row r="511" spans="1:34" x14ac:dyDescent="0.2">
      <c r="A511" s="347">
        <f t="shared" ca="1" si="209"/>
        <v>1E-4</v>
      </c>
      <c r="B511" s="304">
        <f t="shared" ca="1" si="210"/>
        <v>37.100200000000228</v>
      </c>
      <c r="D511" s="306">
        <f t="shared" ca="1" si="211"/>
        <v>-0.64302301110644777</v>
      </c>
      <c r="E511" s="307">
        <f t="shared" ca="1" si="212"/>
        <v>-0.58163908639522077</v>
      </c>
      <c r="F511" s="304">
        <f t="shared" ca="1" si="213"/>
        <v>0.86705398888135554</v>
      </c>
      <c r="G511" s="306">
        <f t="shared" ca="1" si="214"/>
        <v>7.2421991580712044</v>
      </c>
      <c r="H511" s="307">
        <f t="shared" ca="1" si="215"/>
        <v>-103.93758433225916</v>
      </c>
      <c r="I511" s="304">
        <f t="shared" ca="1" si="216"/>
        <v>104.18959106105875</v>
      </c>
      <c r="J511" s="306">
        <f t="shared" ca="1" si="217"/>
        <v>837.4075040097224</v>
      </c>
      <c r="K511" s="307">
        <f t="shared" ca="1" si="218"/>
        <v>-10.354987788908463</v>
      </c>
      <c r="L511" s="304">
        <f t="shared" ca="1" si="203"/>
        <v>837.47152401971357</v>
      </c>
      <c r="M511" s="306">
        <f t="shared" ca="1" si="219"/>
        <v>-1.5012304160390866</v>
      </c>
      <c r="N511" s="304">
        <f t="shared" ca="1" si="220"/>
        <v>-86.014166915708344</v>
      </c>
      <c r="P511" s="310">
        <f t="shared" ca="1" si="221"/>
        <v>23</v>
      </c>
      <c r="Q511" s="304">
        <f t="shared" ca="1" si="222"/>
        <v>0</v>
      </c>
      <c r="R511" s="306">
        <f t="shared" ca="1" si="223"/>
        <v>0</v>
      </c>
      <c r="S511" s="307">
        <f t="shared" ca="1" si="224"/>
        <v>2.9362999999999984</v>
      </c>
      <c r="T511" s="304">
        <f t="shared" ca="1" si="204"/>
        <v>28.805102999999985</v>
      </c>
      <c r="U511" s="311">
        <f t="shared" ca="1" si="205"/>
        <v>0</v>
      </c>
      <c r="V511" s="306">
        <f t="shared" ca="1" si="206"/>
        <v>1.2262691431022077</v>
      </c>
      <c r="W511" s="304">
        <f t="shared" ca="1" si="207"/>
        <v>27.162993416063827</v>
      </c>
      <c r="Y511" s="314" t="str">
        <f t="shared" ca="1" si="225"/>
        <v/>
      </c>
      <c r="Z511" s="315" t="str">
        <f t="shared" ca="1" si="226"/>
        <v/>
      </c>
      <c r="AA511" s="316" t="str">
        <f t="shared" ca="1" si="227"/>
        <v/>
      </c>
      <c r="AC511" s="310" t="e">
        <f t="shared" ca="1" si="228"/>
        <v>#N/A</v>
      </c>
      <c r="AD511" s="323" t="e">
        <f t="shared" ca="1" si="229"/>
        <v>#N/A</v>
      </c>
      <c r="AE511" s="324" t="e">
        <f t="shared" ca="1" si="208"/>
        <v>#N/A</v>
      </c>
      <c r="AG511" s="306">
        <f t="shared" ca="1" si="230"/>
        <v>0.53553540057905913</v>
      </c>
      <c r="AH511" s="304">
        <f t="shared" ca="1" si="231"/>
        <v>-9.2507363893130599</v>
      </c>
    </row>
    <row r="512" spans="1:34" x14ac:dyDescent="0.2">
      <c r="A512" s="347">
        <f t="shared" ca="1" si="209"/>
        <v>1E-4</v>
      </c>
      <c r="B512" s="304">
        <f t="shared" ca="1" si="210"/>
        <v>37.100300000000232</v>
      </c>
      <c r="D512" s="306">
        <f t="shared" ca="1" si="211"/>
        <v>-0.64301830071014721</v>
      </c>
      <c r="E512" s="307">
        <f t="shared" ca="1" si="212"/>
        <v>-0.58161958701966654</v>
      </c>
      <c r="F512" s="304">
        <f t="shared" ca="1" si="213"/>
        <v>0.86703741502491849</v>
      </c>
      <c r="G512" s="306">
        <f t="shared" ca="1" si="214"/>
        <v>7.2421348562411332</v>
      </c>
      <c r="H512" s="307">
        <f t="shared" ca="1" si="215"/>
        <v>-103.93764249421787</v>
      </c>
      <c r="I512" s="304">
        <f t="shared" ca="1" si="216"/>
        <v>104.18964461275327</v>
      </c>
      <c r="J512" s="306">
        <f t="shared" ca="1" si="217"/>
        <v>837.4075040097224</v>
      </c>
      <c r="K512" s="307">
        <f t="shared" ca="1" si="218"/>
        <v>-10.365381550249786</v>
      </c>
      <c r="L512" s="304">
        <f t="shared" ca="1" si="203"/>
        <v>837.47165259874646</v>
      </c>
      <c r="M512" s="306">
        <f t="shared" ca="1" si="219"/>
        <v>-1.5012310705103478</v>
      </c>
      <c r="N512" s="304">
        <f t="shared" ca="1" si="220"/>
        <v>-86.014204414149432</v>
      </c>
      <c r="P512" s="310">
        <f t="shared" ca="1" si="221"/>
        <v>23</v>
      </c>
      <c r="Q512" s="304">
        <f t="shared" ca="1" si="222"/>
        <v>0</v>
      </c>
      <c r="R512" s="306">
        <f t="shared" ca="1" si="223"/>
        <v>0</v>
      </c>
      <c r="S512" s="307">
        <f t="shared" ca="1" si="224"/>
        <v>2.9362999999999984</v>
      </c>
      <c r="T512" s="304">
        <f t="shared" ca="1" si="204"/>
        <v>28.805102999999985</v>
      </c>
      <c r="U512" s="311">
        <f t="shared" ca="1" si="205"/>
        <v>0</v>
      </c>
      <c r="V512" s="306">
        <f t="shared" ca="1" si="206"/>
        <v>1.2262704176580936</v>
      </c>
      <c r="W512" s="304">
        <f t="shared" ca="1" si="207"/>
        <v>27.163049571331364</v>
      </c>
      <c r="Y512" s="314" t="str">
        <f t="shared" ca="1" si="225"/>
        <v/>
      </c>
      <c r="Z512" s="315" t="str">
        <f t="shared" ca="1" si="226"/>
        <v/>
      </c>
      <c r="AA512" s="316" t="str">
        <f t="shared" ca="1" si="227"/>
        <v/>
      </c>
      <c r="AC512" s="310" t="e">
        <f t="shared" ca="1" si="228"/>
        <v>#N/A</v>
      </c>
      <c r="AD512" s="323" t="e">
        <f t="shared" ca="1" si="229"/>
        <v>#N/A</v>
      </c>
      <c r="AE512" s="324" t="e">
        <f t="shared" ca="1" si="208"/>
        <v>#N/A</v>
      </c>
      <c r="AG512" s="306">
        <f t="shared" ca="1" si="230"/>
        <v>0.53551672207279211</v>
      </c>
      <c r="AH512" s="304">
        <f t="shared" ca="1" si="231"/>
        <v>-9.2507555141040907</v>
      </c>
    </row>
    <row r="513" spans="1:34" x14ac:dyDescent="0.2">
      <c r="A513" s="347">
        <f t="shared" ca="1" si="209"/>
        <v>1E-4</v>
      </c>
      <c r="B513" s="304">
        <f t="shared" ca="1" si="210"/>
        <v>37.100400000000235</v>
      </c>
      <c r="D513" s="306">
        <f t="shared" ca="1" si="211"/>
        <v>-0.64301359032816219</v>
      </c>
      <c r="E513" s="307">
        <f t="shared" ca="1" si="212"/>
        <v>-0.58160008794143536</v>
      </c>
      <c r="F513" s="304">
        <f t="shared" ca="1" si="213"/>
        <v>0.86702084152585335</v>
      </c>
      <c r="G513" s="306">
        <f t="shared" ca="1" si="214"/>
        <v>7.2420705548821003</v>
      </c>
      <c r="H513" s="307">
        <f t="shared" ca="1" si="215"/>
        <v>-103.93770065422666</v>
      </c>
      <c r="I513" s="304">
        <f t="shared" ca="1" si="216"/>
        <v>104.18969816257997</v>
      </c>
      <c r="J513" s="306">
        <f t="shared" ca="1" si="217"/>
        <v>837.4075040097224</v>
      </c>
      <c r="K513" s="307">
        <f t="shared" ca="1" si="218"/>
        <v>-10.375775317407209</v>
      </c>
      <c r="L513" s="304">
        <f t="shared" ca="1" si="203"/>
        <v>837.47178130682744</v>
      </c>
      <c r="M513" s="306">
        <f t="shared" ca="1" si="219"/>
        <v>-1.5012317249751255</v>
      </c>
      <c r="N513" s="304">
        <f t="shared" ca="1" si="220"/>
        <v>-86.014241912219035</v>
      </c>
      <c r="P513" s="310">
        <f t="shared" ca="1" si="221"/>
        <v>23</v>
      </c>
      <c r="Q513" s="304">
        <f t="shared" ca="1" si="222"/>
        <v>0</v>
      </c>
      <c r="R513" s="306">
        <f t="shared" ca="1" si="223"/>
        <v>0</v>
      </c>
      <c r="S513" s="307">
        <f t="shared" ca="1" si="224"/>
        <v>2.9362999999999984</v>
      </c>
      <c r="T513" s="304">
        <f t="shared" ca="1" si="204"/>
        <v>28.805102999999985</v>
      </c>
      <c r="U513" s="311">
        <f t="shared" ca="1" si="205"/>
        <v>0</v>
      </c>
      <c r="V513" s="306">
        <f t="shared" ca="1" si="206"/>
        <v>1.2262716922160177</v>
      </c>
      <c r="W513" s="304">
        <f t="shared" ca="1" si="207"/>
        <v>27.163105725742529</v>
      </c>
      <c r="Y513" s="314" t="str">
        <f t="shared" ca="1" si="225"/>
        <v/>
      </c>
      <c r="Z513" s="315" t="str">
        <f t="shared" ca="1" si="226"/>
        <v/>
      </c>
      <c r="AA513" s="316" t="str">
        <f t="shared" ca="1" si="227"/>
        <v/>
      </c>
      <c r="AC513" s="310" t="e">
        <f t="shared" ca="1" si="228"/>
        <v>#N/A</v>
      </c>
      <c r="AD513" s="323" t="e">
        <f t="shared" ca="1" si="229"/>
        <v>#N/A</v>
      </c>
      <c r="AE513" s="324" t="e">
        <f t="shared" ca="1" si="208"/>
        <v>#N/A</v>
      </c>
      <c r="AG513" s="306">
        <f t="shared" ca="1" si="230"/>
        <v>0.5354980438495609</v>
      </c>
      <c r="AH513" s="304">
        <f t="shared" ca="1" si="231"/>
        <v>-9.2507746386034739</v>
      </c>
    </row>
    <row r="514" spans="1:34" x14ac:dyDescent="0.2">
      <c r="A514" s="347">
        <f t="shared" ca="1" si="209"/>
        <v>1E-4</v>
      </c>
      <c r="B514" s="304">
        <f t="shared" ca="1" si="210"/>
        <v>37.100500000000238</v>
      </c>
      <c r="D514" s="306">
        <f t="shared" ca="1" si="211"/>
        <v>-0.64300887996048939</v>
      </c>
      <c r="E514" s="307">
        <f t="shared" ca="1" si="212"/>
        <v>-0.58158058916053257</v>
      </c>
      <c r="F514" s="304">
        <f t="shared" ca="1" si="213"/>
        <v>0.86700426838416156</v>
      </c>
      <c r="G514" s="306">
        <f t="shared" ca="1" si="214"/>
        <v>7.2420062539941039</v>
      </c>
      <c r="H514" s="307">
        <f t="shared" ca="1" si="215"/>
        <v>-103.93775881228558</v>
      </c>
      <c r="I514" s="304">
        <f t="shared" ca="1" si="216"/>
        <v>104.18975171053887</v>
      </c>
      <c r="J514" s="306">
        <f t="shared" ca="1" si="217"/>
        <v>837.4075040097224</v>
      </c>
      <c r="K514" s="307">
        <f t="shared" ca="1" si="218"/>
        <v>-10.386169090380534</v>
      </c>
      <c r="L514" s="304">
        <f t="shared" ca="1" si="203"/>
        <v>837.47191014395651</v>
      </c>
      <c r="M514" s="306">
        <f t="shared" ca="1" si="219"/>
        <v>-1.5012323794334195</v>
      </c>
      <c r="N514" s="304">
        <f t="shared" ca="1" si="220"/>
        <v>-86.014279409917137</v>
      </c>
      <c r="P514" s="310">
        <f t="shared" ca="1" si="221"/>
        <v>23</v>
      </c>
      <c r="Q514" s="304">
        <f t="shared" ca="1" si="222"/>
        <v>0</v>
      </c>
      <c r="R514" s="306">
        <f t="shared" ca="1" si="223"/>
        <v>0</v>
      </c>
      <c r="S514" s="307">
        <f t="shared" ca="1" si="224"/>
        <v>2.9362999999999984</v>
      </c>
      <c r="T514" s="304">
        <f t="shared" ca="1" si="204"/>
        <v>28.805102999999985</v>
      </c>
      <c r="U514" s="311">
        <f t="shared" ca="1" si="205"/>
        <v>0</v>
      </c>
      <c r="V514" s="306">
        <f t="shared" ca="1" si="206"/>
        <v>1.2262729667759806</v>
      </c>
      <c r="W514" s="304">
        <f t="shared" ca="1" si="207"/>
        <v>27.163161879297352</v>
      </c>
      <c r="Y514" s="314" t="str">
        <f t="shared" ca="1" si="225"/>
        <v/>
      </c>
      <c r="Z514" s="315" t="str">
        <f t="shared" ca="1" si="226"/>
        <v/>
      </c>
      <c r="AA514" s="316" t="str">
        <f t="shared" ca="1" si="227"/>
        <v/>
      </c>
      <c r="AC514" s="310" t="e">
        <f t="shared" ca="1" si="228"/>
        <v>#N/A</v>
      </c>
      <c r="AD514" s="323" t="e">
        <f t="shared" ca="1" si="229"/>
        <v>#N/A</v>
      </c>
      <c r="AE514" s="324" t="e">
        <f t="shared" ca="1" si="208"/>
        <v>#N/A</v>
      </c>
      <c r="AG514" s="306">
        <f t="shared" ca="1" si="230"/>
        <v>0.53547936590936729</v>
      </c>
      <c r="AH514" s="304">
        <f t="shared" ca="1" si="231"/>
        <v>-9.250793762811206</v>
      </c>
    </row>
    <row r="515" spans="1:34" x14ac:dyDescent="0.2">
      <c r="A515" s="347">
        <f t="shared" ca="1" si="209"/>
        <v>1E-4</v>
      </c>
      <c r="B515" s="304">
        <f t="shared" ca="1" si="210"/>
        <v>37.100600000000242</v>
      </c>
      <c r="D515" s="306">
        <f t="shared" ca="1" si="211"/>
        <v>-0.64300416960713302</v>
      </c>
      <c r="E515" s="307">
        <f t="shared" ca="1" si="212"/>
        <v>-0.58156109067694395</v>
      </c>
      <c r="F515" s="304">
        <f t="shared" ca="1" si="213"/>
        <v>0.86698769559983679</v>
      </c>
      <c r="G515" s="306">
        <f t="shared" ca="1" si="214"/>
        <v>7.2419419535771432</v>
      </c>
      <c r="H515" s="307">
        <f t="shared" ca="1" si="215"/>
        <v>-103.93781696839464</v>
      </c>
      <c r="I515" s="304">
        <f t="shared" ca="1" si="216"/>
        <v>104.18980525663001</v>
      </c>
      <c r="J515" s="306">
        <f t="shared" ca="1" si="217"/>
        <v>837.4075040097224</v>
      </c>
      <c r="K515" s="307">
        <f t="shared" ca="1" si="218"/>
        <v>-10.396562869169568</v>
      </c>
      <c r="L515" s="304">
        <f t="shared" ca="1" si="203"/>
        <v>837.47203911013401</v>
      </c>
      <c r="M515" s="306">
        <f t="shared" ca="1" si="219"/>
        <v>-1.50123303388523</v>
      </c>
      <c r="N515" s="304">
        <f t="shared" ca="1" si="220"/>
        <v>-86.014316907243781</v>
      </c>
      <c r="P515" s="310">
        <f t="shared" ca="1" si="221"/>
        <v>23</v>
      </c>
      <c r="Q515" s="304">
        <f t="shared" ca="1" si="222"/>
        <v>0</v>
      </c>
      <c r="R515" s="306">
        <f t="shared" ca="1" si="223"/>
        <v>0</v>
      </c>
      <c r="S515" s="307">
        <f t="shared" ca="1" si="224"/>
        <v>2.9362999999999984</v>
      </c>
      <c r="T515" s="304">
        <f t="shared" ca="1" si="204"/>
        <v>28.805102999999985</v>
      </c>
      <c r="U515" s="311">
        <f t="shared" ca="1" si="205"/>
        <v>0</v>
      </c>
      <c r="V515" s="306">
        <f t="shared" ca="1" si="206"/>
        <v>1.2262742413379826</v>
      </c>
      <c r="W515" s="304">
        <f t="shared" ca="1" si="207"/>
        <v>27.163218031995847</v>
      </c>
      <c r="Y515" s="314" t="str">
        <f t="shared" ca="1" si="225"/>
        <v/>
      </c>
      <c r="Z515" s="315" t="str">
        <f t="shared" ca="1" si="226"/>
        <v/>
      </c>
      <c r="AA515" s="316" t="str">
        <f t="shared" ca="1" si="227"/>
        <v/>
      </c>
      <c r="AC515" s="310" t="e">
        <f t="shared" ca="1" si="228"/>
        <v>#N/A</v>
      </c>
      <c r="AD515" s="323" t="e">
        <f t="shared" ca="1" si="229"/>
        <v>#N/A</v>
      </c>
      <c r="AE515" s="324" t="e">
        <f t="shared" ca="1" si="208"/>
        <v>#N/A</v>
      </c>
      <c r="AG515" s="306">
        <f t="shared" ca="1" si="230"/>
        <v>0.53546068825219884</v>
      </c>
      <c r="AH515" s="304">
        <f t="shared" ca="1" si="231"/>
        <v>-9.2508128867272994</v>
      </c>
    </row>
    <row r="516" spans="1:34" x14ac:dyDescent="0.2">
      <c r="A516" s="347">
        <f t="shared" ca="1" si="209"/>
        <v>1E-4</v>
      </c>
      <c r="B516" s="304">
        <f t="shared" ca="1" si="210"/>
        <v>37.100700000000245</v>
      </c>
      <c r="D516" s="306">
        <f t="shared" ca="1" si="211"/>
        <v>-0.64299945926809166</v>
      </c>
      <c r="E516" s="307">
        <f t="shared" ca="1" si="212"/>
        <v>-0.5815415924906695</v>
      </c>
      <c r="F516" s="304">
        <f t="shared" ca="1" si="213"/>
        <v>0.86697112317287828</v>
      </c>
      <c r="G516" s="306">
        <f t="shared" ca="1" si="214"/>
        <v>7.2418776536312164</v>
      </c>
      <c r="H516" s="307">
        <f t="shared" ca="1" si="215"/>
        <v>-103.93787512255389</v>
      </c>
      <c r="I516" s="304">
        <f t="shared" ca="1" si="216"/>
        <v>104.18985880085341</v>
      </c>
      <c r="J516" s="306">
        <f t="shared" ca="1" si="217"/>
        <v>837.4075040097224</v>
      </c>
      <c r="K516" s="307">
        <f t="shared" ca="1" si="218"/>
        <v>-10.406956653774115</v>
      </c>
      <c r="L516" s="304">
        <f t="shared" ref="L516:L579" ca="1" si="232">SQRT(pos_x^2+pos_z^2)</f>
        <v>837.47216820536005</v>
      </c>
      <c r="M516" s="306">
        <f t="shared" ca="1" si="219"/>
        <v>-1.5012336883305573</v>
      </c>
      <c r="N516" s="304">
        <f t="shared" ca="1" si="220"/>
        <v>-86.014354404198954</v>
      </c>
      <c r="P516" s="310">
        <f t="shared" ca="1" si="221"/>
        <v>23</v>
      </c>
      <c r="Q516" s="304">
        <f t="shared" ca="1" si="222"/>
        <v>0</v>
      </c>
      <c r="R516" s="306">
        <f t="shared" ca="1" si="223"/>
        <v>0</v>
      </c>
      <c r="S516" s="307">
        <f t="shared" ca="1" si="224"/>
        <v>2.9362999999999984</v>
      </c>
      <c r="T516" s="304">
        <f t="shared" ref="T516:T579" ca="1" si="233">m*g</f>
        <v>28.805102999999985</v>
      </c>
      <c r="U516" s="311">
        <f t="shared" ref="U516:U579" ca="1" si="234">IF(pos_xz&lt;L_rampe,Poids*COS(Beta),0)</f>
        <v>0</v>
      </c>
      <c r="V516" s="306">
        <f t="shared" ref="V516:V579" ca="1" si="235">Rho_moyen*(20000-Alt_rampe-pos_z)/(20000+Alt_rampe+pos_z)</f>
        <v>1.2262755159020224</v>
      </c>
      <c r="W516" s="304">
        <f t="shared" ref="W516:W579" ca="1" si="236">1/2*Rho*Sref*Cx*vit_xz^2</f>
        <v>27.163274183837999</v>
      </c>
      <c r="Y516" s="314" t="str">
        <f t="shared" ca="1" si="225"/>
        <v/>
      </c>
      <c r="Z516" s="315" t="str">
        <f t="shared" ca="1" si="226"/>
        <v/>
      </c>
      <c r="AA516" s="316" t="str">
        <f t="shared" ca="1" si="227"/>
        <v/>
      </c>
      <c r="AC516" s="310" t="e">
        <f t="shared" ca="1" si="228"/>
        <v>#N/A</v>
      </c>
      <c r="AD516" s="323" t="e">
        <f t="shared" ca="1" si="229"/>
        <v>#N/A</v>
      </c>
      <c r="AE516" s="324" t="e">
        <f t="shared" ref="AE516:AE579" ca="1" si="237">IF(t&lt;T_para, pos_z, NA())</f>
        <v>#N/A</v>
      </c>
      <c r="AG516" s="306">
        <f t="shared" ca="1" si="230"/>
        <v>0.53544201087805554</v>
      </c>
      <c r="AH516" s="304">
        <f t="shared" ca="1" si="231"/>
        <v>-9.2508320103517558</v>
      </c>
    </row>
    <row r="517" spans="1:34" x14ac:dyDescent="0.2">
      <c r="A517" s="347">
        <f t="shared" ref="A517:A580" ca="1" si="238">IF(B516+0.01&lt;=T_ini+ROUNDUP(Temps_fin_propu,0), 0.01, IF(K516&gt;0, 0.1, 0.0001))</f>
        <v>1E-4</v>
      </c>
      <c r="B517" s="304">
        <f t="shared" ref="B517:B580" ca="1" si="239">B516+pas</f>
        <v>37.100800000000248</v>
      </c>
      <c r="D517" s="306">
        <f t="shared" ref="D517:D580" ca="1" si="240">IF(AND(L516&lt;L_rampe,Poussee&lt;Poids*SIN(M516)),0,(-W516+Poussee)/m*COS(M516)-U516/m*SIN(M516))</f>
        <v>-0.64299474894336417</v>
      </c>
      <c r="E517" s="307">
        <f t="shared" ref="E517:E580" ca="1" si="241">IF(AND(L516&lt;L_rampe,Poussee&lt;Poids*SIN(M516)),0,(-W516+Poussee)/m*SIN(M516)+U516/m*COS(M516)-Poids/m)</f>
        <v>-0.581522094601711</v>
      </c>
      <c r="F517" s="304">
        <f t="shared" ref="F517:F580" ca="1" si="242">SQRT(acc_x^2+acc_z^2)</f>
        <v>0.86695455110328656</v>
      </c>
      <c r="G517" s="306">
        <f t="shared" ref="G517:G580" ca="1" si="243">G516+acc_x*pas</f>
        <v>7.2418133541563217</v>
      </c>
      <c r="H517" s="307">
        <f t="shared" ref="H517:H580" ca="1" si="244">H516+acc_z*pas</f>
        <v>-103.93793327476335</v>
      </c>
      <c r="I517" s="304">
        <f t="shared" ref="I517:I580" ca="1" si="245">SQRT(vit_x^2+vit_z^2)</f>
        <v>104.1899123432091</v>
      </c>
      <c r="J517" s="306">
        <f t="shared" ref="J517:J580" ca="1" si="246">J516+0.5*(vit_x+G516)*pas*(K516&gt;=0)</f>
        <v>837.4075040097224</v>
      </c>
      <c r="K517" s="307">
        <f t="shared" ref="K517:K580" ca="1" si="247">K516+0.5*(vit_z+H516)*pas</f>
        <v>-10.41735044419398</v>
      </c>
      <c r="L517" s="304">
        <f t="shared" ca="1" si="232"/>
        <v>837.47229742963464</v>
      </c>
      <c r="M517" s="306">
        <f t="shared" ref="M517:M580" ca="1" si="248">IF(AND(L516&gt;L_rampe,G517&gt;0),ATAN2(G517,H517),$M$4)</f>
        <v>-1.501234342769401</v>
      </c>
      <c r="N517" s="304">
        <f t="shared" ref="N517:N580" ca="1" si="249">DEGREES(Beta)</f>
        <v>-86.014391900782655</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2.9362999999999984</v>
      </c>
      <c r="T517" s="304">
        <f t="shared" ca="1" si="233"/>
        <v>28.805102999999985</v>
      </c>
      <c r="U517" s="311">
        <f t="shared" ca="1" si="234"/>
        <v>0</v>
      </c>
      <c r="V517" s="306">
        <f t="shared" ca="1" si="235"/>
        <v>1.2262767904681013</v>
      </c>
      <c r="W517" s="304">
        <f t="shared" ca="1" si="236"/>
        <v>27.16333033482384</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t="e">
        <f t="shared" ca="1" si="237"/>
        <v>#N/A</v>
      </c>
      <c r="AG517" s="306">
        <f t="shared" ref="AG517:AG580" ca="1" si="259">IF(AND(L516&lt;L_rampe,Poussee&lt;Poids*SIN(M516)),0,(-W516+Poussee)/m-Poids*SIN(M516)/m)</f>
        <v>0.53542333378693741</v>
      </c>
      <c r="AH517" s="304">
        <f t="shared" ref="AH517:AH580" ca="1" si="260">IF(AND(L516&lt;L_rampe,Poussee&lt;Poids*SIN(M516)), g*SIN(M516), (-W516+Poussee)/m)</f>
        <v>-9.2508511336845736</v>
      </c>
    </row>
    <row r="518" spans="1:34" x14ac:dyDescent="0.2">
      <c r="A518" s="347">
        <f t="shared" ca="1" si="238"/>
        <v>1E-4</v>
      </c>
      <c r="B518" s="304">
        <f t="shared" ca="1" si="239"/>
        <v>37.100900000000252</v>
      </c>
      <c r="D518" s="306">
        <f t="shared" ca="1" si="240"/>
        <v>-0.64299003863295445</v>
      </c>
      <c r="E518" s="307">
        <f t="shared" ca="1" si="241"/>
        <v>-0.58150259701005602</v>
      </c>
      <c r="F518" s="304">
        <f t="shared" ca="1" si="242"/>
        <v>0.86693797939105643</v>
      </c>
      <c r="G518" s="306">
        <f t="shared" ca="1" si="243"/>
        <v>7.2417490551524581</v>
      </c>
      <c r="H518" s="307">
        <f t="shared" ca="1" si="244"/>
        <v>-103.93799142502306</v>
      </c>
      <c r="I518" s="304">
        <f t="shared" ca="1" si="245"/>
        <v>104.18996588369711</v>
      </c>
      <c r="J518" s="306">
        <f t="shared" ca="1" si="246"/>
        <v>837.4075040097224</v>
      </c>
      <c r="K518" s="307">
        <f t="shared" ca="1" si="247"/>
        <v>-10.42774424042897</v>
      </c>
      <c r="L518" s="304">
        <f t="shared" ca="1" si="232"/>
        <v>837.47242678295811</v>
      </c>
      <c r="M518" s="306">
        <f t="shared" ca="1" si="248"/>
        <v>-1.5012349972017616</v>
      </c>
      <c r="N518" s="304">
        <f t="shared" ca="1" si="249"/>
        <v>-86.014429396994885</v>
      </c>
      <c r="P518" s="310">
        <f t="shared" ca="1" si="250"/>
        <v>23</v>
      </c>
      <c r="Q518" s="304">
        <f t="shared" ca="1" si="251"/>
        <v>0</v>
      </c>
      <c r="R518" s="306">
        <f t="shared" ca="1" si="252"/>
        <v>0</v>
      </c>
      <c r="S518" s="307">
        <f t="shared" ca="1" si="253"/>
        <v>2.9362999999999984</v>
      </c>
      <c r="T518" s="304">
        <f t="shared" ca="1" si="233"/>
        <v>28.805102999999985</v>
      </c>
      <c r="U518" s="311">
        <f t="shared" ca="1" si="234"/>
        <v>0</v>
      </c>
      <c r="V518" s="306">
        <f t="shared" ca="1" si="235"/>
        <v>1.2262780650362186</v>
      </c>
      <c r="W518" s="304">
        <f t="shared" ca="1" si="236"/>
        <v>27.163386484953371</v>
      </c>
      <c r="Y518" s="314" t="str">
        <f t="shared" ca="1" si="254"/>
        <v/>
      </c>
      <c r="Z518" s="315" t="str">
        <f t="shared" ca="1" si="255"/>
        <v/>
      </c>
      <c r="AA518" s="316" t="str">
        <f t="shared" ca="1" si="256"/>
        <v/>
      </c>
      <c r="AC518" s="310" t="e">
        <f t="shared" ca="1" si="257"/>
        <v>#N/A</v>
      </c>
      <c r="AD518" s="323" t="e">
        <f t="shared" ca="1" si="258"/>
        <v>#N/A</v>
      </c>
      <c r="AE518" s="324" t="e">
        <f t="shared" ca="1" si="237"/>
        <v>#N/A</v>
      </c>
      <c r="AG518" s="306">
        <f t="shared" ca="1" si="259"/>
        <v>0.5354046569788391</v>
      </c>
      <c r="AH518" s="304">
        <f t="shared" ca="1" si="260"/>
        <v>-9.2508702567257615</v>
      </c>
    </row>
    <row r="519" spans="1:34" x14ac:dyDescent="0.2">
      <c r="A519" s="347">
        <f t="shared" ca="1" si="238"/>
        <v>1E-4</v>
      </c>
      <c r="B519" s="304">
        <f t="shared" ca="1" si="239"/>
        <v>37.101000000000255</v>
      </c>
      <c r="D519" s="306">
        <f t="shared" ca="1" si="240"/>
        <v>-0.64298532833686128</v>
      </c>
      <c r="E519" s="307">
        <f t="shared" ca="1" si="241"/>
        <v>-0.58148309971570633</v>
      </c>
      <c r="F519" s="304">
        <f t="shared" ca="1" si="242"/>
        <v>0.86692140803618833</v>
      </c>
      <c r="G519" s="306">
        <f t="shared" ca="1" si="243"/>
        <v>7.2416847566196241</v>
      </c>
      <c r="H519" s="307">
        <f t="shared" ca="1" si="244"/>
        <v>-103.93804957333303</v>
      </c>
      <c r="I519" s="304">
        <f t="shared" ca="1" si="245"/>
        <v>104.19001942231748</v>
      </c>
      <c r="J519" s="306">
        <f t="shared" ca="1" si="246"/>
        <v>837.4075040097224</v>
      </c>
      <c r="K519" s="307">
        <f t="shared" ca="1" si="247"/>
        <v>-10.438138042478888</v>
      </c>
      <c r="L519" s="304">
        <f t="shared" ca="1" si="232"/>
        <v>837.47255626533047</v>
      </c>
      <c r="M519" s="306">
        <f t="shared" ca="1" si="248"/>
        <v>-1.5012356516276391</v>
      </c>
      <c r="N519" s="304">
        <f t="shared" ca="1" si="249"/>
        <v>-86.014466892835671</v>
      </c>
      <c r="P519" s="310">
        <f t="shared" ca="1" si="250"/>
        <v>23</v>
      </c>
      <c r="Q519" s="304">
        <f t="shared" ca="1" si="251"/>
        <v>0</v>
      </c>
      <c r="R519" s="306">
        <f t="shared" ca="1" si="252"/>
        <v>0</v>
      </c>
      <c r="S519" s="307">
        <f t="shared" ca="1" si="253"/>
        <v>2.9362999999999984</v>
      </c>
      <c r="T519" s="304">
        <f t="shared" ca="1" si="233"/>
        <v>28.805102999999985</v>
      </c>
      <c r="U519" s="311">
        <f t="shared" ca="1" si="234"/>
        <v>0</v>
      </c>
      <c r="V519" s="306">
        <f t="shared" ca="1" si="235"/>
        <v>1.2262793396063745</v>
      </c>
      <c r="W519" s="304">
        <f t="shared" ca="1" si="236"/>
        <v>27.163442634226609</v>
      </c>
      <c r="Y519" s="314" t="str">
        <f t="shared" ca="1" si="254"/>
        <v/>
      </c>
      <c r="Z519" s="315" t="str">
        <f t="shared" ca="1" si="255"/>
        <v/>
      </c>
      <c r="AA519" s="316" t="str">
        <f t="shared" ca="1" si="256"/>
        <v/>
      </c>
      <c r="AC519" s="310" t="e">
        <f t="shared" ca="1" si="257"/>
        <v>#N/A</v>
      </c>
      <c r="AD519" s="323" t="e">
        <f t="shared" ca="1" si="258"/>
        <v>#N/A</v>
      </c>
      <c r="AE519" s="324" t="e">
        <f t="shared" ca="1" si="237"/>
        <v>#N/A</v>
      </c>
      <c r="AG519" s="306">
        <f t="shared" ca="1" si="259"/>
        <v>0.53538598045375529</v>
      </c>
      <c r="AH519" s="304">
        <f t="shared" ca="1" si="260"/>
        <v>-9.2508893794753213</v>
      </c>
    </row>
    <row r="520" spans="1:34" x14ac:dyDescent="0.2">
      <c r="A520" s="347">
        <f t="shared" ca="1" si="238"/>
        <v>1E-4</v>
      </c>
      <c r="B520" s="304">
        <f t="shared" ca="1" si="239"/>
        <v>37.101100000000258</v>
      </c>
      <c r="D520" s="306">
        <f t="shared" ca="1" si="240"/>
        <v>-0.64298061805508389</v>
      </c>
      <c r="E520" s="307">
        <f t="shared" ca="1" si="241"/>
        <v>-0.5814636027186566</v>
      </c>
      <c r="F520" s="304">
        <f t="shared" ca="1" si="242"/>
        <v>0.86690483703867827</v>
      </c>
      <c r="G520" s="306">
        <f t="shared" ca="1" si="243"/>
        <v>7.2416204585578186</v>
      </c>
      <c r="H520" s="307">
        <f t="shared" ca="1" si="244"/>
        <v>-103.93810771969331</v>
      </c>
      <c r="I520" s="304">
        <f t="shared" ca="1" si="245"/>
        <v>104.19007295907021</v>
      </c>
      <c r="J520" s="306">
        <f t="shared" ca="1" si="246"/>
        <v>837.4075040097224</v>
      </c>
      <c r="K520" s="307">
        <f t="shared" ca="1" si="247"/>
        <v>-10.44853185034354</v>
      </c>
      <c r="L520" s="304">
        <f t="shared" ca="1" si="232"/>
        <v>837.47268587675194</v>
      </c>
      <c r="M520" s="306">
        <f t="shared" ca="1" si="248"/>
        <v>-1.5012363060470333</v>
      </c>
      <c r="N520" s="304">
        <f t="shared" ca="1" si="249"/>
        <v>-86.014504388304999</v>
      </c>
      <c r="P520" s="310">
        <f t="shared" ca="1" si="250"/>
        <v>23</v>
      </c>
      <c r="Q520" s="304">
        <f t="shared" ca="1" si="251"/>
        <v>0</v>
      </c>
      <c r="R520" s="306">
        <f t="shared" ca="1" si="252"/>
        <v>0</v>
      </c>
      <c r="S520" s="307">
        <f t="shared" ca="1" si="253"/>
        <v>2.9362999999999984</v>
      </c>
      <c r="T520" s="304">
        <f t="shared" ca="1" si="233"/>
        <v>28.805102999999985</v>
      </c>
      <c r="U520" s="311">
        <f t="shared" ca="1" si="234"/>
        <v>0</v>
      </c>
      <c r="V520" s="306">
        <f t="shared" ca="1" si="235"/>
        <v>1.2262806141785687</v>
      </c>
      <c r="W520" s="304">
        <f t="shared" ca="1" si="236"/>
        <v>27.163498782643547</v>
      </c>
      <c r="Y520" s="314" t="str">
        <f t="shared" ca="1" si="254"/>
        <v/>
      </c>
      <c r="Z520" s="315" t="str">
        <f t="shared" ca="1" si="255"/>
        <v/>
      </c>
      <c r="AA520" s="316" t="str">
        <f t="shared" ca="1" si="256"/>
        <v/>
      </c>
      <c r="AC520" s="310" t="e">
        <f t="shared" ca="1" si="257"/>
        <v>#N/A</v>
      </c>
      <c r="AD520" s="323" t="e">
        <f t="shared" ca="1" si="258"/>
        <v>#N/A</v>
      </c>
      <c r="AE520" s="324" t="e">
        <f t="shared" ca="1" si="237"/>
        <v>#N/A</v>
      </c>
      <c r="AG520" s="306">
        <f t="shared" ca="1" si="259"/>
        <v>0.53536730421168599</v>
      </c>
      <c r="AH520" s="304">
        <f t="shared" ca="1" si="260"/>
        <v>-9.2509085019332566</v>
      </c>
    </row>
    <row r="521" spans="1:34" x14ac:dyDescent="0.2">
      <c r="A521" s="347">
        <f t="shared" ca="1" si="238"/>
        <v>1E-4</v>
      </c>
      <c r="B521" s="304">
        <f t="shared" ca="1" si="239"/>
        <v>37.101200000000262</v>
      </c>
      <c r="D521" s="306">
        <f t="shared" ca="1" si="240"/>
        <v>-0.64297590778762503</v>
      </c>
      <c r="E521" s="307">
        <f t="shared" ca="1" si="241"/>
        <v>-0.58144410601890861</v>
      </c>
      <c r="F521" s="304">
        <f t="shared" ca="1" si="242"/>
        <v>0.86688826639852978</v>
      </c>
      <c r="G521" s="306">
        <f t="shared" ca="1" si="243"/>
        <v>7.2415561609670398</v>
      </c>
      <c r="H521" s="307">
        <f t="shared" ca="1" si="244"/>
        <v>-103.93816586410391</v>
      </c>
      <c r="I521" s="304">
        <f t="shared" ca="1" si="245"/>
        <v>104.19012649395535</v>
      </c>
      <c r="J521" s="306">
        <f t="shared" ca="1" si="246"/>
        <v>837.4075040097224</v>
      </c>
      <c r="K521" s="307">
        <f t="shared" ca="1" si="247"/>
        <v>-10.458925664022731</v>
      </c>
      <c r="L521" s="304">
        <f t="shared" ca="1" si="232"/>
        <v>837.47281561722275</v>
      </c>
      <c r="M521" s="306">
        <f t="shared" ca="1" si="248"/>
        <v>-1.5012369604599445</v>
      </c>
      <c r="N521" s="304">
        <f t="shared" ca="1" si="249"/>
        <v>-86.01454188340287</v>
      </c>
      <c r="P521" s="310">
        <f t="shared" ca="1" si="250"/>
        <v>23</v>
      </c>
      <c r="Q521" s="304">
        <f t="shared" ca="1" si="251"/>
        <v>0</v>
      </c>
      <c r="R521" s="306">
        <f t="shared" ca="1" si="252"/>
        <v>0</v>
      </c>
      <c r="S521" s="307">
        <f t="shared" ca="1" si="253"/>
        <v>2.9362999999999984</v>
      </c>
      <c r="T521" s="304">
        <f t="shared" ca="1" si="233"/>
        <v>28.805102999999985</v>
      </c>
      <c r="U521" s="311">
        <f t="shared" ca="1" si="234"/>
        <v>0</v>
      </c>
      <c r="V521" s="306">
        <f t="shared" ca="1" si="235"/>
        <v>1.2262818887528015</v>
      </c>
      <c r="W521" s="304">
        <f t="shared" ca="1" si="236"/>
        <v>27.163554930204207</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0.53534862825262763</v>
      </c>
      <c r="AH521" s="304">
        <f t="shared" ca="1" si="260"/>
        <v>-9.2509276240995675</v>
      </c>
    </row>
    <row r="522" spans="1:34" x14ac:dyDescent="0.2">
      <c r="A522" s="347">
        <f t="shared" ca="1" si="238"/>
        <v>1E-4</v>
      </c>
      <c r="B522" s="304">
        <f t="shared" ca="1" si="239"/>
        <v>37.101300000000265</v>
      </c>
      <c r="D522" s="306">
        <f t="shared" ca="1" si="240"/>
        <v>-0.64297119753448462</v>
      </c>
      <c r="E522" s="307">
        <f t="shared" ca="1" si="241"/>
        <v>-0.58142460961645348</v>
      </c>
      <c r="F522" s="304">
        <f t="shared" ca="1" si="242"/>
        <v>0.86687169611573689</v>
      </c>
      <c r="G522" s="306">
        <f t="shared" ca="1" si="243"/>
        <v>7.241491863847286</v>
      </c>
      <c r="H522" s="307">
        <f t="shared" ca="1" si="244"/>
        <v>-103.93822400656487</v>
      </c>
      <c r="I522" s="304">
        <f t="shared" ca="1" si="245"/>
        <v>104.1901800269729</v>
      </c>
      <c r="J522" s="306">
        <f t="shared" ca="1" si="246"/>
        <v>837.4075040097224</v>
      </c>
      <c r="K522" s="307">
        <f t="shared" ca="1" si="247"/>
        <v>-10.469319483516264</v>
      </c>
      <c r="L522" s="304">
        <f t="shared" ca="1" si="232"/>
        <v>837.47294548674301</v>
      </c>
      <c r="M522" s="306">
        <f t="shared" ca="1" si="248"/>
        <v>-1.5012376148663729</v>
      </c>
      <c r="N522" s="304">
        <f t="shared" ca="1" si="249"/>
        <v>-86.014579378129298</v>
      </c>
      <c r="P522" s="310">
        <f t="shared" ca="1" si="250"/>
        <v>23</v>
      </c>
      <c r="Q522" s="304">
        <f t="shared" ca="1" si="251"/>
        <v>0</v>
      </c>
      <c r="R522" s="306">
        <f t="shared" ca="1" si="252"/>
        <v>0</v>
      </c>
      <c r="S522" s="307">
        <f t="shared" ca="1" si="253"/>
        <v>2.9362999999999984</v>
      </c>
      <c r="T522" s="304">
        <f t="shared" ca="1" si="233"/>
        <v>28.805102999999985</v>
      </c>
      <c r="U522" s="311">
        <f t="shared" ca="1" si="234"/>
        <v>0</v>
      </c>
      <c r="V522" s="306">
        <f t="shared" ca="1" si="235"/>
        <v>1.2262831633290729</v>
      </c>
      <c r="W522" s="304">
        <f t="shared" ca="1" si="236"/>
        <v>27.163611076908587</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0.53532995257657667</v>
      </c>
      <c r="AH522" s="304">
        <f t="shared" ca="1" si="260"/>
        <v>-9.2509467459742609</v>
      </c>
    </row>
    <row r="523" spans="1:34" x14ac:dyDescent="0.2">
      <c r="A523" s="347">
        <f t="shared" ca="1" si="238"/>
        <v>1E-4</v>
      </c>
      <c r="B523" s="304">
        <f t="shared" ca="1" si="239"/>
        <v>37.101400000000268</v>
      </c>
      <c r="D523" s="306">
        <f t="shared" ca="1" si="240"/>
        <v>-0.64296648729566097</v>
      </c>
      <c r="E523" s="307">
        <f t="shared" ca="1" si="241"/>
        <v>-0.58140511351129298</v>
      </c>
      <c r="F523" s="304">
        <f t="shared" ca="1" si="242"/>
        <v>0.86685512619029992</v>
      </c>
      <c r="G523" s="306">
        <f t="shared" ca="1" si="243"/>
        <v>7.2414275671985564</v>
      </c>
      <c r="H523" s="307">
        <f t="shared" ca="1" si="244"/>
        <v>-103.93828214707622</v>
      </c>
      <c r="I523" s="304">
        <f t="shared" ca="1" si="245"/>
        <v>104.19023355812293</v>
      </c>
      <c r="J523" s="306">
        <f t="shared" ca="1" si="246"/>
        <v>837.4075040097224</v>
      </c>
      <c r="K523" s="307">
        <f t="shared" ca="1" si="247"/>
        <v>-10.479713308823946</v>
      </c>
      <c r="L523" s="304">
        <f t="shared" ca="1" si="232"/>
        <v>837.47307548531273</v>
      </c>
      <c r="M523" s="306">
        <f t="shared" ca="1" si="248"/>
        <v>-1.5012382692663182</v>
      </c>
      <c r="N523" s="304">
        <f t="shared" ca="1" si="249"/>
        <v>-86.014616872484282</v>
      </c>
      <c r="P523" s="310">
        <f t="shared" ca="1" si="250"/>
        <v>23</v>
      </c>
      <c r="Q523" s="304">
        <f t="shared" ca="1" si="251"/>
        <v>0</v>
      </c>
      <c r="R523" s="306">
        <f t="shared" ca="1" si="252"/>
        <v>0</v>
      </c>
      <c r="S523" s="307">
        <f t="shared" ca="1" si="253"/>
        <v>2.9362999999999984</v>
      </c>
      <c r="T523" s="304">
        <f t="shared" ca="1" si="233"/>
        <v>28.805102999999985</v>
      </c>
      <c r="U523" s="311">
        <f t="shared" ca="1" si="234"/>
        <v>0</v>
      </c>
      <c r="V523" s="306">
        <f t="shared" ca="1" si="235"/>
        <v>1.2262844379073827</v>
      </c>
      <c r="W523" s="304">
        <f t="shared" ca="1" si="236"/>
        <v>27.163667222756722</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0.53531127718353311</v>
      </c>
      <c r="AH523" s="304">
        <f t="shared" ca="1" si="260"/>
        <v>-9.2509658675573352</v>
      </c>
    </row>
    <row r="524" spans="1:34" x14ac:dyDescent="0.2">
      <c r="A524" s="347">
        <f t="shared" ca="1" si="238"/>
        <v>1E-4</v>
      </c>
      <c r="B524" s="304">
        <f t="shared" ca="1" si="239"/>
        <v>37.101500000000271</v>
      </c>
      <c r="D524" s="306">
        <f t="shared" ca="1" si="240"/>
        <v>-0.64296177707115809</v>
      </c>
      <c r="E524" s="307">
        <f t="shared" ca="1" si="241"/>
        <v>-0.58138561770341468</v>
      </c>
      <c r="F524" s="304">
        <f t="shared" ca="1" si="242"/>
        <v>0.86683855662221365</v>
      </c>
      <c r="G524" s="306">
        <f t="shared" ca="1" si="243"/>
        <v>7.2413632710208491</v>
      </c>
      <c r="H524" s="307">
        <f t="shared" ca="1" si="244"/>
        <v>-103.93834028563799</v>
      </c>
      <c r="I524" s="304">
        <f t="shared" ca="1" si="245"/>
        <v>104.19028708740545</v>
      </c>
      <c r="J524" s="306">
        <f t="shared" ca="1" si="246"/>
        <v>837.4075040097224</v>
      </c>
      <c r="K524" s="307">
        <f t="shared" ca="1" si="247"/>
        <v>-10.490107139945582</v>
      </c>
      <c r="L524" s="304">
        <f t="shared" ca="1" si="232"/>
        <v>837.47320561293236</v>
      </c>
      <c r="M524" s="306">
        <f t="shared" ca="1" si="248"/>
        <v>-1.5012389236597807</v>
      </c>
      <c r="N524" s="304">
        <f t="shared" ca="1" si="249"/>
        <v>-86.014654366467823</v>
      </c>
      <c r="P524" s="310">
        <f t="shared" ca="1" si="250"/>
        <v>23</v>
      </c>
      <c r="Q524" s="304">
        <f t="shared" ca="1" si="251"/>
        <v>0</v>
      </c>
      <c r="R524" s="306">
        <f t="shared" ca="1" si="252"/>
        <v>0</v>
      </c>
      <c r="S524" s="307">
        <f t="shared" ca="1" si="253"/>
        <v>2.9362999999999984</v>
      </c>
      <c r="T524" s="304">
        <f t="shared" ca="1" si="233"/>
        <v>28.805102999999985</v>
      </c>
      <c r="U524" s="311">
        <f t="shared" ca="1" si="234"/>
        <v>0</v>
      </c>
      <c r="V524" s="306">
        <f t="shared" ca="1" si="235"/>
        <v>1.2262857124877309</v>
      </c>
      <c r="W524" s="304">
        <f t="shared" ca="1" si="236"/>
        <v>27.163723367748606</v>
      </c>
      <c r="Y524" s="314" t="str">
        <f t="shared" ca="1" si="254"/>
        <v/>
      </c>
      <c r="Z524" s="315" t="str">
        <f t="shared" ca="1" si="255"/>
        <v/>
      </c>
      <c r="AA524" s="316" t="str">
        <f t="shared" ca="1" si="256"/>
        <v/>
      </c>
      <c r="AC524" s="310" t="e">
        <f t="shared" ca="1" si="257"/>
        <v>#N/A</v>
      </c>
      <c r="AD524" s="323" t="e">
        <f t="shared" ca="1" si="258"/>
        <v>#N/A</v>
      </c>
      <c r="AE524" s="324" t="e">
        <f t="shared" ca="1" si="237"/>
        <v>#N/A</v>
      </c>
      <c r="AG524" s="306">
        <f t="shared" ca="1" si="259"/>
        <v>0.5352926020734845</v>
      </c>
      <c r="AH524" s="304">
        <f t="shared" ca="1" si="260"/>
        <v>-9.2509849888488027</v>
      </c>
    </row>
    <row r="525" spans="1:34" x14ac:dyDescent="0.2">
      <c r="A525" s="347">
        <f t="shared" ca="1" si="238"/>
        <v>1E-4</v>
      </c>
      <c r="B525" s="304">
        <f t="shared" ca="1" si="239"/>
        <v>37.101600000000275</v>
      </c>
      <c r="D525" s="306">
        <f t="shared" ca="1" si="240"/>
        <v>-0.64295706686097465</v>
      </c>
      <c r="E525" s="307">
        <f t="shared" ca="1" si="241"/>
        <v>-0.58136612219282391</v>
      </c>
      <c r="F525" s="304">
        <f t="shared" ca="1" si="242"/>
        <v>0.86682198741148075</v>
      </c>
      <c r="G525" s="306">
        <f t="shared" ca="1" si="243"/>
        <v>7.2412989753141632</v>
      </c>
      <c r="H525" s="307">
        <f t="shared" ca="1" si="244"/>
        <v>-103.93839842225022</v>
      </c>
      <c r="I525" s="304">
        <f t="shared" ca="1" si="245"/>
        <v>104.1903406148205</v>
      </c>
      <c r="J525" s="306">
        <f t="shared" ca="1" si="246"/>
        <v>837.4075040097224</v>
      </c>
      <c r="K525" s="307">
        <f t="shared" ca="1" si="247"/>
        <v>-10.500500976880977</v>
      </c>
      <c r="L525" s="304">
        <f t="shared" ca="1" si="232"/>
        <v>837.47333586960167</v>
      </c>
      <c r="M525" s="306">
        <f t="shared" ca="1" si="248"/>
        <v>-1.5012395780467607</v>
      </c>
      <c r="N525" s="304">
        <f t="shared" ca="1" si="249"/>
        <v>-86.014691860079935</v>
      </c>
      <c r="P525" s="310">
        <f t="shared" ca="1" si="250"/>
        <v>23</v>
      </c>
      <c r="Q525" s="304">
        <f t="shared" ca="1" si="251"/>
        <v>0</v>
      </c>
      <c r="R525" s="306">
        <f t="shared" ca="1" si="252"/>
        <v>0</v>
      </c>
      <c r="S525" s="307">
        <f t="shared" ca="1" si="253"/>
        <v>2.9362999999999984</v>
      </c>
      <c r="T525" s="304">
        <f t="shared" ca="1" si="233"/>
        <v>28.805102999999985</v>
      </c>
      <c r="U525" s="311">
        <f t="shared" ca="1" si="234"/>
        <v>0</v>
      </c>
      <c r="V525" s="306">
        <f t="shared" ca="1" si="235"/>
        <v>1.2262869870701172</v>
      </c>
      <c r="W525" s="304">
        <f t="shared" ca="1" si="236"/>
        <v>27.163779511884254</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0.53527392724643619</v>
      </c>
      <c r="AH525" s="304">
        <f t="shared" ca="1" si="260"/>
        <v>-9.25100410984866</v>
      </c>
    </row>
    <row r="526" spans="1:34" x14ac:dyDescent="0.2">
      <c r="A526" s="347">
        <f t="shared" ca="1" si="238"/>
        <v>1E-4</v>
      </c>
      <c r="B526" s="304">
        <f t="shared" ca="1" si="239"/>
        <v>37.101700000000278</v>
      </c>
      <c r="D526" s="306">
        <f t="shared" ca="1" si="240"/>
        <v>-0.64295235666511041</v>
      </c>
      <c r="E526" s="307">
        <f t="shared" ca="1" si="241"/>
        <v>-0.58134662697950823</v>
      </c>
      <c r="F526" s="304">
        <f t="shared" ca="1" si="242"/>
        <v>0.86680541855809301</v>
      </c>
      <c r="G526" s="306">
        <f t="shared" ca="1" si="243"/>
        <v>7.241234680078497</v>
      </c>
      <c r="H526" s="307">
        <f t="shared" ca="1" si="244"/>
        <v>-103.93845655691291</v>
      </c>
      <c r="I526" s="304">
        <f t="shared" ca="1" si="245"/>
        <v>104.19039414036807</v>
      </c>
      <c r="J526" s="306">
        <f t="shared" ca="1" si="246"/>
        <v>837.4075040097224</v>
      </c>
      <c r="K526" s="307">
        <f t="shared" ca="1" si="247"/>
        <v>-10.510894819629934</v>
      </c>
      <c r="L526" s="304">
        <f t="shared" ca="1" si="232"/>
        <v>837.47346625532123</v>
      </c>
      <c r="M526" s="306">
        <f t="shared" ca="1" si="248"/>
        <v>-1.501240232427258</v>
      </c>
      <c r="N526" s="304">
        <f t="shared" ca="1" si="249"/>
        <v>-86.014729353320632</v>
      </c>
      <c r="P526" s="310">
        <f t="shared" ca="1" si="250"/>
        <v>23</v>
      </c>
      <c r="Q526" s="304">
        <f t="shared" ca="1" si="251"/>
        <v>0</v>
      </c>
      <c r="R526" s="306">
        <f t="shared" ca="1" si="252"/>
        <v>0</v>
      </c>
      <c r="S526" s="307">
        <f t="shared" ca="1" si="253"/>
        <v>2.9362999999999984</v>
      </c>
      <c r="T526" s="304">
        <f t="shared" ca="1" si="233"/>
        <v>28.805102999999985</v>
      </c>
      <c r="U526" s="311">
        <f t="shared" ca="1" si="234"/>
        <v>0</v>
      </c>
      <c r="V526" s="306">
        <f t="shared" ca="1" si="235"/>
        <v>1.2262882616545421</v>
      </c>
      <c r="W526" s="304">
        <f t="shared" ca="1" si="236"/>
        <v>27.163835655163663</v>
      </c>
      <c r="Y526" s="314" t="str">
        <f t="shared" ca="1" si="254"/>
        <v/>
      </c>
      <c r="Z526" s="315" t="str">
        <f t="shared" ca="1" si="255"/>
        <v/>
      </c>
      <c r="AA526" s="316" t="str">
        <f t="shared" ca="1" si="256"/>
        <v/>
      </c>
      <c r="AC526" s="310" t="e">
        <f t="shared" ca="1" si="257"/>
        <v>#N/A</v>
      </c>
      <c r="AD526" s="323" t="e">
        <f t="shared" ca="1" si="258"/>
        <v>#N/A</v>
      </c>
      <c r="AE526" s="324" t="e">
        <f t="shared" ca="1" si="237"/>
        <v>#N/A</v>
      </c>
      <c r="AG526" s="306">
        <f t="shared" ca="1" si="259"/>
        <v>0.53525525270237928</v>
      </c>
      <c r="AH526" s="304">
        <f t="shared" ca="1" si="260"/>
        <v>-9.2510232305569158</v>
      </c>
    </row>
    <row r="527" spans="1:34" x14ac:dyDescent="0.2">
      <c r="A527" s="347">
        <f t="shared" ca="1" si="238"/>
        <v>1E-4</v>
      </c>
      <c r="B527" s="304">
        <f t="shared" ca="1" si="239"/>
        <v>37.101800000000281</v>
      </c>
      <c r="D527" s="306">
        <f t="shared" ca="1" si="240"/>
        <v>-0.64294764648356539</v>
      </c>
      <c r="E527" s="307">
        <f t="shared" ca="1" si="241"/>
        <v>-0.58132713206347653</v>
      </c>
      <c r="F527" s="304">
        <f t="shared" ca="1" si="242"/>
        <v>0.86678885006205653</v>
      </c>
      <c r="G527" s="306">
        <f t="shared" ca="1" si="243"/>
        <v>7.2411703853138487</v>
      </c>
      <c r="H527" s="307">
        <f t="shared" ca="1" si="244"/>
        <v>-103.93851468962612</v>
      </c>
      <c r="I527" s="304">
        <f t="shared" ca="1" si="245"/>
        <v>104.19044766404822</v>
      </c>
      <c r="J527" s="306">
        <f t="shared" ca="1" si="246"/>
        <v>837.4075040097224</v>
      </c>
      <c r="K527" s="307">
        <f t="shared" ca="1" si="247"/>
        <v>-10.521288668192261</v>
      </c>
      <c r="L527" s="304">
        <f t="shared" ca="1" si="232"/>
        <v>837.47359677009081</v>
      </c>
      <c r="M527" s="306">
        <f t="shared" ca="1" si="248"/>
        <v>-1.5012408868012728</v>
      </c>
      <c r="N527" s="304">
        <f t="shared" ca="1" si="249"/>
        <v>-86.0147668461899</v>
      </c>
      <c r="P527" s="310">
        <f t="shared" ca="1" si="250"/>
        <v>23</v>
      </c>
      <c r="Q527" s="304">
        <f t="shared" ca="1" si="251"/>
        <v>0</v>
      </c>
      <c r="R527" s="306">
        <f t="shared" ca="1" si="252"/>
        <v>0</v>
      </c>
      <c r="S527" s="307">
        <f t="shared" ca="1" si="253"/>
        <v>2.9362999999999984</v>
      </c>
      <c r="T527" s="304">
        <f t="shared" ca="1" si="233"/>
        <v>28.805102999999985</v>
      </c>
      <c r="U527" s="311">
        <f t="shared" ca="1" si="234"/>
        <v>0</v>
      </c>
      <c r="V527" s="306">
        <f t="shared" ca="1" si="235"/>
        <v>1.2262895362410053</v>
      </c>
      <c r="W527" s="304">
        <f t="shared" ca="1" si="236"/>
        <v>27.163891797586849</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0.53523657844131556</v>
      </c>
      <c r="AH527" s="304">
        <f t="shared" ca="1" si="260"/>
        <v>-9.2510423509735649</v>
      </c>
    </row>
    <row r="528" spans="1:34" x14ac:dyDescent="0.2">
      <c r="A528" s="347">
        <f t="shared" ca="1" si="238"/>
        <v>1E-4</v>
      </c>
      <c r="B528" s="304">
        <f t="shared" ca="1" si="239"/>
        <v>37.101900000000285</v>
      </c>
      <c r="D528" s="306">
        <f t="shared" ca="1" si="240"/>
        <v>-0.6429429363163417</v>
      </c>
      <c r="E528" s="307">
        <f t="shared" ca="1" si="241"/>
        <v>-0.58130763744471636</v>
      </c>
      <c r="F528" s="304">
        <f t="shared" ca="1" si="242"/>
        <v>0.86677228192336497</v>
      </c>
      <c r="G528" s="306">
        <f t="shared" ca="1" si="243"/>
        <v>7.2411060910202174</v>
      </c>
      <c r="H528" s="307">
        <f t="shared" ca="1" si="244"/>
        <v>-103.93857282038987</v>
      </c>
      <c r="I528" s="304">
        <f t="shared" ca="1" si="245"/>
        <v>104.19050118586097</v>
      </c>
      <c r="J528" s="306">
        <f t="shared" ca="1" si="246"/>
        <v>837.4075040097224</v>
      </c>
      <c r="K528" s="307">
        <f t="shared" ca="1" si="247"/>
        <v>-10.531682522567761</v>
      </c>
      <c r="L528" s="304">
        <f t="shared" ca="1" si="232"/>
        <v>837.47372741391086</v>
      </c>
      <c r="M528" s="306">
        <f t="shared" ca="1" si="248"/>
        <v>-1.5012415411688051</v>
      </c>
      <c r="N528" s="304">
        <f t="shared" ca="1" si="249"/>
        <v>-86.014804338687753</v>
      </c>
      <c r="P528" s="310">
        <f t="shared" ca="1" si="250"/>
        <v>23</v>
      </c>
      <c r="Q528" s="304">
        <f t="shared" ca="1" si="251"/>
        <v>0</v>
      </c>
      <c r="R528" s="306">
        <f t="shared" ca="1" si="252"/>
        <v>0</v>
      </c>
      <c r="S528" s="307">
        <f t="shared" ca="1" si="253"/>
        <v>2.9362999999999984</v>
      </c>
      <c r="T528" s="304">
        <f t="shared" ca="1" si="233"/>
        <v>28.805102999999985</v>
      </c>
      <c r="U528" s="311">
        <f t="shared" ca="1" si="234"/>
        <v>0</v>
      </c>
      <c r="V528" s="306">
        <f t="shared" ca="1" si="235"/>
        <v>1.2262908108295072</v>
      </c>
      <c r="W528" s="304">
        <f t="shared" ca="1" si="236"/>
        <v>27.163947939153832</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0.53521790446324147</v>
      </c>
      <c r="AH528" s="304">
        <f t="shared" ca="1" si="260"/>
        <v>-9.2510614710986161</v>
      </c>
    </row>
    <row r="529" spans="1:34" x14ac:dyDescent="0.2">
      <c r="A529" s="347">
        <f t="shared" ca="1" si="238"/>
        <v>1E-4</v>
      </c>
      <c r="B529" s="304">
        <f t="shared" ca="1" si="239"/>
        <v>37.102000000000288</v>
      </c>
      <c r="D529" s="306">
        <f t="shared" ca="1" si="240"/>
        <v>-0.64293822616343832</v>
      </c>
      <c r="E529" s="307">
        <f t="shared" ca="1" si="241"/>
        <v>-0.58128814312322774</v>
      </c>
      <c r="F529" s="304">
        <f t="shared" ca="1" si="242"/>
        <v>0.86675571414201746</v>
      </c>
      <c r="G529" s="306">
        <f t="shared" ca="1" si="243"/>
        <v>7.2410417971976013</v>
      </c>
      <c r="H529" s="307">
        <f t="shared" ca="1" si="244"/>
        <v>-103.93863094920418</v>
      </c>
      <c r="I529" s="304">
        <f t="shared" ca="1" si="245"/>
        <v>104.19055470580636</v>
      </c>
      <c r="J529" s="306">
        <f t="shared" ca="1" si="246"/>
        <v>837.4075040097224</v>
      </c>
      <c r="K529" s="307">
        <f t="shared" ca="1" si="247"/>
        <v>-10.542076382756241</v>
      </c>
      <c r="L529" s="304">
        <f t="shared" ca="1" si="232"/>
        <v>837.47385818678129</v>
      </c>
      <c r="M529" s="306">
        <f t="shared" ca="1" si="248"/>
        <v>-1.5012421955298549</v>
      </c>
      <c r="N529" s="304">
        <f t="shared" ca="1" si="249"/>
        <v>-86.014841830814191</v>
      </c>
      <c r="P529" s="310">
        <f t="shared" ca="1" si="250"/>
        <v>23</v>
      </c>
      <c r="Q529" s="304">
        <f t="shared" ca="1" si="251"/>
        <v>0</v>
      </c>
      <c r="R529" s="306">
        <f t="shared" ca="1" si="252"/>
        <v>0</v>
      </c>
      <c r="S529" s="307">
        <f t="shared" ca="1" si="253"/>
        <v>2.9362999999999984</v>
      </c>
      <c r="T529" s="304">
        <f t="shared" ca="1" si="233"/>
        <v>28.805102999999985</v>
      </c>
      <c r="U529" s="311">
        <f t="shared" ca="1" si="234"/>
        <v>0</v>
      </c>
      <c r="V529" s="306">
        <f t="shared" ca="1" si="235"/>
        <v>1.2262920854200474</v>
      </c>
      <c r="W529" s="304">
        <f t="shared" ca="1" si="236"/>
        <v>27.164004079864625</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0.53519923076815168</v>
      </c>
      <c r="AH529" s="304">
        <f t="shared" ca="1" si="260"/>
        <v>-9.251080590932073</v>
      </c>
    </row>
    <row r="530" spans="1:34" x14ac:dyDescent="0.2">
      <c r="A530" s="347">
        <f t="shared" ca="1" si="238"/>
        <v>1E-4</v>
      </c>
      <c r="B530" s="304">
        <f t="shared" ca="1" si="239"/>
        <v>37.102100000000291</v>
      </c>
      <c r="D530" s="306">
        <f t="shared" ca="1" si="240"/>
        <v>-0.6429335160248586</v>
      </c>
      <c r="E530" s="307">
        <f t="shared" ca="1" si="241"/>
        <v>-0.58126864909900178</v>
      </c>
      <c r="F530" s="304">
        <f t="shared" ca="1" si="242"/>
        <v>0.86673914671801089</v>
      </c>
      <c r="G530" s="306">
        <f t="shared" ca="1" si="243"/>
        <v>7.2409775038459987</v>
      </c>
      <c r="H530" s="307">
        <f t="shared" ca="1" si="244"/>
        <v>-103.9386890760691</v>
      </c>
      <c r="I530" s="304">
        <f t="shared" ca="1" si="245"/>
        <v>104.19060822388441</v>
      </c>
      <c r="J530" s="306">
        <f t="shared" ca="1" si="246"/>
        <v>837.4075040097224</v>
      </c>
      <c r="K530" s="307">
        <f t="shared" ca="1" si="247"/>
        <v>-10.552470248757505</v>
      </c>
      <c r="L530" s="304">
        <f t="shared" ca="1" si="232"/>
        <v>837.47398908870252</v>
      </c>
      <c r="M530" s="306">
        <f t="shared" ca="1" si="248"/>
        <v>-1.5012428498844226</v>
      </c>
      <c r="N530" s="304">
        <f t="shared" ca="1" si="249"/>
        <v>-86.014879322569215</v>
      </c>
      <c r="P530" s="310">
        <f t="shared" ca="1" si="250"/>
        <v>23</v>
      </c>
      <c r="Q530" s="304">
        <f t="shared" ca="1" si="251"/>
        <v>0</v>
      </c>
      <c r="R530" s="306">
        <f t="shared" ca="1" si="252"/>
        <v>0</v>
      </c>
      <c r="S530" s="307">
        <f t="shared" ca="1" si="253"/>
        <v>2.9362999999999984</v>
      </c>
      <c r="T530" s="304">
        <f t="shared" ca="1" si="233"/>
        <v>28.805102999999985</v>
      </c>
      <c r="U530" s="311">
        <f t="shared" ca="1" si="234"/>
        <v>0</v>
      </c>
      <c r="V530" s="306">
        <f t="shared" ca="1" si="235"/>
        <v>1.2262933600126256</v>
      </c>
      <c r="W530" s="304">
        <f t="shared" ca="1" si="236"/>
        <v>27.164060219719218</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0.53518055735603909</v>
      </c>
      <c r="AH530" s="304">
        <f t="shared" ca="1" si="260"/>
        <v>-9.2510997104739427</v>
      </c>
    </row>
    <row r="531" spans="1:34" x14ac:dyDescent="0.2">
      <c r="A531" s="347">
        <f t="shared" ca="1" si="238"/>
        <v>1E-4</v>
      </c>
      <c r="B531" s="304">
        <f t="shared" ca="1" si="239"/>
        <v>37.102200000000295</v>
      </c>
      <c r="D531" s="306">
        <f t="shared" ca="1" si="240"/>
        <v>-0.6429288059005992</v>
      </c>
      <c r="E531" s="307">
        <f t="shared" ca="1" si="241"/>
        <v>-0.58124915537204025</v>
      </c>
      <c r="F531" s="304">
        <f t="shared" ca="1" si="242"/>
        <v>0.86672257965134414</v>
      </c>
      <c r="G531" s="306">
        <f t="shared" ca="1" si="243"/>
        <v>7.2409132109654086</v>
      </c>
      <c r="H531" s="307">
        <f t="shared" ca="1" si="244"/>
        <v>-103.93874720098464</v>
      </c>
      <c r="I531" s="304">
        <f t="shared" ca="1" si="245"/>
        <v>104.19066174009514</v>
      </c>
      <c r="J531" s="306">
        <f t="shared" ca="1" si="246"/>
        <v>837.4075040097224</v>
      </c>
      <c r="K531" s="307">
        <f t="shared" ca="1" si="247"/>
        <v>-10.562864120571357</v>
      </c>
      <c r="L531" s="304">
        <f t="shared" ca="1" si="232"/>
        <v>837.47412011967447</v>
      </c>
      <c r="M531" s="306">
        <f t="shared" ca="1" si="248"/>
        <v>-1.5012435042325079</v>
      </c>
      <c r="N531" s="304">
        <f t="shared" ca="1" si="249"/>
        <v>-86.014916813952837</v>
      </c>
      <c r="P531" s="310">
        <f t="shared" ca="1" si="250"/>
        <v>23</v>
      </c>
      <c r="Q531" s="304">
        <f t="shared" ca="1" si="251"/>
        <v>0</v>
      </c>
      <c r="R531" s="306">
        <f t="shared" ca="1" si="252"/>
        <v>0</v>
      </c>
      <c r="S531" s="307">
        <f t="shared" ca="1" si="253"/>
        <v>2.9362999999999984</v>
      </c>
      <c r="T531" s="304">
        <f t="shared" ca="1" si="233"/>
        <v>28.805102999999985</v>
      </c>
      <c r="U531" s="311">
        <f t="shared" ca="1" si="234"/>
        <v>0</v>
      </c>
      <c r="V531" s="306">
        <f t="shared" ca="1" si="235"/>
        <v>1.2262946346072425</v>
      </c>
      <c r="W531" s="304">
        <f t="shared" ca="1" si="236"/>
        <v>27.164116358717639</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0.53516188422690725</v>
      </c>
      <c r="AH531" s="304">
        <f t="shared" ca="1" si="260"/>
        <v>-9.2511188297242217</v>
      </c>
    </row>
    <row r="532" spans="1:34" x14ac:dyDescent="0.2">
      <c r="A532" s="347">
        <f t="shared" ca="1" si="238"/>
        <v>1E-4</v>
      </c>
      <c r="B532" s="304">
        <f t="shared" ca="1" si="239"/>
        <v>37.102300000000298</v>
      </c>
      <c r="D532" s="306">
        <f t="shared" ca="1" si="240"/>
        <v>-0.64292409579066379</v>
      </c>
      <c r="E532" s="307">
        <f t="shared" ca="1" si="241"/>
        <v>-0.58122966194233783</v>
      </c>
      <c r="F532" s="304">
        <f t="shared" ca="1" si="242"/>
        <v>0.86670601294201655</v>
      </c>
      <c r="G532" s="306">
        <f t="shared" ca="1" si="243"/>
        <v>7.2408489185558293</v>
      </c>
      <c r="H532" s="307">
        <f t="shared" ca="1" si="244"/>
        <v>-103.93880532395083</v>
      </c>
      <c r="I532" s="304">
        <f t="shared" ca="1" si="245"/>
        <v>104.19071525443859</v>
      </c>
      <c r="J532" s="306">
        <f t="shared" ca="1" si="246"/>
        <v>837.4075040097224</v>
      </c>
      <c r="K532" s="307">
        <f t="shared" ca="1" si="247"/>
        <v>-10.573257998197603</v>
      </c>
      <c r="L532" s="304">
        <f t="shared" ca="1" si="232"/>
        <v>837.47425127969734</v>
      </c>
      <c r="M532" s="306">
        <f t="shared" ca="1" si="248"/>
        <v>-1.501244158574111</v>
      </c>
      <c r="N532" s="304">
        <f t="shared" ca="1" si="249"/>
        <v>-86.014954304965059</v>
      </c>
      <c r="P532" s="310">
        <f t="shared" ca="1" si="250"/>
        <v>23</v>
      </c>
      <c r="Q532" s="304">
        <f t="shared" ca="1" si="251"/>
        <v>0</v>
      </c>
      <c r="R532" s="306">
        <f t="shared" ca="1" si="252"/>
        <v>0</v>
      </c>
      <c r="S532" s="307">
        <f t="shared" ca="1" si="253"/>
        <v>2.9362999999999984</v>
      </c>
      <c r="T532" s="304">
        <f t="shared" ca="1" si="233"/>
        <v>28.805102999999985</v>
      </c>
      <c r="U532" s="311">
        <f t="shared" ca="1" si="234"/>
        <v>0</v>
      </c>
      <c r="V532" s="306">
        <f t="shared" ca="1" si="235"/>
        <v>1.2262959092038968</v>
      </c>
      <c r="W532" s="304">
        <f t="shared" ca="1" si="236"/>
        <v>27.164172496859866</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0.53514321138074727</v>
      </c>
      <c r="AH532" s="304">
        <f t="shared" ca="1" si="260"/>
        <v>-9.2511379486829188</v>
      </c>
    </row>
    <row r="533" spans="1:34" x14ac:dyDescent="0.2">
      <c r="A533" s="347">
        <f t="shared" ca="1" si="238"/>
        <v>1E-4</v>
      </c>
      <c r="B533" s="304">
        <f t="shared" ca="1" si="239"/>
        <v>37.102400000000301</v>
      </c>
      <c r="D533" s="306">
        <f t="shared" ca="1" si="240"/>
        <v>-0.6429193856950508</v>
      </c>
      <c r="E533" s="307">
        <f t="shared" ca="1" si="241"/>
        <v>-0.58121016880989984</v>
      </c>
      <c r="F533" s="304">
        <f t="shared" ca="1" si="242"/>
        <v>0.86668944659003078</v>
      </c>
      <c r="G533" s="306">
        <f t="shared" ca="1" si="243"/>
        <v>7.24078462661726</v>
      </c>
      <c r="H533" s="307">
        <f t="shared" ca="1" si="244"/>
        <v>-103.93886344496771</v>
      </c>
      <c r="I533" s="304">
        <f t="shared" ca="1" si="245"/>
        <v>104.19076876691477</v>
      </c>
      <c r="J533" s="306">
        <f t="shared" ca="1" si="246"/>
        <v>837.4075040097224</v>
      </c>
      <c r="K533" s="307">
        <f t="shared" ca="1" si="247"/>
        <v>-10.583651881636049</v>
      </c>
      <c r="L533" s="304">
        <f t="shared" ca="1" si="232"/>
        <v>837.47438256877138</v>
      </c>
      <c r="M533" s="306">
        <f t="shared" ca="1" si="248"/>
        <v>-1.5012448129092322</v>
      </c>
      <c r="N533" s="304">
        <f t="shared" ca="1" si="249"/>
        <v>-86.014991795605894</v>
      </c>
      <c r="P533" s="310">
        <f t="shared" ca="1" si="250"/>
        <v>23</v>
      </c>
      <c r="Q533" s="304">
        <f t="shared" ca="1" si="251"/>
        <v>0</v>
      </c>
      <c r="R533" s="306">
        <f t="shared" ca="1" si="252"/>
        <v>0</v>
      </c>
      <c r="S533" s="307">
        <f t="shared" ca="1" si="253"/>
        <v>2.9362999999999984</v>
      </c>
      <c r="T533" s="304">
        <f t="shared" ca="1" si="233"/>
        <v>28.805102999999985</v>
      </c>
      <c r="U533" s="311">
        <f t="shared" ca="1" si="234"/>
        <v>0</v>
      </c>
      <c r="V533" s="306">
        <f t="shared" ca="1" si="235"/>
        <v>1.22629718380259</v>
      </c>
      <c r="W533" s="304">
        <f t="shared" ca="1" si="236"/>
        <v>27.164228634145957</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0.53512453881756805</v>
      </c>
      <c r="AH533" s="304">
        <f t="shared" ca="1" si="260"/>
        <v>-9.2511570673500252</v>
      </c>
    </row>
    <row r="534" spans="1:34" x14ac:dyDescent="0.2">
      <c r="A534" s="347">
        <f t="shared" ca="1" si="238"/>
        <v>1E-4</v>
      </c>
      <c r="B534" s="304">
        <f t="shared" ca="1" si="239"/>
        <v>37.102500000000305</v>
      </c>
      <c r="D534" s="306">
        <f t="shared" ca="1" si="240"/>
        <v>-0.64291467561376048</v>
      </c>
      <c r="E534" s="307">
        <f t="shared" ca="1" si="241"/>
        <v>-0.5811906759747032</v>
      </c>
      <c r="F534" s="304">
        <f t="shared" ca="1" si="242"/>
        <v>0.86667288059537162</v>
      </c>
      <c r="G534" s="306">
        <f t="shared" ca="1" si="243"/>
        <v>7.2407203351496987</v>
      </c>
      <c r="H534" s="307">
        <f t="shared" ca="1" si="244"/>
        <v>-103.93892156403531</v>
      </c>
      <c r="I534" s="304">
        <f t="shared" ca="1" si="245"/>
        <v>104.19082227752372</v>
      </c>
      <c r="J534" s="306">
        <f t="shared" ca="1" si="246"/>
        <v>837.4075040097224</v>
      </c>
      <c r="K534" s="307">
        <f t="shared" ca="1" si="247"/>
        <v>-10.594045770886499</v>
      </c>
      <c r="L534" s="304">
        <f t="shared" ca="1" si="232"/>
        <v>837.4745139868968</v>
      </c>
      <c r="M534" s="306">
        <f t="shared" ca="1" si="248"/>
        <v>-1.5012454672378712</v>
      </c>
      <c r="N534" s="304">
        <f t="shared" ca="1" si="249"/>
        <v>-86.015029285875315</v>
      </c>
      <c r="P534" s="310">
        <f t="shared" ca="1" si="250"/>
        <v>23</v>
      </c>
      <c r="Q534" s="304">
        <f t="shared" ca="1" si="251"/>
        <v>0</v>
      </c>
      <c r="R534" s="306">
        <f t="shared" ca="1" si="252"/>
        <v>0</v>
      </c>
      <c r="S534" s="307">
        <f t="shared" ca="1" si="253"/>
        <v>2.9362999999999984</v>
      </c>
      <c r="T534" s="304">
        <f t="shared" ca="1" si="233"/>
        <v>28.805102999999985</v>
      </c>
      <c r="U534" s="311">
        <f t="shared" ca="1" si="234"/>
        <v>0</v>
      </c>
      <c r="V534" s="306">
        <f t="shared" ca="1" si="235"/>
        <v>1.2262984584033214</v>
      </c>
      <c r="W534" s="304">
        <f t="shared" ca="1" si="236"/>
        <v>27.164284770575886</v>
      </c>
      <c r="Y534" s="314" t="str">
        <f t="shared" ca="1" si="254"/>
        <v/>
      </c>
      <c r="Z534" s="315" t="str">
        <f t="shared" ca="1" si="255"/>
        <v/>
      </c>
      <c r="AA534" s="316" t="str">
        <f t="shared" ca="1" si="256"/>
        <v/>
      </c>
      <c r="AC534" s="310" t="e">
        <f t="shared" ca="1" si="257"/>
        <v>#N/A</v>
      </c>
      <c r="AD534" s="323" t="e">
        <f t="shared" ca="1" si="258"/>
        <v>#N/A</v>
      </c>
      <c r="AE534" s="324" t="e">
        <f t="shared" ca="1" si="237"/>
        <v>#N/A</v>
      </c>
      <c r="AG534" s="306">
        <f t="shared" ca="1" si="259"/>
        <v>0.53510586653734826</v>
      </c>
      <c r="AH534" s="304">
        <f t="shared" ca="1" si="260"/>
        <v>-9.2511761857255639</v>
      </c>
    </row>
    <row r="535" spans="1:34" x14ac:dyDescent="0.2">
      <c r="A535" s="347">
        <f t="shared" ca="1" si="238"/>
        <v>1E-4</v>
      </c>
      <c r="B535" s="304">
        <f t="shared" ca="1" si="239"/>
        <v>37.102600000000308</v>
      </c>
      <c r="D535" s="306">
        <f t="shared" ca="1" si="240"/>
        <v>-0.64290996554679514</v>
      </c>
      <c r="E535" s="307">
        <f t="shared" ca="1" si="241"/>
        <v>-0.58117118343676388</v>
      </c>
      <c r="F535" s="304">
        <f t="shared" ca="1" si="242"/>
        <v>0.86665631495805184</v>
      </c>
      <c r="G535" s="306">
        <f t="shared" ca="1" si="243"/>
        <v>7.2406560441531438</v>
      </c>
      <c r="H535" s="307">
        <f t="shared" ca="1" si="244"/>
        <v>-103.93897968115365</v>
      </c>
      <c r="I535" s="304">
        <f t="shared" ca="1" si="245"/>
        <v>104.19087578626548</v>
      </c>
      <c r="J535" s="306">
        <f t="shared" ca="1" si="246"/>
        <v>837.4075040097224</v>
      </c>
      <c r="K535" s="307">
        <f t="shared" ca="1" si="247"/>
        <v>-10.604439665948759</v>
      </c>
      <c r="L535" s="304">
        <f t="shared" ca="1" si="232"/>
        <v>837.47464553407349</v>
      </c>
      <c r="M535" s="306">
        <f t="shared" ca="1" si="248"/>
        <v>-1.5012461215600283</v>
      </c>
      <c r="N535" s="304">
        <f t="shared" ca="1" si="249"/>
        <v>-86.015066775773363</v>
      </c>
      <c r="P535" s="310">
        <f t="shared" ca="1" si="250"/>
        <v>23</v>
      </c>
      <c r="Q535" s="304">
        <f t="shared" ca="1" si="251"/>
        <v>0</v>
      </c>
      <c r="R535" s="306">
        <f t="shared" ca="1" si="252"/>
        <v>0</v>
      </c>
      <c r="S535" s="307">
        <f t="shared" ca="1" si="253"/>
        <v>2.9362999999999984</v>
      </c>
      <c r="T535" s="304">
        <f t="shared" ca="1" si="233"/>
        <v>28.805102999999985</v>
      </c>
      <c r="U535" s="311">
        <f t="shared" ca="1" si="234"/>
        <v>0</v>
      </c>
      <c r="V535" s="306">
        <f t="shared" ca="1" si="235"/>
        <v>1.2262997330060912</v>
      </c>
      <c r="W535" s="304">
        <f t="shared" ca="1" si="236"/>
        <v>27.164340906149686</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0.53508719454010034</v>
      </c>
      <c r="AH535" s="304">
        <f t="shared" ca="1" si="260"/>
        <v>-9.2511953038095225</v>
      </c>
    </row>
    <row r="536" spans="1:34" x14ac:dyDescent="0.2">
      <c r="A536" s="347">
        <f t="shared" ca="1" si="238"/>
        <v>1E-4</v>
      </c>
      <c r="B536" s="304">
        <f t="shared" ca="1" si="239"/>
        <v>37.102700000000311</v>
      </c>
      <c r="D536" s="306">
        <f t="shared" ca="1" si="240"/>
        <v>-0.64290525549415445</v>
      </c>
      <c r="E536" s="307">
        <f t="shared" ca="1" si="241"/>
        <v>-0.58115169119606591</v>
      </c>
      <c r="F536" s="304">
        <f t="shared" ca="1" si="242"/>
        <v>0.86663974967806068</v>
      </c>
      <c r="G536" s="306">
        <f t="shared" ca="1" si="243"/>
        <v>7.2405917536275943</v>
      </c>
      <c r="H536" s="307">
        <f t="shared" ca="1" si="244"/>
        <v>-103.93903779632278</v>
      </c>
      <c r="I536" s="304">
        <f t="shared" ca="1" si="245"/>
        <v>104.19092929314007</v>
      </c>
      <c r="J536" s="306">
        <f t="shared" ca="1" si="246"/>
        <v>837.4075040097224</v>
      </c>
      <c r="K536" s="307">
        <f t="shared" ca="1" si="247"/>
        <v>-10.614833566822632</v>
      </c>
      <c r="L536" s="304">
        <f t="shared" ca="1" si="232"/>
        <v>837.4747772103018</v>
      </c>
      <c r="M536" s="306">
        <f t="shared" ca="1" si="248"/>
        <v>-1.5012467758757038</v>
      </c>
      <c r="N536" s="304">
        <f t="shared" ca="1" si="249"/>
        <v>-86.015104265300039</v>
      </c>
      <c r="P536" s="310">
        <f t="shared" ca="1" si="250"/>
        <v>23</v>
      </c>
      <c r="Q536" s="304">
        <f t="shared" ca="1" si="251"/>
        <v>0</v>
      </c>
      <c r="R536" s="306">
        <f t="shared" ca="1" si="252"/>
        <v>0</v>
      </c>
      <c r="S536" s="307">
        <f t="shared" ca="1" si="253"/>
        <v>2.9362999999999984</v>
      </c>
      <c r="T536" s="304">
        <f t="shared" ca="1" si="233"/>
        <v>28.805102999999985</v>
      </c>
      <c r="U536" s="311">
        <f t="shared" ca="1" si="234"/>
        <v>0</v>
      </c>
      <c r="V536" s="306">
        <f t="shared" ca="1" si="235"/>
        <v>1.2263010076108987</v>
      </c>
      <c r="W536" s="304">
        <f t="shared" ca="1" si="236"/>
        <v>27.164397040867346</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0.5350685228258083</v>
      </c>
      <c r="AH536" s="304">
        <f t="shared" ca="1" si="260"/>
        <v>-9.2512144216019152</v>
      </c>
    </row>
    <row r="537" spans="1:34" x14ac:dyDescent="0.2">
      <c r="A537" s="347">
        <f t="shared" ca="1" si="238"/>
        <v>1E-4</v>
      </c>
      <c r="B537" s="304">
        <f t="shared" ca="1" si="239"/>
        <v>37.102800000000315</v>
      </c>
      <c r="D537" s="306">
        <f t="shared" ca="1" si="240"/>
        <v>-0.64290054545583708</v>
      </c>
      <c r="E537" s="307">
        <f t="shared" ca="1" si="241"/>
        <v>-0.58113219925261461</v>
      </c>
      <c r="F537" s="304">
        <f t="shared" ca="1" si="242"/>
        <v>0.86662318475540068</v>
      </c>
      <c r="G537" s="306">
        <f t="shared" ca="1" si="243"/>
        <v>7.2405274635730485</v>
      </c>
      <c r="H537" s="307">
        <f t="shared" ca="1" si="244"/>
        <v>-103.9390959095427</v>
      </c>
      <c r="I537" s="304">
        <f t="shared" ca="1" si="245"/>
        <v>104.19098279814753</v>
      </c>
      <c r="J537" s="306">
        <f t="shared" ca="1" si="246"/>
        <v>837.4075040097224</v>
      </c>
      <c r="K537" s="307">
        <f t="shared" ca="1" si="247"/>
        <v>-10.625227473507925</v>
      </c>
      <c r="L537" s="304">
        <f t="shared" ca="1" si="232"/>
        <v>837.47490901558183</v>
      </c>
      <c r="M537" s="306">
        <f t="shared" ca="1" si="248"/>
        <v>-1.5012474301848975</v>
      </c>
      <c r="N537" s="304">
        <f t="shared" ca="1" si="249"/>
        <v>-86.015141754455328</v>
      </c>
      <c r="P537" s="310">
        <f t="shared" ca="1" si="250"/>
        <v>23</v>
      </c>
      <c r="Q537" s="304">
        <f t="shared" ca="1" si="251"/>
        <v>0</v>
      </c>
      <c r="R537" s="306">
        <f t="shared" ca="1" si="252"/>
        <v>0</v>
      </c>
      <c r="S537" s="307">
        <f t="shared" ca="1" si="253"/>
        <v>2.9362999999999984</v>
      </c>
      <c r="T537" s="304">
        <f t="shared" ca="1" si="233"/>
        <v>28.805102999999985</v>
      </c>
      <c r="U537" s="311">
        <f t="shared" ca="1" si="234"/>
        <v>0</v>
      </c>
      <c r="V537" s="306">
        <f t="shared" ca="1" si="235"/>
        <v>1.226302282217745</v>
      </c>
      <c r="W537" s="304">
        <f t="shared" ca="1" si="236"/>
        <v>27.164453174728905</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0.53504985139447925</v>
      </c>
      <c r="AH537" s="304">
        <f t="shared" ca="1" si="260"/>
        <v>-9.2512335391027349</v>
      </c>
    </row>
    <row r="538" spans="1:34" x14ac:dyDescent="0.2">
      <c r="A538" s="347">
        <f t="shared" ca="1" si="238"/>
        <v>1E-4</v>
      </c>
      <c r="B538" s="304">
        <f t="shared" ca="1" si="239"/>
        <v>37.102900000000318</v>
      </c>
      <c r="D538" s="306">
        <f t="shared" ca="1" si="240"/>
        <v>-0.64289583543184492</v>
      </c>
      <c r="E538" s="307">
        <f t="shared" ca="1" si="241"/>
        <v>-0.581112707606394</v>
      </c>
      <c r="F538" s="304">
        <f t="shared" ca="1" si="242"/>
        <v>0.86660662019006307</v>
      </c>
      <c r="G538" s="306">
        <f t="shared" ca="1" si="243"/>
        <v>7.2404631739895056</v>
      </c>
      <c r="H538" s="307">
        <f t="shared" ca="1" si="244"/>
        <v>-103.93915402081346</v>
      </c>
      <c r="I538" s="304">
        <f t="shared" ca="1" si="245"/>
        <v>104.19103630128784</v>
      </c>
      <c r="J538" s="306">
        <f t="shared" ca="1" si="246"/>
        <v>837.4075040097224</v>
      </c>
      <c r="K538" s="307">
        <f t="shared" ca="1" si="247"/>
        <v>-10.635621386004443</v>
      </c>
      <c r="L538" s="304">
        <f t="shared" ca="1" si="232"/>
        <v>837.4750409499137</v>
      </c>
      <c r="M538" s="306">
        <f t="shared" ca="1" si="248"/>
        <v>-1.5012480844876093</v>
      </c>
      <c r="N538" s="304">
        <f t="shared" ca="1" si="249"/>
        <v>-86.015179243239245</v>
      </c>
      <c r="P538" s="310">
        <f t="shared" ca="1" si="250"/>
        <v>23</v>
      </c>
      <c r="Q538" s="304">
        <f t="shared" ca="1" si="251"/>
        <v>0</v>
      </c>
      <c r="R538" s="306">
        <f t="shared" ca="1" si="252"/>
        <v>0</v>
      </c>
      <c r="S538" s="307">
        <f t="shared" ca="1" si="253"/>
        <v>2.9362999999999984</v>
      </c>
      <c r="T538" s="304">
        <f t="shared" ca="1" si="233"/>
        <v>28.805102999999985</v>
      </c>
      <c r="U538" s="311">
        <f t="shared" ca="1" si="234"/>
        <v>0</v>
      </c>
      <c r="V538" s="306">
        <f t="shared" ca="1" si="235"/>
        <v>1.2263035568266289</v>
      </c>
      <c r="W538" s="304">
        <f t="shared" ca="1" si="236"/>
        <v>27.164509307734324</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0.53503118024610075</v>
      </c>
      <c r="AH538" s="304">
        <f t="shared" ca="1" si="260"/>
        <v>-9.2512526563119977</v>
      </c>
    </row>
    <row r="539" spans="1:34" x14ac:dyDescent="0.2">
      <c r="A539" s="347">
        <f t="shared" ca="1" si="238"/>
        <v>1E-4</v>
      </c>
      <c r="B539" s="304">
        <f t="shared" ca="1" si="239"/>
        <v>37.103000000000321</v>
      </c>
      <c r="D539" s="306">
        <f t="shared" ca="1" si="240"/>
        <v>-0.64289112542218019</v>
      </c>
      <c r="E539" s="307">
        <f t="shared" ca="1" si="241"/>
        <v>-0.58109321625742005</v>
      </c>
      <c r="F539" s="304">
        <f t="shared" ca="1" si="242"/>
        <v>0.86659005598206018</v>
      </c>
      <c r="G539" s="306">
        <f t="shared" ca="1" si="243"/>
        <v>7.2403988848769636</v>
      </c>
      <c r="H539" s="307">
        <f t="shared" ca="1" si="244"/>
        <v>-103.93921213013509</v>
      </c>
      <c r="I539" s="304">
        <f t="shared" ca="1" si="245"/>
        <v>104.19108980256108</v>
      </c>
      <c r="J539" s="306">
        <f t="shared" ca="1" si="246"/>
        <v>837.4075040097224</v>
      </c>
      <c r="K539" s="307">
        <f t="shared" ca="1" si="247"/>
        <v>-10.646015304311991</v>
      </c>
      <c r="L539" s="304">
        <f t="shared" ca="1" si="232"/>
        <v>837.47517301329765</v>
      </c>
      <c r="M539" s="306">
        <f t="shared" ca="1" si="248"/>
        <v>-1.5012487387838396</v>
      </c>
      <c r="N539" s="304">
        <f t="shared" ca="1" si="249"/>
        <v>-86.01521673165179</v>
      </c>
      <c r="P539" s="310">
        <f t="shared" ca="1" si="250"/>
        <v>23</v>
      </c>
      <c r="Q539" s="304">
        <f t="shared" ca="1" si="251"/>
        <v>0</v>
      </c>
      <c r="R539" s="306">
        <f t="shared" ca="1" si="252"/>
        <v>0</v>
      </c>
      <c r="S539" s="307">
        <f t="shared" ca="1" si="253"/>
        <v>2.9362999999999984</v>
      </c>
      <c r="T539" s="304">
        <f t="shared" ca="1" si="233"/>
        <v>28.805102999999985</v>
      </c>
      <c r="U539" s="311">
        <f t="shared" ca="1" si="234"/>
        <v>0</v>
      </c>
      <c r="V539" s="306">
        <f t="shared" ca="1" si="235"/>
        <v>1.2263048314375511</v>
      </c>
      <c r="W539" s="304">
        <f t="shared" ca="1" si="236"/>
        <v>27.164565439883656</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0.53501250938068345</v>
      </c>
      <c r="AH539" s="304">
        <f t="shared" ca="1" si="260"/>
        <v>-9.251271773229691</v>
      </c>
    </row>
    <row r="540" spans="1:34" x14ac:dyDescent="0.2">
      <c r="A540" s="347">
        <f t="shared" ca="1" si="238"/>
        <v>1E-4</v>
      </c>
      <c r="B540" s="304">
        <f t="shared" ca="1" si="239"/>
        <v>37.103100000000325</v>
      </c>
      <c r="D540" s="306">
        <f t="shared" ca="1" si="240"/>
        <v>-0.64288641542684077</v>
      </c>
      <c r="E540" s="307">
        <f t="shared" ca="1" si="241"/>
        <v>-0.58107372520567324</v>
      </c>
      <c r="F540" s="304">
        <f t="shared" ca="1" si="242"/>
        <v>0.86657349213137758</v>
      </c>
      <c r="G540" s="306">
        <f t="shared" ca="1" si="243"/>
        <v>7.2403345962354209</v>
      </c>
      <c r="H540" s="307">
        <f t="shared" ca="1" si="244"/>
        <v>-103.93927023750761</v>
      </c>
      <c r="I540" s="304">
        <f t="shared" ca="1" si="245"/>
        <v>104.19114330196727</v>
      </c>
      <c r="J540" s="306">
        <f t="shared" ca="1" si="246"/>
        <v>837.4075040097224</v>
      </c>
      <c r="K540" s="307">
        <f t="shared" ca="1" si="247"/>
        <v>-10.656409228430373</v>
      </c>
      <c r="L540" s="304">
        <f t="shared" ca="1" si="232"/>
        <v>837.47530520573378</v>
      </c>
      <c r="M540" s="306">
        <f t="shared" ca="1" si="248"/>
        <v>-1.5012493930735884</v>
      </c>
      <c r="N540" s="304">
        <f t="shared" ca="1" si="249"/>
        <v>-86.015254219692977</v>
      </c>
      <c r="P540" s="310">
        <f t="shared" ca="1" si="250"/>
        <v>23</v>
      </c>
      <c r="Q540" s="304">
        <f t="shared" ca="1" si="251"/>
        <v>0</v>
      </c>
      <c r="R540" s="306">
        <f t="shared" ca="1" si="252"/>
        <v>0</v>
      </c>
      <c r="S540" s="307">
        <f t="shared" ca="1" si="253"/>
        <v>2.9362999999999984</v>
      </c>
      <c r="T540" s="304">
        <f t="shared" ca="1" si="233"/>
        <v>28.805102999999985</v>
      </c>
      <c r="U540" s="311">
        <f t="shared" ca="1" si="234"/>
        <v>0</v>
      </c>
      <c r="V540" s="306">
        <f t="shared" ca="1" si="235"/>
        <v>1.2263061060505116</v>
      </c>
      <c r="W540" s="304">
        <f t="shared" ca="1" si="236"/>
        <v>27.164621571176912</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0.53499383879821139</v>
      </c>
      <c r="AH540" s="304">
        <f t="shared" ca="1" si="260"/>
        <v>-9.251290889855829</v>
      </c>
    </row>
    <row r="541" spans="1:34" x14ac:dyDescent="0.2">
      <c r="A541" s="347">
        <f t="shared" ca="1" si="238"/>
        <v>1E-4</v>
      </c>
      <c r="B541" s="304">
        <f t="shared" ca="1" si="239"/>
        <v>37.103200000000328</v>
      </c>
      <c r="D541" s="306">
        <f t="shared" ca="1" si="240"/>
        <v>-0.64288170544582801</v>
      </c>
      <c r="E541" s="307">
        <f t="shared" ca="1" si="241"/>
        <v>-0.58105423445115179</v>
      </c>
      <c r="F541" s="304">
        <f t="shared" ca="1" si="242"/>
        <v>0.86655692863801537</v>
      </c>
      <c r="G541" s="306">
        <f t="shared" ca="1" si="243"/>
        <v>7.2402703080648765</v>
      </c>
      <c r="H541" s="307">
        <f t="shared" ca="1" si="244"/>
        <v>-103.93932834293106</v>
      </c>
      <c r="I541" s="304">
        <f t="shared" ca="1" si="245"/>
        <v>104.19119679950643</v>
      </c>
      <c r="J541" s="306">
        <f t="shared" ca="1" si="246"/>
        <v>837.4075040097224</v>
      </c>
      <c r="K541" s="307">
        <f t="shared" ca="1" si="247"/>
        <v>-10.666803158359395</v>
      </c>
      <c r="L541" s="304">
        <f t="shared" ca="1" si="232"/>
        <v>837.47543752722231</v>
      </c>
      <c r="M541" s="306">
        <f t="shared" ca="1" si="248"/>
        <v>-1.5012500473568557</v>
      </c>
      <c r="N541" s="304">
        <f t="shared" ca="1" si="249"/>
        <v>-86.015291707362806</v>
      </c>
      <c r="P541" s="310">
        <f t="shared" ca="1" si="250"/>
        <v>23</v>
      </c>
      <c r="Q541" s="304">
        <f t="shared" ca="1" si="251"/>
        <v>0</v>
      </c>
      <c r="R541" s="306">
        <f t="shared" ca="1" si="252"/>
        <v>0</v>
      </c>
      <c r="S541" s="307">
        <f t="shared" ca="1" si="253"/>
        <v>2.9362999999999984</v>
      </c>
      <c r="T541" s="304">
        <f t="shared" ca="1" si="233"/>
        <v>28.805102999999985</v>
      </c>
      <c r="U541" s="311">
        <f t="shared" ca="1" si="234"/>
        <v>0</v>
      </c>
      <c r="V541" s="306">
        <f t="shared" ca="1" si="235"/>
        <v>1.2263073806655096</v>
      </c>
      <c r="W541" s="304">
        <f t="shared" ca="1" si="236"/>
        <v>27.164677701614067</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0.53497516849867921</v>
      </c>
      <c r="AH541" s="304">
        <f t="shared" ca="1" si="260"/>
        <v>-9.251310006190419</v>
      </c>
    </row>
    <row r="542" spans="1:34" x14ac:dyDescent="0.2">
      <c r="A542" s="347">
        <f t="shared" ca="1" si="238"/>
        <v>1E-4</v>
      </c>
      <c r="B542" s="304">
        <f t="shared" ca="1" si="239"/>
        <v>37.103300000000331</v>
      </c>
      <c r="D542" s="306">
        <f t="shared" ca="1" si="240"/>
        <v>-0.64287699547914212</v>
      </c>
      <c r="E542" s="307">
        <f t="shared" ca="1" si="241"/>
        <v>-0.58103474399386101</v>
      </c>
      <c r="F542" s="304">
        <f t="shared" ca="1" si="242"/>
        <v>0.86654036550197733</v>
      </c>
      <c r="G542" s="306">
        <f t="shared" ca="1" si="243"/>
        <v>7.2402060203653287</v>
      </c>
      <c r="H542" s="307">
        <f t="shared" ca="1" si="244"/>
        <v>-103.93938644640546</v>
      </c>
      <c r="I542" s="304">
        <f t="shared" ca="1" si="245"/>
        <v>104.19125029517858</v>
      </c>
      <c r="J542" s="306">
        <f t="shared" ca="1" si="246"/>
        <v>837.4075040097224</v>
      </c>
      <c r="K542" s="307">
        <f t="shared" ca="1" si="247"/>
        <v>-10.677197094098862</v>
      </c>
      <c r="L542" s="304">
        <f t="shared" ca="1" si="232"/>
        <v>837.47556997776326</v>
      </c>
      <c r="M542" s="306">
        <f t="shared" ca="1" si="248"/>
        <v>-1.5012507016336416</v>
      </c>
      <c r="N542" s="304">
        <f t="shared" ca="1" si="249"/>
        <v>-86.015329194661263</v>
      </c>
      <c r="P542" s="310">
        <f t="shared" ca="1" si="250"/>
        <v>23</v>
      </c>
      <c r="Q542" s="304">
        <f t="shared" ca="1" si="251"/>
        <v>0</v>
      </c>
      <c r="R542" s="306">
        <f t="shared" ca="1" si="252"/>
        <v>0</v>
      </c>
      <c r="S542" s="307">
        <f t="shared" ca="1" si="253"/>
        <v>2.9362999999999984</v>
      </c>
      <c r="T542" s="304">
        <f t="shared" ca="1" si="233"/>
        <v>28.805102999999985</v>
      </c>
      <c r="U542" s="311">
        <f t="shared" ca="1" si="234"/>
        <v>0</v>
      </c>
      <c r="V542" s="306">
        <f t="shared" ca="1" si="235"/>
        <v>1.226308655282546</v>
      </c>
      <c r="W542" s="304">
        <f t="shared" ca="1" si="236"/>
        <v>27.164733831195154</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0.53495649848209759</v>
      </c>
      <c r="AH542" s="304">
        <f t="shared" ca="1" si="260"/>
        <v>-9.2513291222334519</v>
      </c>
    </row>
    <row r="543" spans="1:34" x14ac:dyDescent="0.2">
      <c r="A543" s="347">
        <f t="shared" ca="1" si="238"/>
        <v>1E-4</v>
      </c>
      <c r="B543" s="304">
        <f t="shared" ca="1" si="239"/>
        <v>37.103400000000335</v>
      </c>
      <c r="D543" s="306">
        <f t="shared" ca="1" si="240"/>
        <v>-0.64287228552678499</v>
      </c>
      <c r="E543" s="307">
        <f t="shared" ca="1" si="241"/>
        <v>-0.58101525383379204</v>
      </c>
      <c r="F543" s="304">
        <f t="shared" ca="1" si="242"/>
        <v>0.86652380272325924</v>
      </c>
      <c r="G543" s="306">
        <f t="shared" ca="1" si="243"/>
        <v>7.2401417331367757</v>
      </c>
      <c r="H543" s="307">
        <f t="shared" ca="1" si="244"/>
        <v>-103.93944454793085</v>
      </c>
      <c r="I543" s="304">
        <f t="shared" ca="1" si="245"/>
        <v>104.19130378898375</v>
      </c>
      <c r="J543" s="306">
        <f t="shared" ca="1" si="246"/>
        <v>837.4075040097224</v>
      </c>
      <c r="K543" s="307">
        <f t="shared" ca="1" si="247"/>
        <v>-10.687591035648579</v>
      </c>
      <c r="L543" s="304">
        <f t="shared" ca="1" si="232"/>
        <v>837.47570255735684</v>
      </c>
      <c r="M543" s="306">
        <f t="shared" ca="1" si="248"/>
        <v>-1.5012513559039464</v>
      </c>
      <c r="N543" s="304">
        <f t="shared" ca="1" si="249"/>
        <v>-86.015366681588389</v>
      </c>
      <c r="P543" s="310">
        <f t="shared" ca="1" si="250"/>
        <v>23</v>
      </c>
      <c r="Q543" s="304">
        <f t="shared" ca="1" si="251"/>
        <v>0</v>
      </c>
      <c r="R543" s="306">
        <f t="shared" ca="1" si="252"/>
        <v>0</v>
      </c>
      <c r="S543" s="307">
        <f t="shared" ca="1" si="253"/>
        <v>2.9362999999999984</v>
      </c>
      <c r="T543" s="304">
        <f t="shared" ca="1" si="233"/>
        <v>28.805102999999985</v>
      </c>
      <c r="U543" s="311">
        <f t="shared" ca="1" si="234"/>
        <v>0</v>
      </c>
      <c r="V543" s="306">
        <f t="shared" ca="1" si="235"/>
        <v>1.2263099299016209</v>
      </c>
      <c r="W543" s="304">
        <f t="shared" ca="1" si="236"/>
        <v>27.164789959920192</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0.53493782874845586</v>
      </c>
      <c r="AH543" s="304">
        <f t="shared" ca="1" si="260"/>
        <v>-9.2513482379849368</v>
      </c>
    </row>
    <row r="544" spans="1:34" x14ac:dyDescent="0.2">
      <c r="A544" s="347">
        <f t="shared" ca="1" si="238"/>
        <v>1E-4</v>
      </c>
      <c r="B544" s="304">
        <f t="shared" ca="1" si="239"/>
        <v>37.103500000000338</v>
      </c>
      <c r="D544" s="306">
        <f t="shared" ca="1" si="240"/>
        <v>-0.64286757558875385</v>
      </c>
      <c r="E544" s="307">
        <f t="shared" ca="1" si="241"/>
        <v>-0.580995763970936</v>
      </c>
      <c r="F544" s="304">
        <f t="shared" ca="1" si="242"/>
        <v>0.86650724030185333</v>
      </c>
      <c r="G544" s="306">
        <f t="shared" ca="1" si="243"/>
        <v>7.2400774463792166</v>
      </c>
      <c r="H544" s="307">
        <f t="shared" ca="1" si="244"/>
        <v>-103.93950264750724</v>
      </c>
      <c r="I544" s="304">
        <f t="shared" ca="1" si="245"/>
        <v>104.19135728092198</v>
      </c>
      <c r="J544" s="306">
        <f t="shared" ca="1" si="246"/>
        <v>837.4075040097224</v>
      </c>
      <c r="K544" s="307">
        <f t="shared" ca="1" si="247"/>
        <v>-10.69798498300835</v>
      </c>
      <c r="L544" s="304">
        <f t="shared" ca="1" si="232"/>
        <v>837.47583526600329</v>
      </c>
      <c r="M544" s="306">
        <f t="shared" ca="1" si="248"/>
        <v>-1.5012520101677698</v>
      </c>
      <c r="N544" s="304">
        <f t="shared" ca="1" si="249"/>
        <v>-86.015404168144158</v>
      </c>
      <c r="P544" s="310">
        <f t="shared" ca="1" si="250"/>
        <v>23</v>
      </c>
      <c r="Q544" s="304">
        <f t="shared" ca="1" si="251"/>
        <v>0</v>
      </c>
      <c r="R544" s="306">
        <f t="shared" ca="1" si="252"/>
        <v>0</v>
      </c>
      <c r="S544" s="307">
        <f t="shared" ca="1" si="253"/>
        <v>2.9362999999999984</v>
      </c>
      <c r="T544" s="304">
        <f t="shared" ca="1" si="233"/>
        <v>28.805102999999985</v>
      </c>
      <c r="U544" s="311">
        <f t="shared" ca="1" si="234"/>
        <v>0</v>
      </c>
      <c r="V544" s="306">
        <f t="shared" ca="1" si="235"/>
        <v>1.2263112045227333</v>
      </c>
      <c r="W544" s="304">
        <f t="shared" ca="1" si="236"/>
        <v>27.164846087789172</v>
      </c>
      <c r="Y544" s="314" t="str">
        <f t="shared" ca="1" si="254"/>
        <v/>
      </c>
      <c r="Z544" s="315" t="str">
        <f t="shared" ca="1" si="255"/>
        <v/>
      </c>
      <c r="AA544" s="316" t="str">
        <f t="shared" ca="1" si="256"/>
        <v/>
      </c>
      <c r="AC544" s="310" t="e">
        <f t="shared" ca="1" si="257"/>
        <v>#N/A</v>
      </c>
      <c r="AD544" s="323" t="e">
        <f t="shared" ca="1" si="258"/>
        <v>#N/A</v>
      </c>
      <c r="AE544" s="324" t="e">
        <f t="shared" ca="1" si="237"/>
        <v>#N/A</v>
      </c>
      <c r="AG544" s="306">
        <f t="shared" ca="1" si="259"/>
        <v>0.53491915929774692</v>
      </c>
      <c r="AH544" s="304">
        <f t="shared" ca="1" si="260"/>
        <v>-9.2513673534448824</v>
      </c>
    </row>
    <row r="545" spans="1:34" x14ac:dyDescent="0.2">
      <c r="A545" s="347">
        <f t="shared" ca="1" si="238"/>
        <v>1E-4</v>
      </c>
      <c r="B545" s="304">
        <f t="shared" ca="1" si="239"/>
        <v>37.103600000000341</v>
      </c>
      <c r="D545" s="306">
        <f t="shared" ca="1" si="240"/>
        <v>-0.64286286566505357</v>
      </c>
      <c r="E545" s="307">
        <f t="shared" ca="1" si="241"/>
        <v>-0.5809762744052982</v>
      </c>
      <c r="F545" s="304">
        <f t="shared" ca="1" si="242"/>
        <v>0.86649067823776682</v>
      </c>
      <c r="G545" s="306">
        <f t="shared" ca="1" si="243"/>
        <v>7.2400131600926505</v>
      </c>
      <c r="H545" s="307">
        <f t="shared" ca="1" si="244"/>
        <v>-103.93956074513468</v>
      </c>
      <c r="I545" s="304">
        <f t="shared" ca="1" si="245"/>
        <v>104.1914107709933</v>
      </c>
      <c r="J545" s="306">
        <f t="shared" ca="1" si="246"/>
        <v>837.4075040097224</v>
      </c>
      <c r="K545" s="307">
        <f t="shared" ca="1" si="247"/>
        <v>-10.708378936177983</v>
      </c>
      <c r="L545" s="304">
        <f t="shared" ca="1" si="232"/>
        <v>837.47596810370271</v>
      </c>
      <c r="M545" s="306">
        <f t="shared" ca="1" si="248"/>
        <v>-1.5012526644251121</v>
      </c>
      <c r="N545" s="304">
        <f t="shared" ca="1" si="249"/>
        <v>-86.015441654328583</v>
      </c>
      <c r="P545" s="310">
        <f t="shared" ca="1" si="250"/>
        <v>23</v>
      </c>
      <c r="Q545" s="304">
        <f t="shared" ca="1" si="251"/>
        <v>0</v>
      </c>
      <c r="R545" s="306">
        <f t="shared" ca="1" si="252"/>
        <v>0</v>
      </c>
      <c r="S545" s="307">
        <f t="shared" ca="1" si="253"/>
        <v>2.9362999999999984</v>
      </c>
      <c r="T545" s="304">
        <f t="shared" ca="1" si="233"/>
        <v>28.805102999999985</v>
      </c>
      <c r="U545" s="311">
        <f t="shared" ca="1" si="234"/>
        <v>0</v>
      </c>
      <c r="V545" s="306">
        <f t="shared" ca="1" si="235"/>
        <v>1.2263124791458839</v>
      </c>
      <c r="W545" s="304">
        <f t="shared" ca="1" si="236"/>
        <v>27.164902214802122</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0.53490049012997076</v>
      </c>
      <c r="AH545" s="304">
        <f t="shared" ca="1" si="260"/>
        <v>-9.2513864686132852</v>
      </c>
    </row>
    <row r="546" spans="1:34" x14ac:dyDescent="0.2">
      <c r="A546" s="347">
        <f t="shared" ca="1" si="238"/>
        <v>1E-4</v>
      </c>
      <c r="B546" s="304">
        <f t="shared" ca="1" si="239"/>
        <v>37.103700000000345</v>
      </c>
      <c r="D546" s="306">
        <f t="shared" ca="1" si="240"/>
        <v>-0.64285815575568173</v>
      </c>
      <c r="E546" s="307">
        <f t="shared" ca="1" si="241"/>
        <v>-0.58095678513686977</v>
      </c>
      <c r="F546" s="304">
        <f t="shared" ca="1" si="242"/>
        <v>0.86647411653099216</v>
      </c>
      <c r="G546" s="306">
        <f t="shared" ca="1" si="243"/>
        <v>7.2399488742770748</v>
      </c>
      <c r="H546" s="307">
        <f t="shared" ca="1" si="244"/>
        <v>-103.9396188408132</v>
      </c>
      <c r="I546" s="304">
        <f t="shared" ca="1" si="245"/>
        <v>104.19146425919772</v>
      </c>
      <c r="J546" s="306">
        <f t="shared" ca="1" si="246"/>
        <v>837.4075040097224</v>
      </c>
      <c r="K546" s="307">
        <f t="shared" ca="1" si="247"/>
        <v>-10.718772895157279</v>
      </c>
      <c r="L546" s="304">
        <f t="shared" ca="1" si="232"/>
        <v>837.47610107045512</v>
      </c>
      <c r="M546" s="306">
        <f t="shared" ca="1" si="248"/>
        <v>-1.5012533186759736</v>
      </c>
      <c r="N546" s="304">
        <f t="shared" ca="1" si="249"/>
        <v>-86.015479140141693</v>
      </c>
      <c r="P546" s="310">
        <f t="shared" ca="1" si="250"/>
        <v>23</v>
      </c>
      <c r="Q546" s="304">
        <f t="shared" ca="1" si="251"/>
        <v>0</v>
      </c>
      <c r="R546" s="306">
        <f t="shared" ca="1" si="252"/>
        <v>0</v>
      </c>
      <c r="S546" s="307">
        <f t="shared" ca="1" si="253"/>
        <v>2.9362999999999984</v>
      </c>
      <c r="T546" s="304">
        <f t="shared" ca="1" si="233"/>
        <v>28.805102999999985</v>
      </c>
      <c r="U546" s="311">
        <f t="shared" ca="1" si="234"/>
        <v>0</v>
      </c>
      <c r="V546" s="306">
        <f t="shared" ca="1" si="235"/>
        <v>1.2263137537710724</v>
      </c>
      <c r="W546" s="304">
        <f t="shared" ca="1" si="236"/>
        <v>27.164958340959025</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0.53488182124512385</v>
      </c>
      <c r="AH546" s="304">
        <f t="shared" ca="1" si="260"/>
        <v>-9.2514055834901541</v>
      </c>
    </row>
    <row r="547" spans="1:34" x14ac:dyDescent="0.2">
      <c r="A547" s="347">
        <f t="shared" ca="1" si="238"/>
        <v>1E-4</v>
      </c>
      <c r="B547" s="304">
        <f t="shared" ca="1" si="239"/>
        <v>37.103800000000348</v>
      </c>
      <c r="D547" s="306">
        <f t="shared" ca="1" si="240"/>
        <v>-0.64285344586063653</v>
      </c>
      <c r="E547" s="307">
        <f t="shared" ca="1" si="241"/>
        <v>-0.58093729616565426</v>
      </c>
      <c r="F547" s="304">
        <f t="shared" ca="1" si="242"/>
        <v>0.86645755518153078</v>
      </c>
      <c r="G547" s="306">
        <f t="shared" ca="1" si="243"/>
        <v>7.2398845889324885</v>
      </c>
      <c r="H547" s="307">
        <f t="shared" ca="1" si="244"/>
        <v>-103.93967693454282</v>
      </c>
      <c r="I547" s="304">
        <f t="shared" ca="1" si="245"/>
        <v>104.19151774553529</v>
      </c>
      <c r="J547" s="306">
        <f t="shared" ca="1" si="246"/>
        <v>837.4075040097224</v>
      </c>
      <c r="K547" s="307">
        <f t="shared" ca="1" si="247"/>
        <v>-10.729166859946048</v>
      </c>
      <c r="L547" s="304">
        <f t="shared" ca="1" si="232"/>
        <v>837.47623416626084</v>
      </c>
      <c r="M547" s="306">
        <f t="shared" ca="1" si="248"/>
        <v>-1.5012539729203538</v>
      </c>
      <c r="N547" s="304">
        <f t="shared" ca="1" si="249"/>
        <v>-86.015516625583444</v>
      </c>
      <c r="P547" s="310">
        <f t="shared" ca="1" si="250"/>
        <v>23</v>
      </c>
      <c r="Q547" s="304">
        <f t="shared" ca="1" si="251"/>
        <v>0</v>
      </c>
      <c r="R547" s="306">
        <f t="shared" ca="1" si="252"/>
        <v>0</v>
      </c>
      <c r="S547" s="307">
        <f t="shared" ca="1" si="253"/>
        <v>2.9362999999999984</v>
      </c>
      <c r="T547" s="304">
        <f t="shared" ca="1" si="233"/>
        <v>28.805102999999985</v>
      </c>
      <c r="U547" s="311">
        <f t="shared" ca="1" si="234"/>
        <v>0</v>
      </c>
      <c r="V547" s="306">
        <f t="shared" ca="1" si="235"/>
        <v>1.2263150283982991</v>
      </c>
      <c r="W547" s="304">
        <f t="shared" ca="1" si="236"/>
        <v>27.165014466259926</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0.53486315264321149</v>
      </c>
      <c r="AH547" s="304">
        <f t="shared" ca="1" si="260"/>
        <v>-9.251424698075482</v>
      </c>
    </row>
    <row r="548" spans="1:34" x14ac:dyDescent="0.2">
      <c r="A548" s="347">
        <f t="shared" ca="1" si="238"/>
        <v>1E-4</v>
      </c>
      <c r="B548" s="304">
        <f t="shared" ca="1" si="239"/>
        <v>37.103900000000351</v>
      </c>
      <c r="D548" s="306">
        <f t="shared" ca="1" si="240"/>
        <v>-0.64284873597992453</v>
      </c>
      <c r="E548" s="307">
        <f t="shared" ca="1" si="241"/>
        <v>-0.58091780749163568</v>
      </c>
      <c r="F548" s="304">
        <f t="shared" ca="1" si="242"/>
        <v>0.86644099418937692</v>
      </c>
      <c r="G548" s="306">
        <f t="shared" ca="1" si="243"/>
        <v>7.2398203040588909</v>
      </c>
      <c r="H548" s="307">
        <f t="shared" ca="1" si="244"/>
        <v>-103.93973502632356</v>
      </c>
      <c r="I548" s="304">
        <f t="shared" ca="1" si="245"/>
        <v>104.19157123000601</v>
      </c>
      <c r="J548" s="306">
        <f t="shared" ca="1" si="246"/>
        <v>837.4075040097224</v>
      </c>
      <c r="K548" s="307">
        <f t="shared" ca="1" si="247"/>
        <v>-10.739560830544091</v>
      </c>
      <c r="L548" s="304">
        <f t="shared" ca="1" si="232"/>
        <v>837.47636739111999</v>
      </c>
      <c r="M548" s="306">
        <f t="shared" ca="1" si="248"/>
        <v>-1.5012546271582532</v>
      </c>
      <c r="N548" s="304">
        <f t="shared" ca="1" si="249"/>
        <v>-86.015554110653881</v>
      </c>
      <c r="P548" s="310">
        <f t="shared" ca="1" si="250"/>
        <v>23</v>
      </c>
      <c r="Q548" s="304">
        <f t="shared" ca="1" si="251"/>
        <v>0</v>
      </c>
      <c r="R548" s="306">
        <f t="shared" ca="1" si="252"/>
        <v>0</v>
      </c>
      <c r="S548" s="307">
        <f t="shared" ca="1" si="253"/>
        <v>2.9362999999999984</v>
      </c>
      <c r="T548" s="304">
        <f t="shared" ca="1" si="233"/>
        <v>28.805102999999985</v>
      </c>
      <c r="U548" s="311">
        <f t="shared" ca="1" si="234"/>
        <v>0</v>
      </c>
      <c r="V548" s="306">
        <f t="shared" ca="1" si="235"/>
        <v>1.2263163030275637</v>
      </c>
      <c r="W548" s="304">
        <f t="shared" ca="1" si="236"/>
        <v>27.165070590704797</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0.53484448432421061</v>
      </c>
      <c r="AH548" s="304">
        <f t="shared" ca="1" si="260"/>
        <v>-9.2514438123692884</v>
      </c>
    </row>
    <row r="549" spans="1:34" x14ac:dyDescent="0.2">
      <c r="A549" s="347">
        <f t="shared" ca="1" si="238"/>
        <v>1E-4</v>
      </c>
      <c r="B549" s="304">
        <f t="shared" ca="1" si="239"/>
        <v>37.104000000000354</v>
      </c>
      <c r="D549" s="306">
        <f t="shared" ca="1" si="240"/>
        <v>-0.64284402611354163</v>
      </c>
      <c r="E549" s="307">
        <f t="shared" ca="1" si="241"/>
        <v>-0.5808983191148247</v>
      </c>
      <c r="F549" s="304">
        <f t="shared" ca="1" si="242"/>
        <v>0.8664244335545348</v>
      </c>
      <c r="G549" s="306">
        <f t="shared" ca="1" si="243"/>
        <v>7.2397560196562791</v>
      </c>
      <c r="H549" s="307">
        <f t="shared" ca="1" si="244"/>
        <v>-103.93979311615547</v>
      </c>
      <c r="I549" s="304">
        <f t="shared" ca="1" si="245"/>
        <v>104.19162471260994</v>
      </c>
      <c r="J549" s="306">
        <f t="shared" ca="1" si="246"/>
        <v>837.4075040097224</v>
      </c>
      <c r="K549" s="307">
        <f t="shared" ca="1" si="247"/>
        <v>-10.749954806951216</v>
      </c>
      <c r="L549" s="304">
        <f t="shared" ca="1" si="232"/>
        <v>837.47650074503269</v>
      </c>
      <c r="M549" s="306">
        <f t="shared" ca="1" si="248"/>
        <v>-1.5012552813896718</v>
      </c>
      <c r="N549" s="304">
        <f t="shared" ca="1" si="249"/>
        <v>-86.015591595353001</v>
      </c>
      <c r="P549" s="310">
        <f t="shared" ca="1" si="250"/>
        <v>23</v>
      </c>
      <c r="Q549" s="304">
        <f t="shared" ca="1" si="251"/>
        <v>0</v>
      </c>
      <c r="R549" s="306">
        <f t="shared" ca="1" si="252"/>
        <v>0</v>
      </c>
      <c r="S549" s="307">
        <f t="shared" ca="1" si="253"/>
        <v>2.9362999999999984</v>
      </c>
      <c r="T549" s="304">
        <f t="shared" ca="1" si="233"/>
        <v>28.805102999999985</v>
      </c>
      <c r="U549" s="311">
        <f t="shared" ca="1" si="234"/>
        <v>0</v>
      </c>
      <c r="V549" s="306">
        <f t="shared" ca="1" si="235"/>
        <v>1.226317577658866</v>
      </c>
      <c r="W549" s="304">
        <f t="shared" ca="1" si="236"/>
        <v>27.165126714293677</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0.53482581628813897</v>
      </c>
      <c r="AH549" s="304">
        <f t="shared" ca="1" si="260"/>
        <v>-9.2514629263715609</v>
      </c>
    </row>
    <row r="550" spans="1:34" x14ac:dyDescent="0.2">
      <c r="A550" s="347">
        <f t="shared" ca="1" si="238"/>
        <v>1E-4</v>
      </c>
      <c r="B550" s="304">
        <f t="shared" ca="1" si="239"/>
        <v>37.104100000000358</v>
      </c>
      <c r="D550" s="306">
        <f t="shared" ca="1" si="240"/>
        <v>-0.64283931626148971</v>
      </c>
      <c r="E550" s="307">
        <f t="shared" ca="1" si="241"/>
        <v>-0.58087883103520888</v>
      </c>
      <c r="F550" s="304">
        <f t="shared" ca="1" si="242"/>
        <v>0.86640787327699786</v>
      </c>
      <c r="G550" s="306">
        <f t="shared" ca="1" si="243"/>
        <v>7.2396917357246533</v>
      </c>
      <c r="H550" s="307">
        <f t="shared" ca="1" si="244"/>
        <v>-103.93985120403858</v>
      </c>
      <c r="I550" s="304">
        <f t="shared" ca="1" si="245"/>
        <v>104.19167819334709</v>
      </c>
      <c r="J550" s="306">
        <f t="shared" ca="1" si="246"/>
        <v>837.4075040097224</v>
      </c>
      <c r="K550" s="307">
        <f t="shared" ca="1" si="247"/>
        <v>-10.760348789167226</v>
      </c>
      <c r="L550" s="304">
        <f t="shared" ca="1" si="232"/>
        <v>837.47663422799906</v>
      </c>
      <c r="M550" s="306">
        <f t="shared" ca="1" si="248"/>
        <v>-1.5012559356146098</v>
      </c>
      <c r="N550" s="304">
        <f t="shared" ca="1" si="249"/>
        <v>-86.015629079680792</v>
      </c>
      <c r="P550" s="310">
        <f t="shared" ca="1" si="250"/>
        <v>23</v>
      </c>
      <c r="Q550" s="304">
        <f t="shared" ca="1" si="251"/>
        <v>0</v>
      </c>
      <c r="R550" s="306">
        <f t="shared" ca="1" si="252"/>
        <v>0</v>
      </c>
      <c r="S550" s="307">
        <f t="shared" ca="1" si="253"/>
        <v>2.9362999999999984</v>
      </c>
      <c r="T550" s="304">
        <f t="shared" ca="1" si="233"/>
        <v>28.805102999999985</v>
      </c>
      <c r="U550" s="311">
        <f t="shared" ca="1" si="234"/>
        <v>0</v>
      </c>
      <c r="V550" s="306">
        <f t="shared" ca="1" si="235"/>
        <v>1.2263188522922064</v>
      </c>
      <c r="W550" s="304">
        <f t="shared" ca="1" si="236"/>
        <v>27.165182837026567</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0.53480714853498412</v>
      </c>
      <c r="AH550" s="304">
        <f t="shared" ca="1" si="260"/>
        <v>-9.2514820400823119</v>
      </c>
    </row>
    <row r="551" spans="1:34" x14ac:dyDescent="0.2">
      <c r="A551" s="347">
        <f t="shared" ca="1" si="238"/>
        <v>1E-4</v>
      </c>
      <c r="B551" s="304">
        <f t="shared" ca="1" si="239"/>
        <v>37.104200000000361</v>
      </c>
      <c r="D551" s="306">
        <f t="shared" ca="1" si="240"/>
        <v>-0.64283460642376777</v>
      </c>
      <c r="E551" s="307">
        <f t="shared" ca="1" si="241"/>
        <v>-0.58085934325278821</v>
      </c>
      <c r="F551" s="304">
        <f t="shared" ca="1" si="242"/>
        <v>0.86639131335676534</v>
      </c>
      <c r="G551" s="306">
        <f t="shared" ca="1" si="243"/>
        <v>7.2396274522640107</v>
      </c>
      <c r="H551" s="307">
        <f t="shared" ca="1" si="244"/>
        <v>-103.9399092899729</v>
      </c>
      <c r="I551" s="304">
        <f t="shared" ca="1" si="245"/>
        <v>104.1917316722175</v>
      </c>
      <c r="J551" s="306">
        <f t="shared" ca="1" si="246"/>
        <v>837.4075040097224</v>
      </c>
      <c r="K551" s="307">
        <f t="shared" ca="1" si="247"/>
        <v>-10.770742777191927</v>
      </c>
      <c r="L551" s="304">
        <f t="shared" ca="1" si="232"/>
        <v>837.47676784001931</v>
      </c>
      <c r="M551" s="306">
        <f t="shared" ca="1" si="248"/>
        <v>-1.501256589833067</v>
      </c>
      <c r="N551" s="304">
        <f t="shared" ca="1" si="249"/>
        <v>-86.015666563637268</v>
      </c>
      <c r="P551" s="310">
        <f t="shared" ca="1" si="250"/>
        <v>23</v>
      </c>
      <c r="Q551" s="304">
        <f t="shared" ca="1" si="251"/>
        <v>0</v>
      </c>
      <c r="R551" s="306">
        <f t="shared" ca="1" si="252"/>
        <v>0</v>
      </c>
      <c r="S551" s="307">
        <f t="shared" ca="1" si="253"/>
        <v>2.9362999999999984</v>
      </c>
      <c r="T551" s="304">
        <f t="shared" ca="1" si="233"/>
        <v>28.805102999999985</v>
      </c>
      <c r="U551" s="311">
        <f t="shared" ca="1" si="234"/>
        <v>0</v>
      </c>
      <c r="V551" s="306">
        <f t="shared" ca="1" si="235"/>
        <v>1.2263201269275847</v>
      </c>
      <c r="W551" s="304">
        <f t="shared" ca="1" si="236"/>
        <v>27.165238958903483</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0.53478848106474075</v>
      </c>
      <c r="AH551" s="304">
        <f t="shared" ca="1" si="260"/>
        <v>-9.2515011535015432</v>
      </c>
    </row>
    <row r="552" spans="1:34" x14ac:dyDescent="0.2">
      <c r="A552" s="347">
        <f t="shared" ca="1" si="238"/>
        <v>1E-4</v>
      </c>
      <c r="B552" s="304">
        <f t="shared" ca="1" si="239"/>
        <v>37.104300000000364</v>
      </c>
      <c r="D552" s="306">
        <f t="shared" ca="1" si="240"/>
        <v>-0.64282989660037904</v>
      </c>
      <c r="E552" s="307">
        <f t="shared" ca="1" si="241"/>
        <v>-0.58083985576755381</v>
      </c>
      <c r="F552" s="304">
        <f t="shared" ca="1" si="242"/>
        <v>0.86637475379383411</v>
      </c>
      <c r="G552" s="306">
        <f t="shared" ca="1" si="243"/>
        <v>7.2395631692743505</v>
      </c>
      <c r="H552" s="307">
        <f t="shared" ca="1" si="244"/>
        <v>-103.93996737395848</v>
      </c>
      <c r="I552" s="304">
        <f t="shared" ca="1" si="245"/>
        <v>104.19178514922118</v>
      </c>
      <c r="J552" s="306">
        <f t="shared" ca="1" si="246"/>
        <v>837.4075040097224</v>
      </c>
      <c r="K552" s="307">
        <f t="shared" ca="1" si="247"/>
        <v>-10.781136771025123</v>
      </c>
      <c r="L552" s="304">
        <f t="shared" ca="1" si="232"/>
        <v>837.47690158109367</v>
      </c>
      <c r="M552" s="306">
        <f t="shared" ca="1" si="248"/>
        <v>-1.5012572440450436</v>
      </c>
      <c r="N552" s="304">
        <f t="shared" ca="1" si="249"/>
        <v>-86.015704047222442</v>
      </c>
      <c r="P552" s="310">
        <f t="shared" ca="1" si="250"/>
        <v>23</v>
      </c>
      <c r="Q552" s="304">
        <f t="shared" ca="1" si="251"/>
        <v>0</v>
      </c>
      <c r="R552" s="306">
        <f t="shared" ca="1" si="252"/>
        <v>0</v>
      </c>
      <c r="S552" s="307">
        <f t="shared" ca="1" si="253"/>
        <v>2.9362999999999984</v>
      </c>
      <c r="T552" s="304">
        <f t="shared" ca="1" si="233"/>
        <v>28.805102999999985</v>
      </c>
      <c r="U552" s="311">
        <f t="shared" ca="1" si="234"/>
        <v>0</v>
      </c>
      <c r="V552" s="306">
        <f t="shared" ca="1" si="235"/>
        <v>1.2263214015650006</v>
      </c>
      <c r="W552" s="304">
        <f t="shared" ca="1" si="236"/>
        <v>27.165295079924412</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0.5347698138774053</v>
      </c>
      <c r="AH552" s="304">
        <f t="shared" ca="1" si="260"/>
        <v>-9.2515202666292602</v>
      </c>
    </row>
    <row r="553" spans="1:34" x14ac:dyDescent="0.2">
      <c r="A553" s="347">
        <f t="shared" ca="1" si="238"/>
        <v>1E-4</v>
      </c>
      <c r="B553" s="304">
        <f t="shared" ca="1" si="239"/>
        <v>37.104400000000368</v>
      </c>
      <c r="D553" s="306">
        <f t="shared" ca="1" si="240"/>
        <v>-0.64282518679132239</v>
      </c>
      <c r="E553" s="307">
        <f t="shared" ca="1" si="241"/>
        <v>-0.58082036857951103</v>
      </c>
      <c r="F553" s="304">
        <f t="shared" ca="1" si="242"/>
        <v>0.86635819458820695</v>
      </c>
      <c r="G553" s="306">
        <f t="shared" ca="1" si="243"/>
        <v>7.2394988867556718</v>
      </c>
      <c r="H553" s="307">
        <f t="shared" ca="1" si="244"/>
        <v>-103.94002545599534</v>
      </c>
      <c r="I553" s="304">
        <f t="shared" ca="1" si="245"/>
        <v>104.19183862435817</v>
      </c>
      <c r="J553" s="306">
        <f t="shared" ca="1" si="246"/>
        <v>837.4075040097224</v>
      </c>
      <c r="K553" s="307">
        <f t="shared" ca="1" si="247"/>
        <v>-10.79153077066662</v>
      </c>
      <c r="L553" s="304">
        <f t="shared" ca="1" si="232"/>
        <v>837.47703545122204</v>
      </c>
      <c r="M553" s="306">
        <f t="shared" ca="1" si="248"/>
        <v>-1.5012578982505398</v>
      </c>
      <c r="N553" s="304">
        <f t="shared" ca="1" si="249"/>
        <v>-86.015741530436301</v>
      </c>
      <c r="P553" s="310">
        <f t="shared" ca="1" si="250"/>
        <v>23</v>
      </c>
      <c r="Q553" s="304">
        <f t="shared" ca="1" si="251"/>
        <v>0</v>
      </c>
      <c r="R553" s="306">
        <f t="shared" ca="1" si="252"/>
        <v>0</v>
      </c>
      <c r="S553" s="307">
        <f t="shared" ca="1" si="253"/>
        <v>2.9362999999999984</v>
      </c>
      <c r="T553" s="304">
        <f t="shared" ca="1" si="233"/>
        <v>28.805102999999985</v>
      </c>
      <c r="U553" s="311">
        <f t="shared" ca="1" si="234"/>
        <v>0</v>
      </c>
      <c r="V553" s="306">
        <f t="shared" ca="1" si="235"/>
        <v>1.2263226762044548</v>
      </c>
      <c r="W553" s="304">
        <f t="shared" ca="1" si="236"/>
        <v>27.165351200089397</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0.53475114697298132</v>
      </c>
      <c r="AH553" s="304">
        <f t="shared" ca="1" si="260"/>
        <v>-9.2515393794654592</v>
      </c>
    </row>
    <row r="554" spans="1:34" x14ac:dyDescent="0.2">
      <c r="A554" s="347">
        <f t="shared" ca="1" si="238"/>
        <v>1E-4</v>
      </c>
      <c r="B554" s="304">
        <f t="shared" ca="1" si="239"/>
        <v>37.104500000000371</v>
      </c>
      <c r="D554" s="306">
        <f t="shared" ca="1" si="240"/>
        <v>-0.64282047699659761</v>
      </c>
      <c r="E554" s="307">
        <f t="shared" ca="1" si="241"/>
        <v>-0.58080088168864741</v>
      </c>
      <c r="F554" s="304">
        <f t="shared" ca="1" si="242"/>
        <v>0.86634163573987566</v>
      </c>
      <c r="G554" s="306">
        <f t="shared" ca="1" si="243"/>
        <v>7.2394346047079718</v>
      </c>
      <c r="H554" s="307">
        <f t="shared" ca="1" si="244"/>
        <v>-103.94008353608351</v>
      </c>
      <c r="I554" s="304">
        <f t="shared" ca="1" si="245"/>
        <v>104.1918920976285</v>
      </c>
      <c r="J554" s="306">
        <f t="shared" ca="1" si="246"/>
        <v>837.4075040097224</v>
      </c>
      <c r="K554" s="307">
        <f t="shared" ca="1" si="247"/>
        <v>-10.801924776116223</v>
      </c>
      <c r="L554" s="304">
        <f t="shared" ca="1" si="232"/>
        <v>837.47716945040486</v>
      </c>
      <c r="M554" s="306">
        <f t="shared" ca="1" si="248"/>
        <v>-1.5012585524495554</v>
      </c>
      <c r="N554" s="304">
        <f t="shared" ca="1" si="249"/>
        <v>-86.015779013278859</v>
      </c>
      <c r="P554" s="310">
        <f t="shared" ca="1" si="250"/>
        <v>23</v>
      </c>
      <c r="Q554" s="304">
        <f t="shared" ca="1" si="251"/>
        <v>0</v>
      </c>
      <c r="R554" s="306">
        <f t="shared" ca="1" si="252"/>
        <v>0</v>
      </c>
      <c r="S554" s="307">
        <f t="shared" ca="1" si="253"/>
        <v>2.9362999999999984</v>
      </c>
      <c r="T554" s="304">
        <f t="shared" ca="1" si="233"/>
        <v>28.805102999999985</v>
      </c>
      <c r="U554" s="311">
        <f t="shared" ca="1" si="234"/>
        <v>0</v>
      </c>
      <c r="V554" s="306">
        <f t="shared" ca="1" si="235"/>
        <v>1.2263239508459465</v>
      </c>
      <c r="W554" s="304">
        <f t="shared" ca="1" si="236"/>
        <v>27.165407319398415</v>
      </c>
      <c r="Y554" s="314" t="str">
        <f t="shared" ca="1" si="254"/>
        <v/>
      </c>
      <c r="Z554" s="315" t="str">
        <f t="shared" ca="1" si="255"/>
        <v/>
      </c>
      <c r="AA554" s="316" t="str">
        <f t="shared" ca="1" si="256"/>
        <v/>
      </c>
      <c r="AC554" s="310" t="e">
        <f t="shared" ca="1" si="257"/>
        <v>#N/A</v>
      </c>
      <c r="AD554" s="323" t="e">
        <f t="shared" ca="1" si="258"/>
        <v>#N/A</v>
      </c>
      <c r="AE554" s="324" t="e">
        <f t="shared" ca="1" si="237"/>
        <v>#N/A</v>
      </c>
      <c r="AG554" s="306">
        <f t="shared" ca="1" si="259"/>
        <v>0.53473248035145993</v>
      </c>
      <c r="AH554" s="304">
        <f t="shared" ca="1" si="260"/>
        <v>-9.2515584920101528</v>
      </c>
    </row>
    <row r="555" spans="1:34" x14ac:dyDescent="0.2">
      <c r="A555" s="347">
        <f t="shared" ca="1" si="238"/>
        <v>1E-4</v>
      </c>
      <c r="B555" s="304">
        <f t="shared" ca="1" si="239"/>
        <v>37.104600000000374</v>
      </c>
      <c r="D555" s="306">
        <f t="shared" ca="1" si="240"/>
        <v>-0.64281576721620703</v>
      </c>
      <c r="E555" s="307">
        <f t="shared" ca="1" si="241"/>
        <v>-0.58078139509497007</v>
      </c>
      <c r="F555" s="304">
        <f t="shared" ca="1" si="242"/>
        <v>0.866325077248847</v>
      </c>
      <c r="G555" s="306">
        <f t="shared" ca="1" si="243"/>
        <v>7.2393703231312498</v>
      </c>
      <c r="H555" s="307">
        <f t="shared" ca="1" si="244"/>
        <v>-103.94014161422301</v>
      </c>
      <c r="I555" s="304">
        <f t="shared" ca="1" si="245"/>
        <v>104.1919455690322</v>
      </c>
      <c r="J555" s="306">
        <f t="shared" ca="1" si="246"/>
        <v>837.4075040097224</v>
      </c>
      <c r="K555" s="307">
        <f t="shared" ca="1" si="247"/>
        <v>-10.812318787373739</v>
      </c>
      <c r="L555" s="304">
        <f t="shared" ca="1" si="232"/>
        <v>837.47730357864202</v>
      </c>
      <c r="M555" s="306">
        <f t="shared" ca="1" si="248"/>
        <v>-1.5012592066420909</v>
      </c>
      <c r="N555" s="304">
        <f t="shared" ca="1" si="249"/>
        <v>-86.01581649575013</v>
      </c>
      <c r="P555" s="310">
        <f t="shared" ca="1" si="250"/>
        <v>23</v>
      </c>
      <c r="Q555" s="304">
        <f t="shared" ca="1" si="251"/>
        <v>0</v>
      </c>
      <c r="R555" s="306">
        <f t="shared" ca="1" si="252"/>
        <v>0</v>
      </c>
      <c r="S555" s="307">
        <f t="shared" ca="1" si="253"/>
        <v>2.9362999999999984</v>
      </c>
      <c r="T555" s="304">
        <f t="shared" ca="1" si="233"/>
        <v>28.805102999999985</v>
      </c>
      <c r="U555" s="311">
        <f t="shared" ca="1" si="234"/>
        <v>0</v>
      </c>
      <c r="V555" s="306">
        <f t="shared" ca="1" si="235"/>
        <v>1.2263252254894765</v>
      </c>
      <c r="W555" s="304">
        <f t="shared" ca="1" si="236"/>
        <v>27.165463437851514</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0.5347138140128429</v>
      </c>
      <c r="AH555" s="304">
        <f t="shared" ca="1" si="260"/>
        <v>-9.2515776042633355</v>
      </c>
    </row>
    <row r="556" spans="1:34" x14ac:dyDescent="0.2">
      <c r="A556" s="347">
        <f t="shared" ca="1" si="238"/>
        <v>1E-4</v>
      </c>
      <c r="B556" s="304">
        <f t="shared" ca="1" si="239"/>
        <v>37.104700000000378</v>
      </c>
      <c r="D556" s="306">
        <f t="shared" ca="1" si="240"/>
        <v>-0.64281105745014888</v>
      </c>
      <c r="E556" s="307">
        <f t="shared" ca="1" si="241"/>
        <v>-0.58076190879846123</v>
      </c>
      <c r="F556" s="304">
        <f t="shared" ca="1" si="242"/>
        <v>0.86630851911510764</v>
      </c>
      <c r="G556" s="306">
        <f t="shared" ca="1" si="243"/>
        <v>7.2393060420255049</v>
      </c>
      <c r="H556" s="307">
        <f t="shared" ca="1" si="244"/>
        <v>-103.94019969041389</v>
      </c>
      <c r="I556" s="304">
        <f t="shared" ca="1" si="245"/>
        <v>104.19199903856929</v>
      </c>
      <c r="J556" s="306">
        <f t="shared" ca="1" si="246"/>
        <v>837.4075040097224</v>
      </c>
      <c r="K556" s="307">
        <f t="shared" ca="1" si="247"/>
        <v>-10.822712804438972</v>
      </c>
      <c r="L556" s="304">
        <f t="shared" ca="1" si="232"/>
        <v>837.47743783593398</v>
      </c>
      <c r="M556" s="306">
        <f t="shared" ca="1" si="248"/>
        <v>-1.501259860828146</v>
      </c>
      <c r="N556" s="304">
        <f t="shared" ca="1" si="249"/>
        <v>-86.015853977850114</v>
      </c>
      <c r="P556" s="310">
        <f t="shared" ca="1" si="250"/>
        <v>23</v>
      </c>
      <c r="Q556" s="304">
        <f t="shared" ca="1" si="251"/>
        <v>0</v>
      </c>
      <c r="R556" s="306">
        <f t="shared" ca="1" si="252"/>
        <v>0</v>
      </c>
      <c r="S556" s="307">
        <f t="shared" ca="1" si="253"/>
        <v>2.9362999999999984</v>
      </c>
      <c r="T556" s="304">
        <f t="shared" ca="1" si="233"/>
        <v>28.805102999999985</v>
      </c>
      <c r="U556" s="311">
        <f t="shared" ca="1" si="234"/>
        <v>0</v>
      </c>
      <c r="V556" s="306">
        <f t="shared" ca="1" si="235"/>
        <v>1.2263265001350436</v>
      </c>
      <c r="W556" s="304">
        <f t="shared" ca="1" si="236"/>
        <v>27.165519555448665</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0.53469514795711426</v>
      </c>
      <c r="AH556" s="304">
        <f t="shared" ca="1" si="260"/>
        <v>-9.2515967162250217</v>
      </c>
    </row>
    <row r="557" spans="1:34" x14ac:dyDescent="0.2">
      <c r="A557" s="347">
        <f t="shared" ca="1" si="238"/>
        <v>1E-4</v>
      </c>
      <c r="B557" s="304">
        <f t="shared" ca="1" si="239"/>
        <v>37.104800000000381</v>
      </c>
      <c r="D557" s="306">
        <f t="shared" ca="1" si="240"/>
        <v>-0.64280634769842515</v>
      </c>
      <c r="E557" s="307">
        <f t="shared" ca="1" si="241"/>
        <v>-0.58074242279913513</v>
      </c>
      <c r="F557" s="304">
        <f t="shared" ca="1" si="242"/>
        <v>0.86629196133866904</v>
      </c>
      <c r="G557" s="306">
        <f t="shared" ca="1" si="243"/>
        <v>7.2392417613907352</v>
      </c>
      <c r="H557" s="307">
        <f t="shared" ca="1" si="244"/>
        <v>-103.94025776465617</v>
      </c>
      <c r="I557" s="304">
        <f t="shared" ca="1" si="245"/>
        <v>104.1920525062398</v>
      </c>
      <c r="J557" s="306">
        <f t="shared" ca="1" si="246"/>
        <v>837.4075040097224</v>
      </c>
      <c r="K557" s="307">
        <f t="shared" ca="1" si="247"/>
        <v>-10.833106827311726</v>
      </c>
      <c r="L557" s="304">
        <f t="shared" ca="1" si="232"/>
        <v>837.47757222228063</v>
      </c>
      <c r="M557" s="306">
        <f t="shared" ca="1" si="248"/>
        <v>-1.501260515007721</v>
      </c>
      <c r="N557" s="304">
        <f t="shared" ca="1" si="249"/>
        <v>-86.015891459578796</v>
      </c>
      <c r="P557" s="310">
        <f t="shared" ca="1" si="250"/>
        <v>23</v>
      </c>
      <c r="Q557" s="304">
        <f t="shared" ca="1" si="251"/>
        <v>0</v>
      </c>
      <c r="R557" s="306">
        <f t="shared" ca="1" si="252"/>
        <v>0</v>
      </c>
      <c r="S557" s="307">
        <f t="shared" ca="1" si="253"/>
        <v>2.9362999999999984</v>
      </c>
      <c r="T557" s="304">
        <f t="shared" ca="1" si="233"/>
        <v>28.805102999999985</v>
      </c>
      <c r="U557" s="311">
        <f t="shared" ca="1" si="234"/>
        <v>0</v>
      </c>
      <c r="V557" s="306">
        <f t="shared" ca="1" si="235"/>
        <v>1.2263277747826489</v>
      </c>
      <c r="W557" s="304">
        <f t="shared" ca="1" si="236"/>
        <v>27.165575672189895</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0.53467648218428998</v>
      </c>
      <c r="AH557" s="304">
        <f t="shared" ca="1" si="260"/>
        <v>-9.2516158278952005</v>
      </c>
    </row>
    <row r="558" spans="1:34" x14ac:dyDescent="0.2">
      <c r="A558" s="347">
        <f t="shared" ca="1" si="238"/>
        <v>1E-4</v>
      </c>
      <c r="B558" s="304">
        <f t="shared" ca="1" si="239"/>
        <v>37.104900000000384</v>
      </c>
      <c r="D558" s="306">
        <f t="shared" ca="1" si="240"/>
        <v>-0.64280163796103562</v>
      </c>
      <c r="E558" s="307">
        <f t="shared" ca="1" si="241"/>
        <v>-0.58072293709697398</v>
      </c>
      <c r="F558" s="304">
        <f t="shared" ca="1" si="242"/>
        <v>0.86627540391951929</v>
      </c>
      <c r="G558" s="306">
        <f t="shared" ca="1" si="243"/>
        <v>7.2391774812269389</v>
      </c>
      <c r="H558" s="307">
        <f t="shared" ca="1" si="244"/>
        <v>-103.94031583694988</v>
      </c>
      <c r="I558" s="304">
        <f t="shared" ca="1" si="245"/>
        <v>104.19210597204375</v>
      </c>
      <c r="J558" s="306">
        <f t="shared" ca="1" si="246"/>
        <v>837.4075040097224</v>
      </c>
      <c r="K558" s="307">
        <f t="shared" ca="1" si="247"/>
        <v>-10.843500855991806</v>
      </c>
      <c r="L558" s="304">
        <f t="shared" ca="1" si="232"/>
        <v>837.47770673768218</v>
      </c>
      <c r="M558" s="306">
        <f t="shared" ca="1" si="248"/>
        <v>-1.5012611691808158</v>
      </c>
      <c r="N558" s="304">
        <f t="shared" ca="1" si="249"/>
        <v>-86.015928940936192</v>
      </c>
      <c r="P558" s="310">
        <f t="shared" ca="1" si="250"/>
        <v>23</v>
      </c>
      <c r="Q558" s="304">
        <f t="shared" ca="1" si="251"/>
        <v>0</v>
      </c>
      <c r="R558" s="306">
        <f t="shared" ca="1" si="252"/>
        <v>0</v>
      </c>
      <c r="S558" s="307">
        <f t="shared" ca="1" si="253"/>
        <v>2.9362999999999984</v>
      </c>
      <c r="T558" s="304">
        <f t="shared" ca="1" si="233"/>
        <v>28.805102999999985</v>
      </c>
      <c r="U558" s="311">
        <f t="shared" ca="1" si="234"/>
        <v>0</v>
      </c>
      <c r="V558" s="306">
        <f t="shared" ca="1" si="235"/>
        <v>1.2263290494322916</v>
      </c>
      <c r="W558" s="304">
        <f t="shared" ca="1" si="236"/>
        <v>27.165631788075203</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0.53465781669435231</v>
      </c>
      <c r="AH558" s="304">
        <f t="shared" ca="1" si="260"/>
        <v>-9.2516349392738864</v>
      </c>
    </row>
    <row r="559" spans="1:34" x14ac:dyDescent="0.2">
      <c r="A559" s="347">
        <f t="shared" ca="1" si="238"/>
        <v>1E-4</v>
      </c>
      <c r="B559" s="304">
        <f t="shared" ca="1" si="239"/>
        <v>37.105000000000388</v>
      </c>
      <c r="D559" s="306">
        <f t="shared" ca="1" si="240"/>
        <v>-0.64279692823798118</v>
      </c>
      <c r="E559" s="307">
        <f t="shared" ca="1" si="241"/>
        <v>-0.5807034516919849</v>
      </c>
      <c r="F559" s="304">
        <f t="shared" ca="1" si="242"/>
        <v>0.86625884685766397</v>
      </c>
      <c r="G559" s="306">
        <f t="shared" ca="1" si="243"/>
        <v>7.2391132015341153</v>
      </c>
      <c r="H559" s="307">
        <f t="shared" ca="1" si="244"/>
        <v>-103.94037390729505</v>
      </c>
      <c r="I559" s="304">
        <f t="shared" ca="1" si="245"/>
        <v>104.19215943598121</v>
      </c>
      <c r="J559" s="306">
        <f t="shared" ca="1" si="246"/>
        <v>837.4075040097224</v>
      </c>
      <c r="K559" s="307">
        <f t="shared" ca="1" si="247"/>
        <v>-10.853894890479019</v>
      </c>
      <c r="L559" s="304">
        <f t="shared" ca="1" si="232"/>
        <v>837.47784138213876</v>
      </c>
      <c r="M559" s="306">
        <f t="shared" ca="1" si="248"/>
        <v>-1.5012618233474306</v>
      </c>
      <c r="N559" s="304">
        <f t="shared" ca="1" si="249"/>
        <v>-86.015966421922329</v>
      </c>
      <c r="P559" s="310">
        <f t="shared" ca="1" si="250"/>
        <v>23</v>
      </c>
      <c r="Q559" s="304">
        <f t="shared" ca="1" si="251"/>
        <v>0</v>
      </c>
      <c r="R559" s="306">
        <f t="shared" ca="1" si="252"/>
        <v>0</v>
      </c>
      <c r="S559" s="307">
        <f t="shared" ca="1" si="253"/>
        <v>2.9362999999999984</v>
      </c>
      <c r="T559" s="304">
        <f t="shared" ca="1" si="233"/>
        <v>28.805102999999985</v>
      </c>
      <c r="U559" s="311">
        <f t="shared" ca="1" si="234"/>
        <v>0</v>
      </c>
      <c r="V559" s="306">
        <f t="shared" ca="1" si="235"/>
        <v>1.2263303240839727</v>
      </c>
      <c r="W559" s="304">
        <f t="shared" ca="1" si="236"/>
        <v>27.165687903104647</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0.53463915148731189</v>
      </c>
      <c r="AH559" s="304">
        <f t="shared" ca="1" si="260"/>
        <v>-9.251654050361072</v>
      </c>
    </row>
    <row r="560" spans="1:34" x14ac:dyDescent="0.2">
      <c r="A560" s="347">
        <f t="shared" ca="1" si="238"/>
        <v>1E-4</v>
      </c>
      <c r="B560" s="304">
        <f t="shared" ca="1" si="239"/>
        <v>37.105100000000391</v>
      </c>
      <c r="D560" s="306">
        <f t="shared" ca="1" si="240"/>
        <v>-0.64279221852926216</v>
      </c>
      <c r="E560" s="307">
        <f t="shared" ca="1" si="241"/>
        <v>-0.58068396658414656</v>
      </c>
      <c r="F560" s="304">
        <f t="shared" ca="1" si="242"/>
        <v>0.86624229015308929</v>
      </c>
      <c r="G560" s="306">
        <f t="shared" ca="1" si="243"/>
        <v>7.2390489223122625</v>
      </c>
      <c r="H560" s="307">
        <f t="shared" ca="1" si="244"/>
        <v>-103.94043197569171</v>
      </c>
      <c r="I560" s="304">
        <f t="shared" ca="1" si="245"/>
        <v>104.19221289805215</v>
      </c>
      <c r="J560" s="306">
        <f t="shared" ca="1" si="246"/>
        <v>837.4075040097224</v>
      </c>
      <c r="K560" s="307">
        <f t="shared" ca="1" si="247"/>
        <v>-10.864288930773169</v>
      </c>
      <c r="L560" s="304">
        <f t="shared" ca="1" si="232"/>
        <v>837.47797615565059</v>
      </c>
      <c r="M560" s="306">
        <f t="shared" ca="1" si="248"/>
        <v>-1.5012624775075656</v>
      </c>
      <c r="N560" s="304">
        <f t="shared" ca="1" si="249"/>
        <v>-86.016003902537193</v>
      </c>
      <c r="P560" s="310">
        <f t="shared" ca="1" si="250"/>
        <v>23</v>
      </c>
      <c r="Q560" s="304">
        <f t="shared" ca="1" si="251"/>
        <v>0</v>
      </c>
      <c r="R560" s="306">
        <f t="shared" ca="1" si="252"/>
        <v>0</v>
      </c>
      <c r="S560" s="307">
        <f t="shared" ca="1" si="253"/>
        <v>2.9362999999999984</v>
      </c>
      <c r="T560" s="304">
        <f t="shared" ca="1" si="233"/>
        <v>28.805102999999985</v>
      </c>
      <c r="U560" s="311">
        <f t="shared" ca="1" si="234"/>
        <v>0</v>
      </c>
      <c r="V560" s="306">
        <f t="shared" ca="1" si="235"/>
        <v>1.2263315987376913</v>
      </c>
      <c r="W560" s="304">
        <f t="shared" ca="1" si="236"/>
        <v>27.165744017278175</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0.53462048656314209</v>
      </c>
      <c r="AH560" s="304">
        <f t="shared" ca="1" si="260"/>
        <v>-9.2516731611567824</v>
      </c>
    </row>
    <row r="561" spans="1:34" x14ac:dyDescent="0.2">
      <c r="A561" s="347">
        <f t="shared" ca="1" si="238"/>
        <v>1E-4</v>
      </c>
      <c r="B561" s="304">
        <f t="shared" ca="1" si="239"/>
        <v>37.105200000000394</v>
      </c>
      <c r="D561" s="306">
        <f t="shared" ca="1" si="240"/>
        <v>-0.64278750883487812</v>
      </c>
      <c r="E561" s="307">
        <f t="shared" ca="1" si="241"/>
        <v>-0.58066448177347496</v>
      </c>
      <c r="F561" s="304">
        <f t="shared" ca="1" si="242"/>
        <v>0.86622573380580581</v>
      </c>
      <c r="G561" s="306">
        <f t="shared" ca="1" si="243"/>
        <v>7.2389846435613787</v>
      </c>
      <c r="H561" s="307">
        <f t="shared" ca="1" si="244"/>
        <v>-103.94049004213988</v>
      </c>
      <c r="I561" s="304">
        <f t="shared" ca="1" si="245"/>
        <v>104.19226635825665</v>
      </c>
      <c r="J561" s="306">
        <f t="shared" ca="1" si="246"/>
        <v>837.4075040097224</v>
      </c>
      <c r="K561" s="307">
        <f t="shared" ca="1" si="247"/>
        <v>-10.874682976874061</v>
      </c>
      <c r="L561" s="304">
        <f t="shared" ca="1" si="232"/>
        <v>837.47811105821791</v>
      </c>
      <c r="M561" s="306">
        <f t="shared" ca="1" si="248"/>
        <v>-1.5012631316612206</v>
      </c>
      <c r="N561" s="304">
        <f t="shared" ca="1" si="249"/>
        <v>-86.01604138278077</v>
      </c>
      <c r="P561" s="310">
        <f t="shared" ca="1" si="250"/>
        <v>23</v>
      </c>
      <c r="Q561" s="304">
        <f t="shared" ca="1" si="251"/>
        <v>0</v>
      </c>
      <c r="R561" s="306">
        <f t="shared" ca="1" si="252"/>
        <v>0</v>
      </c>
      <c r="S561" s="307">
        <f t="shared" ca="1" si="253"/>
        <v>2.9362999999999984</v>
      </c>
      <c r="T561" s="304">
        <f t="shared" ca="1" si="233"/>
        <v>28.805102999999985</v>
      </c>
      <c r="U561" s="311">
        <f t="shared" ca="1" si="234"/>
        <v>0</v>
      </c>
      <c r="V561" s="306">
        <f t="shared" ca="1" si="235"/>
        <v>1.2263328733934473</v>
      </c>
      <c r="W561" s="304">
        <f t="shared" ca="1" si="236"/>
        <v>27.165800130595834</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0.53460182192186245</v>
      </c>
      <c r="AH561" s="304">
        <f t="shared" ca="1" si="260"/>
        <v>-9.2516922716609979</v>
      </c>
    </row>
    <row r="562" spans="1:34" x14ac:dyDescent="0.2">
      <c r="A562" s="347">
        <f t="shared" ca="1" si="238"/>
        <v>1E-4</v>
      </c>
      <c r="B562" s="304">
        <f t="shared" ca="1" si="239"/>
        <v>37.105300000000398</v>
      </c>
      <c r="D562" s="306">
        <f t="shared" ca="1" si="240"/>
        <v>-0.64278279915483127</v>
      </c>
      <c r="E562" s="307">
        <f t="shared" ca="1" si="241"/>
        <v>-0.58064499725995589</v>
      </c>
      <c r="F562" s="304">
        <f t="shared" ca="1" si="242"/>
        <v>0.86620917781580586</v>
      </c>
      <c r="G562" s="306">
        <f t="shared" ca="1" si="243"/>
        <v>7.2389203652814631</v>
      </c>
      <c r="H562" s="307">
        <f t="shared" ca="1" si="244"/>
        <v>-103.94054810663961</v>
      </c>
      <c r="I562" s="304">
        <f t="shared" ca="1" si="245"/>
        <v>104.19231981659469</v>
      </c>
      <c r="J562" s="306">
        <f t="shared" ca="1" si="246"/>
        <v>837.4075040097224</v>
      </c>
      <c r="K562" s="307">
        <f t="shared" ca="1" si="247"/>
        <v>-10.885077028781499</v>
      </c>
      <c r="L562" s="304">
        <f t="shared" ca="1" si="232"/>
        <v>837.4782460898407</v>
      </c>
      <c r="M562" s="306">
        <f t="shared" ca="1" si="248"/>
        <v>-1.5012637858083957</v>
      </c>
      <c r="N562" s="304">
        <f t="shared" ca="1" si="249"/>
        <v>-86.016078862653089</v>
      </c>
      <c r="P562" s="310">
        <f t="shared" ca="1" si="250"/>
        <v>23</v>
      </c>
      <c r="Q562" s="304">
        <f t="shared" ca="1" si="251"/>
        <v>0</v>
      </c>
      <c r="R562" s="306">
        <f t="shared" ca="1" si="252"/>
        <v>0</v>
      </c>
      <c r="S562" s="307">
        <f t="shared" ca="1" si="253"/>
        <v>2.9362999999999984</v>
      </c>
      <c r="T562" s="304">
        <f t="shared" ca="1" si="233"/>
        <v>28.805102999999985</v>
      </c>
      <c r="U562" s="311">
        <f t="shared" ca="1" si="234"/>
        <v>0</v>
      </c>
      <c r="V562" s="306">
        <f t="shared" ca="1" si="235"/>
        <v>1.2263341480512413</v>
      </c>
      <c r="W562" s="304">
        <f t="shared" ca="1" si="236"/>
        <v>27.165856243057615</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0.53458315756345698</v>
      </c>
      <c r="AH562" s="304">
        <f t="shared" ca="1" si="260"/>
        <v>-9.2517113818737347</v>
      </c>
    </row>
    <row r="563" spans="1:34" x14ac:dyDescent="0.2">
      <c r="A563" s="347">
        <f t="shared" ca="1" si="238"/>
        <v>1E-4</v>
      </c>
      <c r="B563" s="304">
        <f t="shared" ca="1" si="239"/>
        <v>37.105400000000401</v>
      </c>
      <c r="D563" s="306">
        <f t="shared" ca="1" si="240"/>
        <v>-0.6427780894891223</v>
      </c>
      <c r="E563" s="307">
        <f t="shared" ca="1" si="241"/>
        <v>-0.58062551304359111</v>
      </c>
      <c r="F563" s="304">
        <f t="shared" ca="1" si="242"/>
        <v>0.86619262218309123</v>
      </c>
      <c r="G563" s="306">
        <f t="shared" ca="1" si="243"/>
        <v>7.2388560874725139</v>
      </c>
      <c r="H563" s="307">
        <f t="shared" ca="1" si="244"/>
        <v>-103.94060616919091</v>
      </c>
      <c r="I563" s="304">
        <f t="shared" ca="1" si="245"/>
        <v>104.19237327306632</v>
      </c>
      <c r="J563" s="306">
        <f t="shared" ca="1" si="246"/>
        <v>837.4075040097224</v>
      </c>
      <c r="K563" s="307">
        <f t="shared" ca="1" si="247"/>
        <v>-10.89547108649529</v>
      </c>
      <c r="L563" s="304">
        <f t="shared" ca="1" si="232"/>
        <v>837.47838125051908</v>
      </c>
      <c r="M563" s="306">
        <f t="shared" ca="1" si="248"/>
        <v>-1.5012644399490913</v>
      </c>
      <c r="N563" s="304">
        <f t="shared" ca="1" si="249"/>
        <v>-86.016116342154149</v>
      </c>
      <c r="P563" s="310">
        <f t="shared" ca="1" si="250"/>
        <v>23</v>
      </c>
      <c r="Q563" s="304">
        <f t="shared" ca="1" si="251"/>
        <v>0</v>
      </c>
      <c r="R563" s="306">
        <f t="shared" ca="1" si="252"/>
        <v>0</v>
      </c>
      <c r="S563" s="307">
        <f t="shared" ca="1" si="253"/>
        <v>2.9362999999999984</v>
      </c>
      <c r="T563" s="304">
        <f t="shared" ca="1" si="233"/>
        <v>28.805102999999985</v>
      </c>
      <c r="U563" s="311">
        <f t="shared" ca="1" si="234"/>
        <v>0</v>
      </c>
      <c r="V563" s="306">
        <f t="shared" ca="1" si="235"/>
        <v>1.2263354227110728</v>
      </c>
      <c r="W563" s="304">
        <f t="shared" ca="1" si="236"/>
        <v>27.165912354663536</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0.53456449348792745</v>
      </c>
      <c r="AH563" s="304">
        <f t="shared" ca="1" si="260"/>
        <v>-9.2517304917949907</v>
      </c>
    </row>
    <row r="564" spans="1:34" x14ac:dyDescent="0.2">
      <c r="A564" s="347">
        <f t="shared" ca="1" si="238"/>
        <v>1E-4</v>
      </c>
      <c r="B564" s="304">
        <f t="shared" ca="1" si="239"/>
        <v>37.105500000000404</v>
      </c>
      <c r="D564" s="306">
        <f t="shared" ca="1" si="240"/>
        <v>-0.6427733798377484</v>
      </c>
      <c r="E564" s="307">
        <f t="shared" ca="1" si="241"/>
        <v>-0.58060602912437531</v>
      </c>
      <c r="F564" s="304">
        <f t="shared" ca="1" si="242"/>
        <v>0.86617606690765669</v>
      </c>
      <c r="G564" s="306">
        <f t="shared" ca="1" si="243"/>
        <v>7.2387918101345301</v>
      </c>
      <c r="H564" s="307">
        <f t="shared" ca="1" si="244"/>
        <v>-103.94066422979382</v>
      </c>
      <c r="I564" s="304">
        <f t="shared" ca="1" si="245"/>
        <v>104.19242672767159</v>
      </c>
      <c r="J564" s="306">
        <f t="shared" ca="1" si="246"/>
        <v>837.4075040097224</v>
      </c>
      <c r="K564" s="307">
        <f t="shared" ca="1" si="247"/>
        <v>-10.90586515001524</v>
      </c>
      <c r="L564" s="304">
        <f t="shared" ca="1" si="232"/>
        <v>837.47851654025339</v>
      </c>
      <c r="M564" s="306">
        <f t="shared" ca="1" si="248"/>
        <v>-1.5012650940833072</v>
      </c>
      <c r="N564" s="304">
        <f t="shared" ca="1" si="249"/>
        <v>-86.016153821283964</v>
      </c>
      <c r="P564" s="310">
        <f t="shared" ca="1" si="250"/>
        <v>23</v>
      </c>
      <c r="Q564" s="304">
        <f t="shared" ca="1" si="251"/>
        <v>0</v>
      </c>
      <c r="R564" s="306">
        <f t="shared" ca="1" si="252"/>
        <v>0</v>
      </c>
      <c r="S564" s="307">
        <f t="shared" ca="1" si="253"/>
        <v>2.9362999999999984</v>
      </c>
      <c r="T564" s="304">
        <f t="shared" ca="1" si="233"/>
        <v>28.805102999999985</v>
      </c>
      <c r="U564" s="311">
        <f t="shared" ca="1" si="234"/>
        <v>0</v>
      </c>
      <c r="V564" s="306">
        <f t="shared" ca="1" si="235"/>
        <v>1.2263366973729419</v>
      </c>
      <c r="W564" s="304">
        <f t="shared" ca="1" si="236"/>
        <v>27.165968465413609</v>
      </c>
      <c r="Y564" s="314" t="str">
        <f t="shared" ca="1" si="254"/>
        <v/>
      </c>
      <c r="Z564" s="315" t="str">
        <f t="shared" ca="1" si="255"/>
        <v/>
      </c>
      <c r="AA564" s="316" t="str">
        <f t="shared" ca="1" si="256"/>
        <v/>
      </c>
      <c r="AC564" s="310" t="e">
        <f t="shared" ca="1" si="257"/>
        <v>#N/A</v>
      </c>
      <c r="AD564" s="323" t="e">
        <f t="shared" ca="1" si="258"/>
        <v>#N/A</v>
      </c>
      <c r="AE564" s="324" t="e">
        <f t="shared" ca="1" si="237"/>
        <v>#N/A</v>
      </c>
      <c r="AG564" s="306">
        <f t="shared" ca="1" si="259"/>
        <v>0.53454582969527209</v>
      </c>
      <c r="AH564" s="304">
        <f t="shared" ca="1" si="260"/>
        <v>-9.2517496014247698</v>
      </c>
    </row>
    <row r="565" spans="1:34" x14ac:dyDescent="0.2">
      <c r="A565" s="347">
        <f t="shared" ca="1" si="238"/>
        <v>1E-4</v>
      </c>
      <c r="B565" s="304">
        <f t="shared" ca="1" si="239"/>
        <v>37.105600000000408</v>
      </c>
      <c r="D565" s="306">
        <f t="shared" ca="1" si="240"/>
        <v>-0.64276867020071293</v>
      </c>
      <c r="E565" s="307">
        <f t="shared" ca="1" si="241"/>
        <v>-0.58058654550230493</v>
      </c>
      <c r="F565" s="304">
        <f t="shared" ca="1" si="242"/>
        <v>0.86615951198950236</v>
      </c>
      <c r="G565" s="306">
        <f t="shared" ca="1" si="243"/>
        <v>7.2387275332675101</v>
      </c>
      <c r="H565" s="307">
        <f t="shared" ca="1" si="244"/>
        <v>-103.94072228844837</v>
      </c>
      <c r="I565" s="304">
        <f t="shared" ca="1" si="245"/>
        <v>104.19248018041048</v>
      </c>
      <c r="J565" s="306">
        <f t="shared" ca="1" si="246"/>
        <v>837.4075040097224</v>
      </c>
      <c r="K565" s="307">
        <f t="shared" ca="1" si="247"/>
        <v>-10.916259219341152</v>
      </c>
      <c r="L565" s="304">
        <f t="shared" ca="1" si="232"/>
        <v>837.47865195904376</v>
      </c>
      <c r="M565" s="306">
        <f t="shared" ca="1" si="248"/>
        <v>-1.5012657482110436</v>
      </c>
      <c r="N565" s="304">
        <f t="shared" ca="1" si="249"/>
        <v>-86.016191300042522</v>
      </c>
      <c r="P565" s="310">
        <f t="shared" ca="1" si="250"/>
        <v>23</v>
      </c>
      <c r="Q565" s="304">
        <f t="shared" ca="1" si="251"/>
        <v>0</v>
      </c>
      <c r="R565" s="306">
        <f t="shared" ca="1" si="252"/>
        <v>0</v>
      </c>
      <c r="S565" s="307">
        <f t="shared" ca="1" si="253"/>
        <v>2.9362999999999984</v>
      </c>
      <c r="T565" s="304">
        <f t="shared" ca="1" si="233"/>
        <v>28.805102999999985</v>
      </c>
      <c r="U565" s="311">
        <f t="shared" ca="1" si="234"/>
        <v>0</v>
      </c>
      <c r="V565" s="306">
        <f t="shared" ca="1" si="235"/>
        <v>1.2263379720368486</v>
      </c>
      <c r="W565" s="304">
        <f t="shared" ca="1" si="236"/>
        <v>27.16602457530783</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0.53452716618548379</v>
      </c>
      <c r="AH565" s="304">
        <f t="shared" ca="1" si="260"/>
        <v>-9.2517687107630771</v>
      </c>
    </row>
    <row r="566" spans="1:34" x14ac:dyDescent="0.2">
      <c r="A566" s="347">
        <f t="shared" ca="1" si="238"/>
        <v>1E-4</v>
      </c>
      <c r="B566" s="304">
        <f t="shared" ca="1" si="239"/>
        <v>37.105700000000411</v>
      </c>
      <c r="D566" s="306">
        <f t="shared" ca="1" si="240"/>
        <v>-0.64276396057801477</v>
      </c>
      <c r="E566" s="307">
        <f t="shared" ca="1" si="241"/>
        <v>-0.58056706217737819</v>
      </c>
      <c r="F566" s="304">
        <f t="shared" ca="1" si="242"/>
        <v>0.86614295742862646</v>
      </c>
      <c r="G566" s="306">
        <f t="shared" ca="1" si="243"/>
        <v>7.238663256871452</v>
      </c>
      <c r="H566" s="307">
        <f t="shared" ca="1" si="244"/>
        <v>-103.94078034515459</v>
      </c>
      <c r="I566" s="304">
        <f t="shared" ca="1" si="245"/>
        <v>104.19253363128308</v>
      </c>
      <c r="J566" s="306">
        <f t="shared" ca="1" si="246"/>
        <v>837.4075040097224</v>
      </c>
      <c r="K566" s="307">
        <f t="shared" ca="1" si="247"/>
        <v>-10.926653294472832</v>
      </c>
      <c r="L566" s="304">
        <f t="shared" ca="1" si="232"/>
        <v>837.47878750689017</v>
      </c>
      <c r="M566" s="306">
        <f t="shared" ca="1" si="248"/>
        <v>-1.5012664023323006</v>
      </c>
      <c r="N566" s="304">
        <f t="shared" ca="1" si="249"/>
        <v>-86.016228778429834</v>
      </c>
      <c r="P566" s="310">
        <f t="shared" ca="1" si="250"/>
        <v>23</v>
      </c>
      <c r="Q566" s="304">
        <f t="shared" ca="1" si="251"/>
        <v>0</v>
      </c>
      <c r="R566" s="306">
        <f t="shared" ca="1" si="252"/>
        <v>0</v>
      </c>
      <c r="S566" s="307">
        <f t="shared" ca="1" si="253"/>
        <v>2.9362999999999984</v>
      </c>
      <c r="T566" s="304">
        <f t="shared" ca="1" si="233"/>
        <v>28.805102999999985</v>
      </c>
      <c r="U566" s="311">
        <f t="shared" ca="1" si="234"/>
        <v>0</v>
      </c>
      <c r="V566" s="306">
        <f t="shared" ca="1" si="235"/>
        <v>1.2263392467027927</v>
      </c>
      <c r="W566" s="304">
        <f t="shared" ca="1" si="236"/>
        <v>27.166080684346223</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0.53450850295856256</v>
      </c>
      <c r="AH566" s="304">
        <f t="shared" ca="1" si="260"/>
        <v>-9.2517878198099126</v>
      </c>
    </row>
    <row r="567" spans="1:34" x14ac:dyDescent="0.2">
      <c r="A567" s="347">
        <f t="shared" ca="1" si="238"/>
        <v>1E-4</v>
      </c>
      <c r="B567" s="304">
        <f t="shared" ca="1" si="239"/>
        <v>37.105800000000414</v>
      </c>
      <c r="D567" s="306">
        <f t="shared" ca="1" si="240"/>
        <v>-0.64275925096965514</v>
      </c>
      <c r="E567" s="307">
        <f t="shared" ca="1" si="241"/>
        <v>-0.58054757914959154</v>
      </c>
      <c r="F567" s="304">
        <f t="shared" ca="1" si="242"/>
        <v>0.86612640322502776</v>
      </c>
      <c r="G567" s="306">
        <f t="shared" ca="1" si="243"/>
        <v>7.2385989809463549</v>
      </c>
      <c r="H567" s="307">
        <f t="shared" ca="1" si="244"/>
        <v>-103.94083839991251</v>
      </c>
      <c r="I567" s="304">
        <f t="shared" ca="1" si="245"/>
        <v>104.19258708028937</v>
      </c>
      <c r="J567" s="306">
        <f t="shared" ca="1" si="246"/>
        <v>837.4075040097224</v>
      </c>
      <c r="K567" s="307">
        <f t="shared" ca="1" si="247"/>
        <v>-10.937047375410085</v>
      </c>
      <c r="L567" s="304">
        <f t="shared" ca="1" si="232"/>
        <v>837.47892318379286</v>
      </c>
      <c r="M567" s="306">
        <f t="shared" ca="1" si="248"/>
        <v>-1.501267056447078</v>
      </c>
      <c r="N567" s="304">
        <f t="shared" ca="1" si="249"/>
        <v>-86.016266256445903</v>
      </c>
      <c r="P567" s="310">
        <f t="shared" ca="1" si="250"/>
        <v>23</v>
      </c>
      <c r="Q567" s="304">
        <f t="shared" ca="1" si="251"/>
        <v>0</v>
      </c>
      <c r="R567" s="306">
        <f t="shared" ca="1" si="252"/>
        <v>0</v>
      </c>
      <c r="S567" s="307">
        <f t="shared" ca="1" si="253"/>
        <v>2.9362999999999984</v>
      </c>
      <c r="T567" s="304">
        <f t="shared" ca="1" si="233"/>
        <v>28.805102999999985</v>
      </c>
      <c r="U567" s="311">
        <f t="shared" ca="1" si="234"/>
        <v>0</v>
      </c>
      <c r="V567" s="306">
        <f t="shared" ca="1" si="235"/>
        <v>1.2263405213707748</v>
      </c>
      <c r="W567" s="304">
        <f t="shared" ca="1" si="236"/>
        <v>27.166136792528796</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0.53448984001450661</v>
      </c>
      <c r="AH567" s="304">
        <f t="shared" ca="1" si="260"/>
        <v>-9.2518069285652818</v>
      </c>
    </row>
    <row r="568" spans="1:34" x14ac:dyDescent="0.2">
      <c r="A568" s="347">
        <f t="shared" ca="1" si="238"/>
        <v>1E-4</v>
      </c>
      <c r="B568" s="304">
        <f t="shared" ca="1" si="239"/>
        <v>37.105900000000418</v>
      </c>
      <c r="D568" s="306">
        <f t="shared" ca="1" si="240"/>
        <v>-0.6427545413756357</v>
      </c>
      <c r="E568" s="307">
        <f t="shared" ca="1" si="241"/>
        <v>-0.58052809641893788</v>
      </c>
      <c r="F568" s="304">
        <f t="shared" ca="1" si="242"/>
        <v>0.86610984937870283</v>
      </c>
      <c r="G568" s="306">
        <f t="shared" ca="1" si="243"/>
        <v>7.2385347054922171</v>
      </c>
      <c r="H568" s="307">
        <f t="shared" ca="1" si="244"/>
        <v>-103.94089645272214</v>
      </c>
      <c r="I568" s="304">
        <f t="shared" ca="1" si="245"/>
        <v>104.19264052742939</v>
      </c>
      <c r="J568" s="306">
        <f t="shared" ca="1" si="246"/>
        <v>837.4075040097224</v>
      </c>
      <c r="K568" s="307">
        <f t="shared" ca="1" si="247"/>
        <v>-10.947441462152717</v>
      </c>
      <c r="L568" s="304">
        <f t="shared" ca="1" si="232"/>
        <v>837.47905898975205</v>
      </c>
      <c r="M568" s="306">
        <f t="shared" ca="1" si="248"/>
        <v>-1.5012677105553762</v>
      </c>
      <c r="N568" s="304">
        <f t="shared" ca="1" si="249"/>
        <v>-86.016303734090727</v>
      </c>
      <c r="P568" s="310">
        <f t="shared" ca="1" si="250"/>
        <v>23</v>
      </c>
      <c r="Q568" s="304">
        <f t="shared" ca="1" si="251"/>
        <v>0</v>
      </c>
      <c r="R568" s="306">
        <f t="shared" ca="1" si="252"/>
        <v>0</v>
      </c>
      <c r="S568" s="307">
        <f t="shared" ca="1" si="253"/>
        <v>2.9362999999999984</v>
      </c>
      <c r="T568" s="304">
        <f t="shared" ca="1" si="233"/>
        <v>28.805102999999985</v>
      </c>
      <c r="U568" s="311">
        <f t="shared" ca="1" si="234"/>
        <v>0</v>
      </c>
      <c r="V568" s="306">
        <f t="shared" ca="1" si="235"/>
        <v>1.2263417960407945</v>
      </c>
      <c r="W568" s="304">
        <f t="shared" ca="1" si="236"/>
        <v>27.16619289985557</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0.53447117735330707</v>
      </c>
      <c r="AH568" s="304">
        <f t="shared" ca="1" si="260"/>
        <v>-9.2518260370291898</v>
      </c>
    </row>
    <row r="569" spans="1:34" x14ac:dyDescent="0.2">
      <c r="A569" s="347">
        <f t="shared" ca="1" si="238"/>
        <v>1E-4</v>
      </c>
      <c r="B569" s="304">
        <f t="shared" ca="1" si="239"/>
        <v>37.106000000000421</v>
      </c>
      <c r="D569" s="306">
        <f t="shared" ca="1" si="240"/>
        <v>-0.64274983179595535</v>
      </c>
      <c r="E569" s="307">
        <f t="shared" ca="1" si="241"/>
        <v>-0.58050861398541187</v>
      </c>
      <c r="F569" s="304">
        <f t="shared" ca="1" si="242"/>
        <v>0.86609329588964767</v>
      </c>
      <c r="G569" s="306">
        <f t="shared" ca="1" si="243"/>
        <v>7.2384704305090377</v>
      </c>
      <c r="H569" s="307">
        <f t="shared" ca="1" si="244"/>
        <v>-103.94095450358354</v>
      </c>
      <c r="I569" s="304">
        <f t="shared" ca="1" si="245"/>
        <v>104.19269397270317</v>
      </c>
      <c r="J569" s="306">
        <f t="shared" ca="1" si="246"/>
        <v>837.4075040097224</v>
      </c>
      <c r="K569" s="307">
        <f t="shared" ca="1" si="247"/>
        <v>-10.957835554700532</v>
      </c>
      <c r="L569" s="304">
        <f t="shared" ca="1" si="232"/>
        <v>837.47919492476774</v>
      </c>
      <c r="M569" s="306">
        <f t="shared" ca="1" si="248"/>
        <v>-1.5012683646571952</v>
      </c>
      <c r="N569" s="304">
        <f t="shared" ca="1" si="249"/>
        <v>-86.01634121136432</v>
      </c>
      <c r="P569" s="310">
        <f t="shared" ca="1" si="250"/>
        <v>23</v>
      </c>
      <c r="Q569" s="304">
        <f t="shared" ca="1" si="251"/>
        <v>0</v>
      </c>
      <c r="R569" s="306">
        <f t="shared" ca="1" si="252"/>
        <v>0</v>
      </c>
      <c r="S569" s="307">
        <f t="shared" ca="1" si="253"/>
        <v>2.9362999999999984</v>
      </c>
      <c r="T569" s="304">
        <f t="shared" ca="1" si="233"/>
        <v>28.805102999999985</v>
      </c>
      <c r="U569" s="311">
        <f t="shared" ca="1" si="234"/>
        <v>0</v>
      </c>
      <c r="V569" s="306">
        <f t="shared" ca="1" si="235"/>
        <v>1.2263430707128515</v>
      </c>
      <c r="W569" s="304">
        <f t="shared" ca="1" si="236"/>
        <v>27.166249006326527</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0.53445251497496038</v>
      </c>
      <c r="AH569" s="304">
        <f t="shared" ca="1" si="260"/>
        <v>-9.2518451452016439</v>
      </c>
    </row>
    <row r="570" spans="1:34" x14ac:dyDescent="0.2">
      <c r="A570" s="347">
        <f t="shared" ca="1" si="238"/>
        <v>1E-4</v>
      </c>
      <c r="B570" s="304">
        <f t="shared" ca="1" si="239"/>
        <v>37.106100000000424</v>
      </c>
      <c r="D570" s="306">
        <f t="shared" ca="1" si="240"/>
        <v>-0.64274512223061486</v>
      </c>
      <c r="E570" s="307">
        <f t="shared" ca="1" si="241"/>
        <v>-0.58048913184902062</v>
      </c>
      <c r="F570" s="304">
        <f t="shared" ca="1" si="242"/>
        <v>0.86607674275786772</v>
      </c>
      <c r="G570" s="306">
        <f t="shared" ca="1" si="243"/>
        <v>7.2384061559968149</v>
      </c>
      <c r="H570" s="307">
        <f t="shared" ca="1" si="244"/>
        <v>-103.94101255249673</v>
      </c>
      <c r="I570" s="304">
        <f t="shared" ca="1" si="245"/>
        <v>104.19274741611076</v>
      </c>
      <c r="J570" s="306">
        <f t="shared" ca="1" si="246"/>
        <v>837.4075040097224</v>
      </c>
      <c r="K570" s="307">
        <f t="shared" ca="1" si="247"/>
        <v>-10.968229653053337</v>
      </c>
      <c r="L570" s="304">
        <f t="shared" ca="1" si="232"/>
        <v>837.47933098884016</v>
      </c>
      <c r="M570" s="306">
        <f t="shared" ca="1" si="248"/>
        <v>-1.5012690187525348</v>
      </c>
      <c r="N570" s="304">
        <f t="shared" ca="1" si="249"/>
        <v>-86.016378688266684</v>
      </c>
      <c r="P570" s="310">
        <f t="shared" ca="1" si="250"/>
        <v>23</v>
      </c>
      <c r="Q570" s="304">
        <f t="shared" ca="1" si="251"/>
        <v>0</v>
      </c>
      <c r="R570" s="306">
        <f t="shared" ca="1" si="252"/>
        <v>0</v>
      </c>
      <c r="S570" s="307">
        <f t="shared" ca="1" si="253"/>
        <v>2.9362999999999984</v>
      </c>
      <c r="T570" s="304">
        <f t="shared" ca="1" si="233"/>
        <v>28.805102999999985</v>
      </c>
      <c r="U570" s="311">
        <f t="shared" ca="1" si="234"/>
        <v>0</v>
      </c>
      <c r="V570" s="306">
        <f t="shared" ca="1" si="235"/>
        <v>1.2263443453869458</v>
      </c>
      <c r="W570" s="304">
        <f t="shared" ca="1" si="236"/>
        <v>27.1663051119417</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0.53443385287947187</v>
      </c>
      <c r="AH570" s="304">
        <f t="shared" ca="1" si="260"/>
        <v>-9.2518642530826352</v>
      </c>
    </row>
    <row r="571" spans="1:34" x14ac:dyDescent="0.2">
      <c r="A571" s="347">
        <f t="shared" ca="1" si="238"/>
        <v>1E-4</v>
      </c>
      <c r="B571" s="304">
        <f t="shared" ca="1" si="239"/>
        <v>37.106200000000428</v>
      </c>
      <c r="D571" s="306">
        <f t="shared" ca="1" si="240"/>
        <v>-0.64274041267961601</v>
      </c>
      <c r="E571" s="307">
        <f t="shared" ca="1" si="241"/>
        <v>-0.58046965000974993</v>
      </c>
      <c r="F571" s="304">
        <f t="shared" ca="1" si="242"/>
        <v>0.86606018998335488</v>
      </c>
      <c r="G571" s="306">
        <f t="shared" ca="1" si="243"/>
        <v>7.238341881955547</v>
      </c>
      <c r="H571" s="307">
        <f t="shared" ca="1" si="244"/>
        <v>-103.94107059946172</v>
      </c>
      <c r="I571" s="304">
        <f t="shared" ca="1" si="245"/>
        <v>104.19280085765214</v>
      </c>
      <c r="J571" s="306">
        <f t="shared" ca="1" si="246"/>
        <v>837.4075040097224</v>
      </c>
      <c r="K571" s="307">
        <f t="shared" ca="1" si="247"/>
        <v>-10.978623757210935</v>
      </c>
      <c r="L571" s="304">
        <f t="shared" ca="1" si="232"/>
        <v>837.47946718196954</v>
      </c>
      <c r="M571" s="306">
        <f t="shared" ca="1" si="248"/>
        <v>-1.5012696728413955</v>
      </c>
      <c r="N571" s="304">
        <f t="shared" ca="1" si="249"/>
        <v>-86.016416164797832</v>
      </c>
      <c r="P571" s="310">
        <f t="shared" ca="1" si="250"/>
        <v>23</v>
      </c>
      <c r="Q571" s="304">
        <f t="shared" ca="1" si="251"/>
        <v>0</v>
      </c>
      <c r="R571" s="306">
        <f t="shared" ca="1" si="252"/>
        <v>0</v>
      </c>
      <c r="S571" s="307">
        <f t="shared" ca="1" si="253"/>
        <v>2.9362999999999984</v>
      </c>
      <c r="T571" s="304">
        <f t="shared" ca="1" si="233"/>
        <v>28.805102999999985</v>
      </c>
      <c r="U571" s="311">
        <f t="shared" ca="1" si="234"/>
        <v>0</v>
      </c>
      <c r="V571" s="306">
        <f t="shared" ca="1" si="235"/>
        <v>1.2263456200630782</v>
      </c>
      <c r="W571" s="304">
        <f t="shared" ca="1" si="236"/>
        <v>27.166361216701095</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0.53441519106682911</v>
      </c>
      <c r="AH571" s="304">
        <f t="shared" ca="1" si="260"/>
        <v>-9.2518833606721778</v>
      </c>
    </row>
    <row r="572" spans="1:34" x14ac:dyDescent="0.2">
      <c r="A572" s="347">
        <f t="shared" ca="1" si="238"/>
        <v>1E-4</v>
      </c>
      <c r="B572" s="304">
        <f t="shared" ca="1" si="239"/>
        <v>37.106300000000431</v>
      </c>
      <c r="D572" s="306">
        <f t="shared" ca="1" si="240"/>
        <v>-0.64273570314295758</v>
      </c>
      <c r="E572" s="307">
        <f t="shared" ca="1" si="241"/>
        <v>-0.58045016846760156</v>
      </c>
      <c r="F572" s="304">
        <f t="shared" ca="1" si="242"/>
        <v>0.86604363756610969</v>
      </c>
      <c r="G572" s="306">
        <f t="shared" ca="1" si="243"/>
        <v>7.2382776083852329</v>
      </c>
      <c r="H572" s="307">
        <f t="shared" ca="1" si="244"/>
        <v>-103.94112864447857</v>
      </c>
      <c r="I572" s="304">
        <f t="shared" ca="1" si="245"/>
        <v>104.19285429732739</v>
      </c>
      <c r="J572" s="306">
        <f t="shared" ca="1" si="246"/>
        <v>837.4075040097224</v>
      </c>
      <c r="K572" s="307">
        <f t="shared" ca="1" si="247"/>
        <v>-10.989017867173132</v>
      </c>
      <c r="L572" s="304">
        <f t="shared" ca="1" si="232"/>
        <v>837.47960350415599</v>
      </c>
      <c r="M572" s="306">
        <f t="shared" ca="1" si="248"/>
        <v>-1.5012703269237773</v>
      </c>
      <c r="N572" s="304">
        <f t="shared" ca="1" si="249"/>
        <v>-86.016453640957764</v>
      </c>
      <c r="P572" s="310">
        <f t="shared" ca="1" si="250"/>
        <v>23</v>
      </c>
      <c r="Q572" s="304">
        <f t="shared" ca="1" si="251"/>
        <v>0</v>
      </c>
      <c r="R572" s="306">
        <f t="shared" ca="1" si="252"/>
        <v>0</v>
      </c>
      <c r="S572" s="307">
        <f t="shared" ca="1" si="253"/>
        <v>2.9362999999999984</v>
      </c>
      <c r="T572" s="304">
        <f t="shared" ca="1" si="233"/>
        <v>28.805102999999985</v>
      </c>
      <c r="U572" s="311">
        <f t="shared" ca="1" si="234"/>
        <v>0</v>
      </c>
      <c r="V572" s="306">
        <f t="shared" ca="1" si="235"/>
        <v>1.2263468947412477</v>
      </c>
      <c r="W572" s="304">
        <f t="shared" ca="1" si="236"/>
        <v>27.166417320604715</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0.53439652953703387</v>
      </c>
      <c r="AH572" s="304">
        <f t="shared" ca="1" si="260"/>
        <v>-9.2519024679702717</v>
      </c>
    </row>
    <row r="573" spans="1:34" x14ac:dyDescent="0.2">
      <c r="A573" s="347">
        <f t="shared" ca="1" si="238"/>
        <v>1E-4</v>
      </c>
      <c r="B573" s="304">
        <f t="shared" ca="1" si="239"/>
        <v>37.106400000000434</v>
      </c>
      <c r="D573" s="306">
        <f t="shared" ca="1" si="240"/>
        <v>-0.6427309936206389</v>
      </c>
      <c r="E573" s="307">
        <f t="shared" ca="1" si="241"/>
        <v>-0.58043068722257019</v>
      </c>
      <c r="F573" s="304">
        <f t="shared" ca="1" si="242"/>
        <v>0.86602708550612828</v>
      </c>
      <c r="G573" s="306">
        <f t="shared" ca="1" si="243"/>
        <v>7.2382133352858711</v>
      </c>
      <c r="H573" s="307">
        <f t="shared" ca="1" si="244"/>
        <v>-103.94118668754729</v>
      </c>
      <c r="I573" s="304">
        <f t="shared" ca="1" si="245"/>
        <v>104.1929077351365</v>
      </c>
      <c r="J573" s="306">
        <f t="shared" ca="1" si="246"/>
        <v>837.4075040097224</v>
      </c>
      <c r="K573" s="307">
        <f t="shared" ca="1" si="247"/>
        <v>-10.999411982939733</v>
      </c>
      <c r="L573" s="304">
        <f t="shared" ca="1" si="232"/>
        <v>837.47973995539951</v>
      </c>
      <c r="M573" s="306">
        <f t="shared" ca="1" si="248"/>
        <v>-1.50127098099968</v>
      </c>
      <c r="N573" s="304">
        <f t="shared" ca="1" si="249"/>
        <v>-86.016491116746465</v>
      </c>
      <c r="P573" s="310">
        <f t="shared" ca="1" si="250"/>
        <v>23</v>
      </c>
      <c r="Q573" s="304">
        <f t="shared" ca="1" si="251"/>
        <v>0</v>
      </c>
      <c r="R573" s="306">
        <f t="shared" ca="1" si="252"/>
        <v>0</v>
      </c>
      <c r="S573" s="307">
        <f t="shared" ca="1" si="253"/>
        <v>2.9362999999999984</v>
      </c>
      <c r="T573" s="304">
        <f t="shared" ca="1" si="233"/>
        <v>28.805102999999985</v>
      </c>
      <c r="U573" s="311">
        <f t="shared" ca="1" si="234"/>
        <v>0</v>
      </c>
      <c r="V573" s="306">
        <f t="shared" ca="1" si="235"/>
        <v>1.2263481694214546</v>
      </c>
      <c r="W573" s="304">
        <f t="shared" ca="1" si="236"/>
        <v>27.166473423652569</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0.53437786829008083</v>
      </c>
      <c r="AH573" s="304">
        <f t="shared" ca="1" si="260"/>
        <v>-9.2519215749769206</v>
      </c>
    </row>
    <row r="574" spans="1:34" x14ac:dyDescent="0.2">
      <c r="A574" s="347">
        <f t="shared" ca="1" si="238"/>
        <v>1E-4</v>
      </c>
      <c r="B574" s="304">
        <f t="shared" ca="1" si="239"/>
        <v>37.106500000000437</v>
      </c>
      <c r="D574" s="306">
        <f t="shared" ca="1" si="240"/>
        <v>-0.64272628411266286</v>
      </c>
      <c r="E574" s="307">
        <f t="shared" ca="1" si="241"/>
        <v>-0.58041120627465581</v>
      </c>
      <c r="F574" s="304">
        <f t="shared" ca="1" si="242"/>
        <v>0.86601053380341309</v>
      </c>
      <c r="G574" s="306">
        <f t="shared" ca="1" si="243"/>
        <v>7.2381490626574596</v>
      </c>
      <c r="H574" s="307">
        <f t="shared" ca="1" si="244"/>
        <v>-103.94124472866791</v>
      </c>
      <c r="I574" s="304">
        <f t="shared" ca="1" si="245"/>
        <v>104.19296117107952</v>
      </c>
      <c r="J574" s="306">
        <f t="shared" ca="1" si="246"/>
        <v>837.4075040097224</v>
      </c>
      <c r="K574" s="307">
        <f t="shared" ca="1" si="247"/>
        <v>-11.009806104510544</v>
      </c>
      <c r="L574" s="304">
        <f t="shared" ca="1" si="232"/>
        <v>837.47987653570044</v>
      </c>
      <c r="M574" s="306">
        <f t="shared" ca="1" si="248"/>
        <v>-1.501271635069104</v>
      </c>
      <c r="N574" s="304">
        <f t="shared" ca="1" si="249"/>
        <v>-86.016528592163965</v>
      </c>
      <c r="P574" s="310">
        <f t="shared" ca="1" si="250"/>
        <v>23</v>
      </c>
      <c r="Q574" s="304">
        <f t="shared" ca="1" si="251"/>
        <v>0</v>
      </c>
      <c r="R574" s="306">
        <f t="shared" ca="1" si="252"/>
        <v>0</v>
      </c>
      <c r="S574" s="307">
        <f t="shared" ca="1" si="253"/>
        <v>2.9362999999999984</v>
      </c>
      <c r="T574" s="304">
        <f t="shared" ca="1" si="233"/>
        <v>28.805102999999985</v>
      </c>
      <c r="U574" s="311">
        <f t="shared" ca="1" si="234"/>
        <v>0</v>
      </c>
      <c r="V574" s="306">
        <f t="shared" ca="1" si="235"/>
        <v>1.2263494441036993</v>
      </c>
      <c r="W574" s="304">
        <f t="shared" ca="1" si="236"/>
        <v>27.16652952584468</v>
      </c>
      <c r="Y574" s="314" t="str">
        <f t="shared" ca="1" si="254"/>
        <v/>
      </c>
      <c r="Z574" s="315" t="str">
        <f t="shared" ca="1" si="255"/>
        <v/>
      </c>
      <c r="AA574" s="316" t="str">
        <f t="shared" ca="1" si="256"/>
        <v/>
      </c>
      <c r="AC574" s="310" t="e">
        <f t="shared" ca="1" si="257"/>
        <v>#N/A</v>
      </c>
      <c r="AD574" s="323" t="e">
        <f t="shared" ca="1" si="258"/>
        <v>#N/A</v>
      </c>
      <c r="AE574" s="324" t="e">
        <f t="shared" ca="1" si="237"/>
        <v>#N/A</v>
      </c>
      <c r="AG574" s="306">
        <f t="shared" ca="1" si="259"/>
        <v>0.53435920732597175</v>
      </c>
      <c r="AH574" s="304">
        <f t="shared" ca="1" si="260"/>
        <v>-9.2519406816921244</v>
      </c>
    </row>
    <row r="575" spans="1:34" x14ac:dyDescent="0.2">
      <c r="A575" s="347">
        <f t="shared" ca="1" si="238"/>
        <v>1E-4</v>
      </c>
      <c r="B575" s="304">
        <f t="shared" ca="1" si="239"/>
        <v>37.106600000000441</v>
      </c>
      <c r="D575" s="306">
        <f t="shared" ca="1" si="240"/>
        <v>-0.6427215746190289</v>
      </c>
      <c r="E575" s="307">
        <f t="shared" ca="1" si="241"/>
        <v>-0.58039172562384955</v>
      </c>
      <c r="F575" s="304">
        <f t="shared" ca="1" si="242"/>
        <v>0.86599398245795789</v>
      </c>
      <c r="G575" s="306">
        <f t="shared" ca="1" si="243"/>
        <v>7.2380847904999976</v>
      </c>
      <c r="H575" s="307">
        <f t="shared" ca="1" si="244"/>
        <v>-103.94130276784047</v>
      </c>
      <c r="I575" s="304">
        <f t="shared" ca="1" si="245"/>
        <v>104.19301460515646</v>
      </c>
      <c r="J575" s="306">
        <f t="shared" ca="1" si="246"/>
        <v>837.4075040097224</v>
      </c>
      <c r="K575" s="307">
        <f t="shared" ca="1" si="247"/>
        <v>-11.020200231885369</v>
      </c>
      <c r="L575" s="304">
        <f t="shared" ca="1" si="232"/>
        <v>837.4800132450589</v>
      </c>
      <c r="M575" s="306">
        <f t="shared" ca="1" si="248"/>
        <v>-1.5012722891320491</v>
      </c>
      <c r="N575" s="304">
        <f t="shared" ca="1" si="249"/>
        <v>-86.016566067210263</v>
      </c>
      <c r="P575" s="310">
        <f t="shared" ca="1" si="250"/>
        <v>23</v>
      </c>
      <c r="Q575" s="304">
        <f t="shared" ca="1" si="251"/>
        <v>0</v>
      </c>
      <c r="R575" s="306">
        <f t="shared" ca="1" si="252"/>
        <v>0</v>
      </c>
      <c r="S575" s="307">
        <f t="shared" ca="1" si="253"/>
        <v>2.9362999999999984</v>
      </c>
      <c r="T575" s="304">
        <f t="shared" ca="1" si="233"/>
        <v>28.805102999999985</v>
      </c>
      <c r="U575" s="311">
        <f t="shared" ca="1" si="234"/>
        <v>0</v>
      </c>
      <c r="V575" s="306">
        <f t="shared" ca="1" si="235"/>
        <v>1.2263507187879807</v>
      </c>
      <c r="W575" s="304">
        <f t="shared" ca="1" si="236"/>
        <v>27.166585627181036</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0.53434054664469421</v>
      </c>
      <c r="AH575" s="304">
        <f t="shared" ca="1" si="260"/>
        <v>-9.2519597881158919</v>
      </c>
    </row>
    <row r="576" spans="1:34" x14ac:dyDescent="0.2">
      <c r="A576" s="347">
        <f t="shared" ca="1" si="238"/>
        <v>1E-4</v>
      </c>
      <c r="B576" s="304">
        <f t="shared" ca="1" si="239"/>
        <v>37.106700000000444</v>
      </c>
      <c r="D576" s="306">
        <f t="shared" ca="1" si="240"/>
        <v>-0.64271686513973803</v>
      </c>
      <c r="E576" s="307">
        <f t="shared" ca="1" si="241"/>
        <v>-0.58037224527015496</v>
      </c>
      <c r="F576" s="304">
        <f t="shared" ca="1" si="242"/>
        <v>0.86597743146976591</v>
      </c>
      <c r="G576" s="306">
        <f t="shared" ca="1" si="243"/>
        <v>7.2380205188134834</v>
      </c>
      <c r="H576" s="307">
        <f t="shared" ca="1" si="244"/>
        <v>-103.941360805065</v>
      </c>
      <c r="I576" s="304">
        <f t="shared" ca="1" si="245"/>
        <v>104.19306803736738</v>
      </c>
      <c r="J576" s="306">
        <f t="shared" ca="1" si="246"/>
        <v>837.4075040097224</v>
      </c>
      <c r="K576" s="307">
        <f t="shared" ca="1" si="247"/>
        <v>-11.030594365064013</v>
      </c>
      <c r="L576" s="304">
        <f t="shared" ca="1" si="232"/>
        <v>837.480150083475</v>
      </c>
      <c r="M576" s="306">
        <f t="shared" ca="1" si="248"/>
        <v>-1.5012729431885157</v>
      </c>
      <c r="N576" s="304">
        <f t="shared" ca="1" si="249"/>
        <v>-86.01660354188536</v>
      </c>
      <c r="P576" s="310">
        <f t="shared" ca="1" si="250"/>
        <v>23</v>
      </c>
      <c r="Q576" s="304">
        <f t="shared" ca="1" si="251"/>
        <v>0</v>
      </c>
      <c r="R576" s="306">
        <f t="shared" ca="1" si="252"/>
        <v>0</v>
      </c>
      <c r="S576" s="307">
        <f t="shared" ca="1" si="253"/>
        <v>2.9362999999999984</v>
      </c>
      <c r="T576" s="304">
        <f t="shared" ca="1" si="233"/>
        <v>28.805102999999985</v>
      </c>
      <c r="U576" s="311">
        <f t="shared" ca="1" si="234"/>
        <v>0</v>
      </c>
      <c r="V576" s="306">
        <f t="shared" ca="1" si="235"/>
        <v>1.2263519934743004</v>
      </c>
      <c r="W576" s="304">
        <f t="shared" ca="1" si="236"/>
        <v>27.166641727661681</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0.53432188624625354</v>
      </c>
      <c r="AH576" s="304">
        <f t="shared" ca="1" si="260"/>
        <v>-9.2519788942482215</v>
      </c>
    </row>
    <row r="577" spans="1:34" x14ac:dyDescent="0.2">
      <c r="A577" s="347">
        <f t="shared" ca="1" si="238"/>
        <v>1E-4</v>
      </c>
      <c r="B577" s="304">
        <f t="shared" ca="1" si="239"/>
        <v>37.106800000000447</v>
      </c>
      <c r="D577" s="306">
        <f t="shared" ca="1" si="240"/>
        <v>-0.6427121556747899</v>
      </c>
      <c r="E577" s="307">
        <f t="shared" ca="1" si="241"/>
        <v>-0.58035276521355783</v>
      </c>
      <c r="F577" s="304">
        <f t="shared" ca="1" si="242"/>
        <v>0.86596088083882761</v>
      </c>
      <c r="G577" s="306">
        <f t="shared" ca="1" si="243"/>
        <v>7.237956247597916</v>
      </c>
      <c r="H577" s="307">
        <f t="shared" ca="1" si="244"/>
        <v>-103.94141884034153</v>
      </c>
      <c r="I577" s="304">
        <f t="shared" ca="1" si="245"/>
        <v>104.19312146771229</v>
      </c>
      <c r="J577" s="306">
        <f t="shared" ca="1" si="246"/>
        <v>837.4075040097224</v>
      </c>
      <c r="K577" s="307">
        <f t="shared" ca="1" si="247"/>
        <v>-11.040988504046284</v>
      </c>
      <c r="L577" s="304">
        <f t="shared" ca="1" si="232"/>
        <v>837.48028705094885</v>
      </c>
      <c r="M577" s="306">
        <f t="shared" ca="1" si="248"/>
        <v>-1.5012735972385036</v>
      </c>
      <c r="N577" s="304">
        <f t="shared" ca="1" si="249"/>
        <v>-86.016641016189254</v>
      </c>
      <c r="P577" s="310">
        <f t="shared" ca="1" si="250"/>
        <v>23</v>
      </c>
      <c r="Q577" s="304">
        <f t="shared" ca="1" si="251"/>
        <v>0</v>
      </c>
      <c r="R577" s="306">
        <f t="shared" ca="1" si="252"/>
        <v>0</v>
      </c>
      <c r="S577" s="307">
        <f t="shared" ca="1" si="253"/>
        <v>2.9362999999999984</v>
      </c>
      <c r="T577" s="304">
        <f t="shared" ca="1" si="233"/>
        <v>28.805102999999985</v>
      </c>
      <c r="U577" s="311">
        <f t="shared" ca="1" si="234"/>
        <v>0</v>
      </c>
      <c r="V577" s="306">
        <f t="shared" ca="1" si="235"/>
        <v>1.226353268162657</v>
      </c>
      <c r="W577" s="304">
        <f t="shared" ca="1" si="236"/>
        <v>27.166697827286598</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0.53430322613064085</v>
      </c>
      <c r="AH577" s="304">
        <f t="shared" ca="1" si="260"/>
        <v>-9.2519980000891238</v>
      </c>
    </row>
    <row r="578" spans="1:34" x14ac:dyDescent="0.2">
      <c r="A578" s="347">
        <f t="shared" ca="1" si="238"/>
        <v>1E-4</v>
      </c>
      <c r="B578" s="304">
        <f t="shared" ca="1" si="239"/>
        <v>37.106900000000451</v>
      </c>
      <c r="D578" s="306">
        <f t="shared" ca="1" si="240"/>
        <v>-0.64270744622418519</v>
      </c>
      <c r="E578" s="307">
        <f t="shared" ca="1" si="241"/>
        <v>-0.58033328545406349</v>
      </c>
      <c r="F578" s="304">
        <f t="shared" ca="1" si="242"/>
        <v>0.86594433056514741</v>
      </c>
      <c r="G578" s="306">
        <f t="shared" ca="1" si="243"/>
        <v>7.2378919768532937</v>
      </c>
      <c r="H578" s="307">
        <f t="shared" ca="1" si="244"/>
        <v>-103.94147687367007</v>
      </c>
      <c r="I578" s="304">
        <f t="shared" ca="1" si="245"/>
        <v>104.19317489619119</v>
      </c>
      <c r="J578" s="306">
        <f t="shared" ca="1" si="246"/>
        <v>837.4075040097224</v>
      </c>
      <c r="K578" s="307">
        <f t="shared" ca="1" si="247"/>
        <v>-11.051382648831986</v>
      </c>
      <c r="L578" s="304">
        <f t="shared" ca="1" si="232"/>
        <v>837.48042414748068</v>
      </c>
      <c r="M578" s="306">
        <f t="shared" ca="1" si="248"/>
        <v>-1.501274251282013</v>
      </c>
      <c r="N578" s="304">
        <f t="shared" ca="1" si="249"/>
        <v>-86.016678490121961</v>
      </c>
      <c r="P578" s="310">
        <f t="shared" ca="1" si="250"/>
        <v>23</v>
      </c>
      <c r="Q578" s="304">
        <f t="shared" ca="1" si="251"/>
        <v>0</v>
      </c>
      <c r="R578" s="306">
        <f t="shared" ca="1" si="252"/>
        <v>0</v>
      </c>
      <c r="S578" s="307">
        <f t="shared" ca="1" si="253"/>
        <v>2.9362999999999984</v>
      </c>
      <c r="T578" s="304">
        <f t="shared" ca="1" si="233"/>
        <v>28.805102999999985</v>
      </c>
      <c r="U578" s="311">
        <f t="shared" ca="1" si="234"/>
        <v>0</v>
      </c>
      <c r="V578" s="306">
        <f t="shared" ca="1" si="235"/>
        <v>1.2263545428530511</v>
      </c>
      <c r="W578" s="304">
        <f t="shared" ca="1" si="236"/>
        <v>27.166753926055797</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0.53428456629785437</v>
      </c>
      <c r="AH578" s="304">
        <f t="shared" ca="1" si="260"/>
        <v>-9.2520171056385969</v>
      </c>
    </row>
    <row r="579" spans="1:34" x14ac:dyDescent="0.2">
      <c r="A579" s="347">
        <f t="shared" ca="1" si="238"/>
        <v>1E-4</v>
      </c>
      <c r="B579" s="304">
        <f t="shared" ca="1" si="239"/>
        <v>37.107000000000454</v>
      </c>
      <c r="D579" s="306">
        <f t="shared" ca="1" si="240"/>
        <v>-0.642702736787925</v>
      </c>
      <c r="E579" s="307">
        <f t="shared" ca="1" si="241"/>
        <v>-0.58031380599166837</v>
      </c>
      <c r="F579" s="304">
        <f t="shared" ca="1" si="242"/>
        <v>0.86592778064872389</v>
      </c>
      <c r="G579" s="306">
        <f t="shared" ca="1" si="243"/>
        <v>7.2378277065796146</v>
      </c>
      <c r="H579" s="307">
        <f t="shared" ca="1" si="244"/>
        <v>-103.94153490505067</v>
      </c>
      <c r="I579" s="304">
        <f t="shared" ca="1" si="245"/>
        <v>104.19322832280416</v>
      </c>
      <c r="J579" s="306">
        <f t="shared" ca="1" si="246"/>
        <v>837.4075040097224</v>
      </c>
      <c r="K579" s="307">
        <f t="shared" ca="1" si="247"/>
        <v>-11.061776799420922</v>
      </c>
      <c r="L579" s="304">
        <f t="shared" ca="1" si="232"/>
        <v>837.4805613730706</v>
      </c>
      <c r="M579" s="306">
        <f t="shared" ca="1" si="248"/>
        <v>-1.501274905319044</v>
      </c>
      <c r="N579" s="304">
        <f t="shared" ca="1" si="249"/>
        <v>-86.016715963683481</v>
      </c>
      <c r="P579" s="310">
        <f t="shared" ca="1" si="250"/>
        <v>23</v>
      </c>
      <c r="Q579" s="304">
        <f t="shared" ca="1" si="251"/>
        <v>0</v>
      </c>
      <c r="R579" s="306">
        <f t="shared" ca="1" si="252"/>
        <v>0</v>
      </c>
      <c r="S579" s="307">
        <f t="shared" ca="1" si="253"/>
        <v>2.9362999999999984</v>
      </c>
      <c r="T579" s="304">
        <f t="shared" ca="1" si="233"/>
        <v>28.805102999999985</v>
      </c>
      <c r="U579" s="311">
        <f t="shared" ca="1" si="234"/>
        <v>0</v>
      </c>
      <c r="V579" s="306">
        <f t="shared" ca="1" si="235"/>
        <v>1.226355817545483</v>
      </c>
      <c r="W579" s="304">
        <f t="shared" ca="1" si="236"/>
        <v>27.166810023969312</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0.53426590674789409</v>
      </c>
      <c r="AH579" s="304">
        <f t="shared" ca="1" si="260"/>
        <v>-9.2520362108966427</v>
      </c>
    </row>
    <row r="580" spans="1:34" x14ac:dyDescent="0.2">
      <c r="A580" s="347">
        <f t="shared" ca="1" si="238"/>
        <v>1E-4</v>
      </c>
      <c r="B580" s="304">
        <f t="shared" ca="1" si="239"/>
        <v>37.107100000000457</v>
      </c>
      <c r="D580" s="306">
        <f t="shared" ca="1" si="240"/>
        <v>-0.64269802736600901</v>
      </c>
      <c r="E580" s="307">
        <f t="shared" ca="1" si="241"/>
        <v>-0.58029432682636184</v>
      </c>
      <c r="F580" s="304">
        <f t="shared" ca="1" si="242"/>
        <v>0.86591123108954982</v>
      </c>
      <c r="G580" s="306">
        <f t="shared" ca="1" si="243"/>
        <v>7.2377634367768779</v>
      </c>
      <c r="H580" s="307">
        <f t="shared" ca="1" si="244"/>
        <v>-103.94159293448335</v>
      </c>
      <c r="I580" s="304">
        <f t="shared" ca="1" si="245"/>
        <v>104.19328174755118</v>
      </c>
      <c r="J580" s="306">
        <f t="shared" ca="1" si="246"/>
        <v>837.4075040097224</v>
      </c>
      <c r="K580" s="307">
        <f t="shared" ca="1" si="247"/>
        <v>-11.072170955812899</v>
      </c>
      <c r="L580" s="304">
        <f t="shared" ref="L580:L643" ca="1" si="261">SQRT(pos_x^2+pos_z^2)</f>
        <v>837.48069872771873</v>
      </c>
      <c r="M580" s="306">
        <f t="shared" ca="1" si="248"/>
        <v>-1.5012755593495966</v>
      </c>
      <c r="N580" s="304">
        <f t="shared" ca="1" si="249"/>
        <v>-86.016753436873813</v>
      </c>
      <c r="P580" s="310">
        <f t="shared" ca="1" si="250"/>
        <v>23</v>
      </c>
      <c r="Q580" s="304">
        <f t="shared" ca="1" si="251"/>
        <v>0</v>
      </c>
      <c r="R580" s="306">
        <f t="shared" ca="1" si="252"/>
        <v>0</v>
      </c>
      <c r="S580" s="307">
        <f t="shared" ca="1" si="253"/>
        <v>2.9362999999999984</v>
      </c>
      <c r="T580" s="304">
        <f t="shared" ref="T580:T643" ca="1" si="262">m*g</f>
        <v>28.805102999999985</v>
      </c>
      <c r="U580" s="311">
        <f t="shared" ref="U580:U643" ca="1" si="263">IF(pos_xz&lt;L_rampe,Poids*COS(Beta),0)</f>
        <v>0</v>
      </c>
      <c r="V580" s="306">
        <f t="shared" ref="V580:V643" ca="1" si="264">Rho_moyen*(20000-Alt_rampe-pos_z)/(20000+Alt_rampe+pos_z)</f>
        <v>1.2263570922399514</v>
      </c>
      <c r="W580" s="304">
        <f t="shared" ref="W580:W643" ca="1" si="265">1/2*Rho*Sref*Cx*vit_xz^2</f>
        <v>27.166866121027105</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0.53424724748074759</v>
      </c>
      <c r="AH580" s="304">
        <f t="shared" ca="1" si="260"/>
        <v>-9.2520553158632719</v>
      </c>
    </row>
    <row r="581" spans="1:34" x14ac:dyDescent="0.2">
      <c r="A581" s="347">
        <f t="shared" ref="A581:A644" ca="1" si="267">IF(B580+0.01&lt;=T_ini+ROUNDUP(Temps_fin_propu,0), 0.01, IF(K580&gt;0, 0.1, 0.0001))</f>
        <v>1E-4</v>
      </c>
      <c r="B581" s="304">
        <f t="shared" ref="B581:B644" ca="1" si="268">B580+pas</f>
        <v>37.107200000000461</v>
      </c>
      <c r="D581" s="306">
        <f t="shared" ref="D581:D644" ca="1" si="269">IF(AND(L580&lt;L_rampe,Poussee&lt;Poids*SIN(M580)),0,(-W580+Poussee)/m*COS(M580)-U580/m*SIN(M580))</f>
        <v>-0.64269331795843743</v>
      </c>
      <c r="E581" s="307">
        <f t="shared" ref="E581:E644" ca="1" si="270">IF(AND(L580&lt;L_rampe,Poussee&lt;Poids*SIN(M580)),0,(-W580+Poussee)/m*SIN(M580)+U580/m*COS(M580)-Poids/m)</f>
        <v>-0.58027484795815276</v>
      </c>
      <c r="F581" s="304">
        <f t="shared" ref="F581:F644" ca="1" si="271">SQRT(acc_x^2+acc_z^2)</f>
        <v>0.86589468188763141</v>
      </c>
      <c r="G581" s="306">
        <f t="shared" ref="G581:G644" ca="1" si="272">G580+acc_x*pas</f>
        <v>7.2376991674450819</v>
      </c>
      <c r="H581" s="307">
        <f t="shared" ref="H581:H644" ca="1" si="273">H580+acc_z*pas</f>
        <v>-103.94165096196815</v>
      </c>
      <c r="I581" s="304">
        <f t="shared" ref="I581:I644" ca="1" si="274">SQRT(vit_x^2+vit_z^2)</f>
        <v>104.19333517043232</v>
      </c>
      <c r="J581" s="306">
        <f t="shared" ref="J581:J644" ca="1" si="275">J580+0.5*(vit_x+G580)*pas*(K580&gt;=0)</f>
        <v>837.4075040097224</v>
      </c>
      <c r="K581" s="307">
        <f t="shared" ref="K581:K644" ca="1" si="276">K580+0.5*(vit_z+H580)*pas</f>
        <v>-11.082565118007722</v>
      </c>
      <c r="L581" s="304">
        <f t="shared" ca="1" si="261"/>
        <v>837.4808362114253</v>
      </c>
      <c r="M581" s="306">
        <f t="shared" ref="M581:M644" ca="1" si="277">IF(AND(L580&gt;L_rampe,G581&gt;0),ATAN2(G581,H581),$M$4)</f>
        <v>-1.5012762133736708</v>
      </c>
      <c r="N581" s="304">
        <f t="shared" ref="N581:N644" ca="1" si="278">DEGREES(Beta)</f>
        <v>-86.016790909692972</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2.9362999999999984</v>
      </c>
      <c r="T581" s="304">
        <f t="shared" ca="1" si="262"/>
        <v>28.805102999999985</v>
      </c>
      <c r="U581" s="311">
        <f t="shared" ca="1" si="263"/>
        <v>0</v>
      </c>
      <c r="V581" s="306">
        <f t="shared" ca="1" si="264"/>
        <v>1.2263583669364577</v>
      </c>
      <c r="W581" s="304">
        <f t="shared" ca="1" si="265"/>
        <v>27.166922217229242</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0.53422858849643085</v>
      </c>
      <c r="AH581" s="304">
        <f t="shared" ref="AH581:AH644" ca="1" si="289">IF(AND(L580&lt;L_rampe,Poussee&lt;Poids*SIN(M580)), g*SIN(M580), (-W580+Poussee)/m)</f>
        <v>-9.2520744205384737</v>
      </c>
    </row>
    <row r="582" spans="1:34" x14ac:dyDescent="0.2">
      <c r="A582" s="347">
        <f t="shared" ca="1" si="267"/>
        <v>1E-4</v>
      </c>
      <c r="B582" s="304">
        <f t="shared" ca="1" si="268"/>
        <v>37.107300000000464</v>
      </c>
      <c r="D582" s="306">
        <f t="shared" ca="1" si="269"/>
        <v>-0.64268860856521259</v>
      </c>
      <c r="E582" s="307">
        <f t="shared" ca="1" si="270"/>
        <v>-0.58025536938702515</v>
      </c>
      <c r="F582" s="304">
        <f t="shared" ca="1" si="271"/>
        <v>0.86587813304296013</v>
      </c>
      <c r="G582" s="306">
        <f t="shared" ca="1" si="272"/>
        <v>7.2376348985842256</v>
      </c>
      <c r="H582" s="307">
        <f t="shared" ca="1" si="273"/>
        <v>-103.94170898750509</v>
      </c>
      <c r="I582" s="304">
        <f t="shared" ca="1" si="274"/>
        <v>104.19338859144759</v>
      </c>
      <c r="J582" s="306">
        <f t="shared" ca="1" si="275"/>
        <v>837.4075040097224</v>
      </c>
      <c r="K582" s="307">
        <f t="shared" ca="1" si="276"/>
        <v>-11.092959286005195</v>
      </c>
      <c r="L582" s="304">
        <f t="shared" ca="1" si="261"/>
        <v>837.48097382419041</v>
      </c>
      <c r="M582" s="306">
        <f t="shared" ca="1" si="277"/>
        <v>-1.5012768673912669</v>
      </c>
      <c r="N582" s="304">
        <f t="shared" ca="1" si="278"/>
        <v>-86.016828382140957</v>
      </c>
      <c r="P582" s="310">
        <f t="shared" ca="1" si="279"/>
        <v>23</v>
      </c>
      <c r="Q582" s="304">
        <f t="shared" ca="1" si="280"/>
        <v>0</v>
      </c>
      <c r="R582" s="306">
        <f t="shared" ca="1" si="281"/>
        <v>0</v>
      </c>
      <c r="S582" s="307">
        <f t="shared" ca="1" si="282"/>
        <v>2.9362999999999984</v>
      </c>
      <c r="T582" s="304">
        <f t="shared" ca="1" si="262"/>
        <v>28.805102999999985</v>
      </c>
      <c r="U582" s="311">
        <f t="shared" ca="1" si="263"/>
        <v>0</v>
      </c>
      <c r="V582" s="306">
        <f t="shared" ca="1" si="264"/>
        <v>1.2263596416350007</v>
      </c>
      <c r="W582" s="304">
        <f t="shared" ca="1" si="265"/>
        <v>27.166978312575701</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0.53420992979491899</v>
      </c>
      <c r="AH582" s="304">
        <f t="shared" ca="1" si="289"/>
        <v>-9.2520935249222678</v>
      </c>
    </row>
    <row r="583" spans="1:34" x14ac:dyDescent="0.2">
      <c r="A583" s="347">
        <f t="shared" ca="1" si="267"/>
        <v>1E-4</v>
      </c>
      <c r="B583" s="304">
        <f t="shared" ca="1" si="268"/>
        <v>37.107400000000467</v>
      </c>
      <c r="D583" s="306">
        <f t="shared" ca="1" si="269"/>
        <v>-0.64268389918633306</v>
      </c>
      <c r="E583" s="307">
        <f t="shared" ca="1" si="270"/>
        <v>-0.58023589111297902</v>
      </c>
      <c r="F583" s="304">
        <f t="shared" ca="1" si="271"/>
        <v>0.86586158455553475</v>
      </c>
      <c r="G583" s="306">
        <f t="shared" ca="1" si="272"/>
        <v>7.2375706301943072</v>
      </c>
      <c r="H583" s="307">
        <f t="shared" ca="1" si="273"/>
        <v>-103.9417670110942</v>
      </c>
      <c r="I583" s="304">
        <f t="shared" ca="1" si="274"/>
        <v>104.19344201059701</v>
      </c>
      <c r="J583" s="306">
        <f t="shared" ca="1" si="275"/>
        <v>837.4075040097224</v>
      </c>
      <c r="K583" s="307">
        <f t="shared" ca="1" si="276"/>
        <v>-11.103353459805126</v>
      </c>
      <c r="L583" s="304">
        <f t="shared" ca="1" si="261"/>
        <v>837.48111156601419</v>
      </c>
      <c r="M583" s="306">
        <f t="shared" ca="1" si="277"/>
        <v>-1.5012775214023848</v>
      </c>
      <c r="N583" s="304">
        <f t="shared" ca="1" si="278"/>
        <v>-86.01686585421777</v>
      </c>
      <c r="P583" s="310">
        <f t="shared" ca="1" si="279"/>
        <v>23</v>
      </c>
      <c r="Q583" s="304">
        <f t="shared" ca="1" si="280"/>
        <v>0</v>
      </c>
      <c r="R583" s="306">
        <f t="shared" ca="1" si="281"/>
        <v>0</v>
      </c>
      <c r="S583" s="307">
        <f t="shared" ca="1" si="282"/>
        <v>2.9362999999999984</v>
      </c>
      <c r="T583" s="304">
        <f t="shared" ca="1" si="262"/>
        <v>28.805102999999985</v>
      </c>
      <c r="U583" s="311">
        <f t="shared" ca="1" si="263"/>
        <v>0</v>
      </c>
      <c r="V583" s="306">
        <f t="shared" ca="1" si="264"/>
        <v>1.2263609163355815</v>
      </c>
      <c r="W583" s="304">
        <f t="shared" ca="1" si="265"/>
        <v>27.167034407066499</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0.53419127137621736</v>
      </c>
      <c r="AH583" s="304">
        <f t="shared" ca="1" si="289"/>
        <v>-9.2521126290146505</v>
      </c>
    </row>
    <row r="584" spans="1:34" x14ac:dyDescent="0.2">
      <c r="A584" s="347">
        <f t="shared" ca="1" si="267"/>
        <v>1E-4</v>
      </c>
      <c r="B584" s="304">
        <f t="shared" ca="1" si="268"/>
        <v>37.107500000000471</v>
      </c>
      <c r="D584" s="306">
        <f t="shared" ca="1" si="269"/>
        <v>-0.64267918982180006</v>
      </c>
      <c r="E584" s="307">
        <f t="shared" ca="1" si="270"/>
        <v>-0.58021641313601435</v>
      </c>
      <c r="F584" s="304">
        <f t="shared" ca="1" si="271"/>
        <v>0.86584503642535682</v>
      </c>
      <c r="G584" s="306">
        <f t="shared" ca="1" si="272"/>
        <v>7.2375063622753251</v>
      </c>
      <c r="H584" s="307">
        <f t="shared" ca="1" si="273"/>
        <v>-103.94182503273551</v>
      </c>
      <c r="I584" s="304">
        <f t="shared" ca="1" si="274"/>
        <v>104.19349542788061</v>
      </c>
      <c r="J584" s="306">
        <f t="shared" ca="1" si="275"/>
        <v>837.4075040097224</v>
      </c>
      <c r="K584" s="307">
        <f t="shared" ca="1" si="276"/>
        <v>-11.113747639407316</v>
      </c>
      <c r="L584" s="304">
        <f t="shared" ca="1" si="261"/>
        <v>837.48124943689675</v>
      </c>
      <c r="M584" s="306">
        <f t="shared" ca="1" si="277"/>
        <v>-1.5012781754070248</v>
      </c>
      <c r="N584" s="304">
        <f t="shared" ca="1" si="278"/>
        <v>-86.016903325923423</v>
      </c>
      <c r="P584" s="310">
        <f t="shared" ca="1" si="279"/>
        <v>23</v>
      </c>
      <c r="Q584" s="304">
        <f t="shared" ca="1" si="280"/>
        <v>0</v>
      </c>
      <c r="R584" s="306">
        <f t="shared" ca="1" si="281"/>
        <v>0</v>
      </c>
      <c r="S584" s="307">
        <f t="shared" ca="1" si="282"/>
        <v>2.9362999999999984</v>
      </c>
      <c r="T584" s="304">
        <f t="shared" ca="1" si="262"/>
        <v>28.805102999999985</v>
      </c>
      <c r="U584" s="311">
        <f t="shared" ca="1" si="263"/>
        <v>0</v>
      </c>
      <c r="V584" s="306">
        <f t="shared" ca="1" si="264"/>
        <v>1.2263621910381992</v>
      </c>
      <c r="W584" s="304">
        <f t="shared" ca="1" si="265"/>
        <v>27.167090500701633</v>
      </c>
      <c r="Y584" s="314" t="str">
        <f t="shared" ca="1" si="283"/>
        <v/>
      </c>
      <c r="Z584" s="315" t="str">
        <f t="shared" ca="1" si="284"/>
        <v/>
      </c>
      <c r="AA584" s="316" t="str">
        <f t="shared" ca="1" si="285"/>
        <v/>
      </c>
      <c r="AC584" s="310" t="e">
        <f t="shared" ca="1" si="286"/>
        <v>#N/A</v>
      </c>
      <c r="AD584" s="323" t="e">
        <f t="shared" ca="1" si="287"/>
        <v>#N/A</v>
      </c>
      <c r="AE584" s="324" t="e">
        <f t="shared" ca="1" si="266"/>
        <v>#N/A</v>
      </c>
      <c r="AG584" s="306">
        <f t="shared" ca="1" si="288"/>
        <v>0.53417261324032594</v>
      </c>
      <c r="AH584" s="304">
        <f t="shared" ca="1" si="289"/>
        <v>-9.2521317328156236</v>
      </c>
    </row>
    <row r="585" spans="1:34" x14ac:dyDescent="0.2">
      <c r="A585" s="347">
        <f t="shared" ca="1" si="267"/>
        <v>1E-4</v>
      </c>
      <c r="B585" s="304">
        <f t="shared" ca="1" si="268"/>
        <v>37.107600000000474</v>
      </c>
      <c r="D585" s="306">
        <f t="shared" ca="1" si="269"/>
        <v>-0.64267448047161235</v>
      </c>
      <c r="E585" s="307">
        <f t="shared" ca="1" si="270"/>
        <v>-0.58019693545613116</v>
      </c>
      <c r="F585" s="304">
        <f t="shared" ca="1" si="271"/>
        <v>0.86582848865242523</v>
      </c>
      <c r="G585" s="306">
        <f t="shared" ca="1" si="272"/>
        <v>7.2374420948272782</v>
      </c>
      <c r="H585" s="307">
        <f t="shared" ca="1" si="273"/>
        <v>-103.94188305242905</v>
      </c>
      <c r="I585" s="304">
        <f t="shared" ca="1" si="274"/>
        <v>104.19354884329843</v>
      </c>
      <c r="J585" s="306">
        <f t="shared" ca="1" si="275"/>
        <v>837.4075040097224</v>
      </c>
      <c r="K585" s="307">
        <f t="shared" ca="1" si="276"/>
        <v>-11.124141824811575</v>
      </c>
      <c r="L585" s="304">
        <f t="shared" ca="1" si="261"/>
        <v>837.48138743683842</v>
      </c>
      <c r="M585" s="306">
        <f t="shared" ca="1" si="277"/>
        <v>-1.5012788294051866</v>
      </c>
      <c r="N585" s="304">
        <f t="shared" ca="1" si="278"/>
        <v>-86.016940797257902</v>
      </c>
      <c r="P585" s="310">
        <f t="shared" ca="1" si="279"/>
        <v>23</v>
      </c>
      <c r="Q585" s="304">
        <f t="shared" ca="1" si="280"/>
        <v>0</v>
      </c>
      <c r="R585" s="306">
        <f t="shared" ca="1" si="281"/>
        <v>0</v>
      </c>
      <c r="S585" s="307">
        <f t="shared" ca="1" si="282"/>
        <v>2.9362999999999984</v>
      </c>
      <c r="T585" s="304">
        <f t="shared" ca="1" si="262"/>
        <v>28.805102999999985</v>
      </c>
      <c r="U585" s="311">
        <f t="shared" ca="1" si="263"/>
        <v>0</v>
      </c>
      <c r="V585" s="306">
        <f t="shared" ca="1" si="264"/>
        <v>1.2263634657428542</v>
      </c>
      <c r="W585" s="304">
        <f t="shared" ca="1" si="265"/>
        <v>27.167146593481132</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0.53415395538724475</v>
      </c>
      <c r="AH585" s="304">
        <f t="shared" ca="1" si="289"/>
        <v>-9.2521508363251872</v>
      </c>
    </row>
    <row r="586" spans="1:34" x14ac:dyDescent="0.2">
      <c r="A586" s="347">
        <f t="shared" ca="1" si="267"/>
        <v>1E-4</v>
      </c>
      <c r="B586" s="304">
        <f t="shared" ca="1" si="268"/>
        <v>37.107700000000477</v>
      </c>
      <c r="D586" s="306">
        <f t="shared" ca="1" si="269"/>
        <v>-0.64266977113577373</v>
      </c>
      <c r="E586" s="307">
        <f t="shared" ca="1" si="270"/>
        <v>-0.580177458073317</v>
      </c>
      <c r="F586" s="304">
        <f t="shared" ca="1" si="271"/>
        <v>0.86581194123673499</v>
      </c>
      <c r="G586" s="306">
        <f t="shared" ca="1" si="272"/>
        <v>7.2373778278501648</v>
      </c>
      <c r="H586" s="307">
        <f t="shared" ca="1" si="273"/>
        <v>-103.94194107017485</v>
      </c>
      <c r="I586" s="304">
        <f t="shared" ca="1" si="274"/>
        <v>104.19360225685048</v>
      </c>
      <c r="J586" s="306">
        <f t="shared" ca="1" si="275"/>
        <v>837.4075040097224</v>
      </c>
      <c r="K586" s="307">
        <f t="shared" ca="1" si="276"/>
        <v>-11.134536016017705</v>
      </c>
      <c r="L586" s="304">
        <f t="shared" ca="1" si="261"/>
        <v>837.48152556583909</v>
      </c>
      <c r="M586" s="306">
        <f t="shared" ca="1" si="277"/>
        <v>-1.5012794833968708</v>
      </c>
      <c r="N586" s="304">
        <f t="shared" ca="1" si="278"/>
        <v>-86.016978268221237</v>
      </c>
      <c r="P586" s="310">
        <f t="shared" ca="1" si="279"/>
        <v>23</v>
      </c>
      <c r="Q586" s="304">
        <f t="shared" ca="1" si="280"/>
        <v>0</v>
      </c>
      <c r="R586" s="306">
        <f t="shared" ca="1" si="281"/>
        <v>0</v>
      </c>
      <c r="S586" s="307">
        <f t="shared" ca="1" si="282"/>
        <v>2.9362999999999984</v>
      </c>
      <c r="T586" s="304">
        <f t="shared" ca="1" si="262"/>
        <v>28.805102999999985</v>
      </c>
      <c r="U586" s="311">
        <f t="shared" ca="1" si="263"/>
        <v>0</v>
      </c>
      <c r="V586" s="306">
        <f t="shared" ca="1" si="264"/>
        <v>1.226364740449547</v>
      </c>
      <c r="W586" s="304">
        <f t="shared" ca="1" si="265"/>
        <v>27.167202685405012</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0.53413529781695779</v>
      </c>
      <c r="AH586" s="304">
        <f t="shared" ca="1" si="289"/>
        <v>-9.2521699395433536</v>
      </c>
    </row>
    <row r="587" spans="1:34" x14ac:dyDescent="0.2">
      <c r="A587" s="347">
        <f t="shared" ca="1" si="267"/>
        <v>1E-4</v>
      </c>
      <c r="B587" s="304">
        <f t="shared" ca="1" si="268"/>
        <v>37.107800000000481</v>
      </c>
      <c r="D587" s="306">
        <f t="shared" ca="1" si="269"/>
        <v>-0.64266506181428151</v>
      </c>
      <c r="E587" s="307">
        <f t="shared" ca="1" si="270"/>
        <v>-0.58015798098756832</v>
      </c>
      <c r="F587" s="304">
        <f t="shared" ca="1" si="271"/>
        <v>0.86579539417828155</v>
      </c>
      <c r="G587" s="306">
        <f t="shared" ca="1" si="272"/>
        <v>7.2373135613439832</v>
      </c>
      <c r="H587" s="307">
        <f t="shared" ca="1" si="273"/>
        <v>-103.94199908597295</v>
      </c>
      <c r="I587" s="304">
        <f t="shared" ca="1" si="274"/>
        <v>104.19365566853682</v>
      </c>
      <c r="J587" s="306">
        <f t="shared" ca="1" si="275"/>
        <v>837.4075040097224</v>
      </c>
      <c r="K587" s="307">
        <f t="shared" ca="1" si="276"/>
        <v>-11.144930213025512</v>
      </c>
      <c r="L587" s="304">
        <f t="shared" ca="1" si="261"/>
        <v>837.48166382389911</v>
      </c>
      <c r="M587" s="306">
        <f t="shared" ca="1" si="277"/>
        <v>-1.501280137382077</v>
      </c>
      <c r="N587" s="304">
        <f t="shared" ca="1" si="278"/>
        <v>-86.017015738813427</v>
      </c>
      <c r="P587" s="310">
        <f t="shared" ca="1" si="279"/>
        <v>23</v>
      </c>
      <c r="Q587" s="304">
        <f t="shared" ca="1" si="280"/>
        <v>0</v>
      </c>
      <c r="R587" s="306">
        <f t="shared" ca="1" si="281"/>
        <v>0</v>
      </c>
      <c r="S587" s="307">
        <f t="shared" ca="1" si="282"/>
        <v>2.9362999999999984</v>
      </c>
      <c r="T587" s="304">
        <f t="shared" ca="1" si="262"/>
        <v>28.805102999999985</v>
      </c>
      <c r="U587" s="311">
        <f t="shared" ca="1" si="263"/>
        <v>0</v>
      </c>
      <c r="V587" s="306">
        <f t="shared" ca="1" si="264"/>
        <v>1.226366015158276</v>
      </c>
      <c r="W587" s="304">
        <f t="shared" ca="1" si="265"/>
        <v>27.16725877647325</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0.53411664052947039</v>
      </c>
      <c r="AH587" s="304">
        <f t="shared" ca="1" si="289"/>
        <v>-9.2521890424701247</v>
      </c>
    </row>
    <row r="588" spans="1:34" x14ac:dyDescent="0.2">
      <c r="A588" s="347">
        <f t="shared" ca="1" si="267"/>
        <v>1E-4</v>
      </c>
      <c r="B588" s="304">
        <f t="shared" ca="1" si="268"/>
        <v>37.107900000000484</v>
      </c>
      <c r="D588" s="306">
        <f t="shared" ca="1" si="269"/>
        <v>-0.64266035250713793</v>
      </c>
      <c r="E588" s="307">
        <f t="shared" ca="1" si="270"/>
        <v>-0.58013850419889224</v>
      </c>
      <c r="F588" s="304">
        <f t="shared" ca="1" si="271"/>
        <v>0.8657788474770719</v>
      </c>
      <c r="G588" s="306">
        <f t="shared" ca="1" si="272"/>
        <v>7.2372492953087324</v>
      </c>
      <c r="H588" s="307">
        <f t="shared" ca="1" si="273"/>
        <v>-103.94205709982337</v>
      </c>
      <c r="I588" s="304">
        <f t="shared" ca="1" si="274"/>
        <v>104.19370907835746</v>
      </c>
      <c r="J588" s="306">
        <f t="shared" ca="1" si="275"/>
        <v>837.4075040097224</v>
      </c>
      <c r="K588" s="307">
        <f t="shared" ca="1" si="276"/>
        <v>-11.155324415834801</v>
      </c>
      <c r="L588" s="304">
        <f t="shared" ca="1" si="261"/>
        <v>837.48180221101859</v>
      </c>
      <c r="M588" s="306">
        <f t="shared" ca="1" si="277"/>
        <v>-1.5012807913608055</v>
      </c>
      <c r="N588" s="304">
        <f t="shared" ca="1" si="278"/>
        <v>-86.017053209034458</v>
      </c>
      <c r="P588" s="310">
        <f t="shared" ca="1" si="279"/>
        <v>23</v>
      </c>
      <c r="Q588" s="304">
        <f t="shared" ca="1" si="280"/>
        <v>0</v>
      </c>
      <c r="R588" s="306">
        <f t="shared" ca="1" si="281"/>
        <v>0</v>
      </c>
      <c r="S588" s="307">
        <f t="shared" ca="1" si="282"/>
        <v>2.9362999999999984</v>
      </c>
      <c r="T588" s="304">
        <f t="shared" ca="1" si="262"/>
        <v>28.805102999999985</v>
      </c>
      <c r="U588" s="311">
        <f t="shared" ca="1" si="263"/>
        <v>0</v>
      </c>
      <c r="V588" s="306">
        <f t="shared" ca="1" si="264"/>
        <v>1.2263672898690428</v>
      </c>
      <c r="W588" s="304">
        <f t="shared" ca="1" si="265"/>
        <v>27.167314866685892</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0.53409798352478255</v>
      </c>
      <c r="AH588" s="304">
        <f t="shared" ca="1" si="289"/>
        <v>-9.2522081451054952</v>
      </c>
    </row>
    <row r="589" spans="1:34" x14ac:dyDescent="0.2">
      <c r="A589" s="347">
        <f t="shared" ca="1" si="267"/>
        <v>1E-4</v>
      </c>
      <c r="B589" s="304">
        <f t="shared" ca="1" si="268"/>
        <v>37.108000000000487</v>
      </c>
      <c r="D589" s="306">
        <f t="shared" ca="1" si="269"/>
        <v>-0.6426556432143431</v>
      </c>
      <c r="E589" s="307">
        <f t="shared" ca="1" si="270"/>
        <v>-0.58011902770727453</v>
      </c>
      <c r="F589" s="304">
        <f t="shared" ca="1" si="271"/>
        <v>0.8657623011330966</v>
      </c>
      <c r="G589" s="306">
        <f t="shared" ca="1" si="272"/>
        <v>7.2371850297444107</v>
      </c>
      <c r="H589" s="307">
        <f t="shared" ca="1" si="273"/>
        <v>-103.94211511172614</v>
      </c>
      <c r="I589" s="304">
        <f t="shared" ca="1" si="274"/>
        <v>104.19376248631242</v>
      </c>
      <c r="J589" s="306">
        <f t="shared" ca="1" si="275"/>
        <v>837.4075040097224</v>
      </c>
      <c r="K589" s="307">
        <f t="shared" ca="1" si="276"/>
        <v>-11.165718624445379</v>
      </c>
      <c r="L589" s="304">
        <f t="shared" ca="1" si="261"/>
        <v>837.48194072719775</v>
      </c>
      <c r="M589" s="306">
        <f t="shared" ca="1" si="277"/>
        <v>-1.5012814453330563</v>
      </c>
      <c r="N589" s="304">
        <f t="shared" ca="1" si="278"/>
        <v>-86.017090678884344</v>
      </c>
      <c r="P589" s="310">
        <f t="shared" ca="1" si="279"/>
        <v>23</v>
      </c>
      <c r="Q589" s="304">
        <f t="shared" ca="1" si="280"/>
        <v>0</v>
      </c>
      <c r="R589" s="306">
        <f t="shared" ca="1" si="281"/>
        <v>0</v>
      </c>
      <c r="S589" s="307">
        <f t="shared" ca="1" si="282"/>
        <v>2.9362999999999984</v>
      </c>
      <c r="T589" s="304">
        <f t="shared" ca="1" si="262"/>
        <v>28.805102999999985</v>
      </c>
      <c r="U589" s="311">
        <f t="shared" ca="1" si="263"/>
        <v>0</v>
      </c>
      <c r="V589" s="306">
        <f t="shared" ca="1" si="264"/>
        <v>1.2263685645818465</v>
      </c>
      <c r="W589" s="304">
        <f t="shared" ca="1" si="265"/>
        <v>27.167370956042927</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0.53407932680288006</v>
      </c>
      <c r="AH589" s="304">
        <f t="shared" ca="1" si="289"/>
        <v>-9.2522272474494791</v>
      </c>
    </row>
    <row r="590" spans="1:34" x14ac:dyDescent="0.2">
      <c r="A590" s="347">
        <f t="shared" ca="1" si="267"/>
        <v>1E-4</v>
      </c>
      <c r="B590" s="304">
        <f t="shared" ca="1" si="268"/>
        <v>37.108100000000491</v>
      </c>
      <c r="D590" s="306">
        <f t="shared" ca="1" si="269"/>
        <v>-0.64265093393589789</v>
      </c>
      <c r="E590" s="307">
        <f t="shared" ca="1" si="270"/>
        <v>-0.58009955151271519</v>
      </c>
      <c r="F590" s="304">
        <f t="shared" ca="1" si="271"/>
        <v>0.86574575514635654</v>
      </c>
      <c r="G590" s="306">
        <f t="shared" ca="1" si="272"/>
        <v>7.2371207646510172</v>
      </c>
      <c r="H590" s="307">
        <f t="shared" ca="1" si="273"/>
        <v>-103.94217312168129</v>
      </c>
      <c r="I590" s="304">
        <f t="shared" ca="1" si="274"/>
        <v>104.19381589240173</v>
      </c>
      <c r="J590" s="306">
        <f t="shared" ca="1" si="275"/>
        <v>837.4075040097224</v>
      </c>
      <c r="K590" s="307">
        <f t="shared" ca="1" si="276"/>
        <v>-11.176112838857049</v>
      </c>
      <c r="L590" s="304">
        <f t="shared" ca="1" si="261"/>
        <v>837.48207937243649</v>
      </c>
      <c r="M590" s="306">
        <f t="shared" ca="1" si="277"/>
        <v>-1.5012820992988296</v>
      </c>
      <c r="N590" s="304">
        <f t="shared" ca="1" si="278"/>
        <v>-86.017128148363099</v>
      </c>
      <c r="P590" s="310">
        <f t="shared" ca="1" si="279"/>
        <v>23</v>
      </c>
      <c r="Q590" s="304">
        <f t="shared" ca="1" si="280"/>
        <v>0</v>
      </c>
      <c r="R590" s="306">
        <f t="shared" ca="1" si="281"/>
        <v>0</v>
      </c>
      <c r="S590" s="307">
        <f t="shared" ca="1" si="282"/>
        <v>2.9362999999999984</v>
      </c>
      <c r="T590" s="304">
        <f t="shared" ca="1" si="262"/>
        <v>28.805102999999985</v>
      </c>
      <c r="U590" s="311">
        <f t="shared" ca="1" si="263"/>
        <v>0</v>
      </c>
      <c r="V590" s="306">
        <f t="shared" ca="1" si="264"/>
        <v>1.2263698392966875</v>
      </c>
      <c r="W590" s="304">
        <f t="shared" ca="1" si="265"/>
        <v>27.167427044544365</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0.53406067036376825</v>
      </c>
      <c r="AH590" s="304">
        <f t="shared" ca="1" si="289"/>
        <v>-9.2522463495020748</v>
      </c>
    </row>
    <row r="591" spans="1:34" x14ac:dyDescent="0.2">
      <c r="A591" s="347">
        <f t="shared" ca="1" si="267"/>
        <v>1E-4</v>
      </c>
      <c r="B591" s="304">
        <f t="shared" ca="1" si="268"/>
        <v>37.108200000000494</v>
      </c>
      <c r="D591" s="306">
        <f t="shared" ca="1" si="269"/>
        <v>-0.64264622467180099</v>
      </c>
      <c r="E591" s="307">
        <f t="shared" ca="1" si="270"/>
        <v>-0.58008007561521424</v>
      </c>
      <c r="F591" s="304">
        <f t="shared" ca="1" si="271"/>
        <v>0.86572920951685095</v>
      </c>
      <c r="G591" s="306">
        <f t="shared" ca="1" si="272"/>
        <v>7.2370565000285501</v>
      </c>
      <c r="H591" s="307">
        <f t="shared" ca="1" si="273"/>
        <v>-103.94223112968885</v>
      </c>
      <c r="I591" s="304">
        <f t="shared" ca="1" si="274"/>
        <v>104.19386929662542</v>
      </c>
      <c r="J591" s="306">
        <f t="shared" ca="1" si="275"/>
        <v>837.4075040097224</v>
      </c>
      <c r="K591" s="307">
        <f t="shared" ca="1" si="276"/>
        <v>-11.186507059069617</v>
      </c>
      <c r="L591" s="304">
        <f t="shared" ca="1" si="261"/>
        <v>837.48221814673525</v>
      </c>
      <c r="M591" s="306">
        <f t="shared" ca="1" si="277"/>
        <v>-1.5012827532581252</v>
      </c>
      <c r="N591" s="304">
        <f t="shared" ca="1" si="278"/>
        <v>-86.01716561747071</v>
      </c>
      <c r="P591" s="310">
        <f t="shared" ca="1" si="279"/>
        <v>23</v>
      </c>
      <c r="Q591" s="304">
        <f t="shared" ca="1" si="280"/>
        <v>0</v>
      </c>
      <c r="R591" s="306">
        <f t="shared" ca="1" si="281"/>
        <v>0</v>
      </c>
      <c r="S591" s="307">
        <f t="shared" ca="1" si="282"/>
        <v>2.9362999999999984</v>
      </c>
      <c r="T591" s="304">
        <f t="shared" ca="1" si="262"/>
        <v>28.805102999999985</v>
      </c>
      <c r="U591" s="311">
        <f t="shared" ca="1" si="263"/>
        <v>0</v>
      </c>
      <c r="V591" s="306">
        <f t="shared" ca="1" si="264"/>
        <v>1.2263711140135656</v>
      </c>
      <c r="W591" s="304">
        <f t="shared" ca="1" si="265"/>
        <v>27.167483132190224</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0.53404201420744357</v>
      </c>
      <c r="AH591" s="304">
        <f t="shared" ca="1" si="289"/>
        <v>-9.252265451263284</v>
      </c>
    </row>
    <row r="592" spans="1:34" x14ac:dyDescent="0.2">
      <c r="A592" s="347">
        <f t="shared" ca="1" si="267"/>
        <v>1E-4</v>
      </c>
      <c r="B592" s="304">
        <f t="shared" ca="1" si="268"/>
        <v>37.108300000000497</v>
      </c>
      <c r="D592" s="306">
        <f t="shared" ca="1" si="269"/>
        <v>-0.64264151542205616</v>
      </c>
      <c r="E592" s="307">
        <f t="shared" ca="1" si="270"/>
        <v>-0.58006060001476456</v>
      </c>
      <c r="F592" s="304">
        <f t="shared" ca="1" si="271"/>
        <v>0.86571266424457805</v>
      </c>
      <c r="G592" s="306">
        <f t="shared" ca="1" si="272"/>
        <v>7.2369922358770076</v>
      </c>
      <c r="H592" s="307">
        <f t="shared" ca="1" si="273"/>
        <v>-103.94228913574885</v>
      </c>
      <c r="I592" s="304">
        <f t="shared" ca="1" si="274"/>
        <v>104.19392269898354</v>
      </c>
      <c r="J592" s="306">
        <f t="shared" ca="1" si="275"/>
        <v>837.4075040097224</v>
      </c>
      <c r="K592" s="307">
        <f t="shared" ca="1" si="276"/>
        <v>-11.196901285082889</v>
      </c>
      <c r="L592" s="304">
        <f t="shared" ca="1" si="261"/>
        <v>837.48235705009404</v>
      </c>
      <c r="M592" s="306">
        <f t="shared" ca="1" si="277"/>
        <v>-1.5012834072109436</v>
      </c>
      <c r="N592" s="304">
        <f t="shared" ca="1" si="278"/>
        <v>-86.017203086207203</v>
      </c>
      <c r="P592" s="310">
        <f t="shared" ca="1" si="279"/>
        <v>23</v>
      </c>
      <c r="Q592" s="304">
        <f t="shared" ca="1" si="280"/>
        <v>0</v>
      </c>
      <c r="R592" s="306">
        <f t="shared" ca="1" si="281"/>
        <v>0</v>
      </c>
      <c r="S592" s="307">
        <f t="shared" ca="1" si="282"/>
        <v>2.9362999999999984</v>
      </c>
      <c r="T592" s="304">
        <f t="shared" ca="1" si="262"/>
        <v>28.805102999999985</v>
      </c>
      <c r="U592" s="311">
        <f t="shared" ca="1" si="263"/>
        <v>0</v>
      </c>
      <c r="V592" s="306">
        <f t="shared" ca="1" si="264"/>
        <v>1.2263723887324807</v>
      </c>
      <c r="W592" s="304">
        <f t="shared" ca="1" si="265"/>
        <v>27.167539218980515</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0.53402335833389891</v>
      </c>
      <c r="AH592" s="304">
        <f t="shared" ca="1" si="289"/>
        <v>-9.2522845527331121</v>
      </c>
    </row>
    <row r="593" spans="1:34" x14ac:dyDescent="0.2">
      <c r="A593" s="347">
        <f t="shared" ca="1" si="267"/>
        <v>1E-4</v>
      </c>
      <c r="B593" s="304">
        <f t="shared" ca="1" si="268"/>
        <v>37.108400000000501</v>
      </c>
      <c r="D593" s="306">
        <f t="shared" ca="1" si="269"/>
        <v>-0.64263680618666053</v>
      </c>
      <c r="E593" s="307">
        <f t="shared" ca="1" si="270"/>
        <v>-0.58004112471136082</v>
      </c>
      <c r="F593" s="304">
        <f t="shared" ca="1" si="271"/>
        <v>0.86569611932953239</v>
      </c>
      <c r="G593" s="306">
        <f t="shared" ca="1" si="272"/>
        <v>7.2369279721963888</v>
      </c>
      <c r="H593" s="307">
        <f t="shared" ca="1" si="273"/>
        <v>-103.94234713986133</v>
      </c>
      <c r="I593" s="304">
        <f t="shared" ca="1" si="274"/>
        <v>104.1939760994761</v>
      </c>
      <c r="J593" s="306">
        <f t="shared" ca="1" si="275"/>
        <v>837.4075040097224</v>
      </c>
      <c r="K593" s="307">
        <f t="shared" ca="1" si="276"/>
        <v>-11.20729551689667</v>
      </c>
      <c r="L593" s="304">
        <f t="shared" ca="1" si="261"/>
        <v>837.48249608251297</v>
      </c>
      <c r="M593" s="306">
        <f t="shared" ca="1" si="277"/>
        <v>-1.5012840611572846</v>
      </c>
      <c r="N593" s="304">
        <f t="shared" ca="1" si="278"/>
        <v>-86.017240554572581</v>
      </c>
      <c r="P593" s="310">
        <f t="shared" ca="1" si="279"/>
        <v>23</v>
      </c>
      <c r="Q593" s="304">
        <f t="shared" ca="1" si="280"/>
        <v>0</v>
      </c>
      <c r="R593" s="306">
        <f t="shared" ca="1" si="281"/>
        <v>0</v>
      </c>
      <c r="S593" s="307">
        <f t="shared" ca="1" si="282"/>
        <v>2.9362999999999984</v>
      </c>
      <c r="T593" s="304">
        <f t="shared" ca="1" si="262"/>
        <v>28.805102999999985</v>
      </c>
      <c r="U593" s="311">
        <f t="shared" ca="1" si="263"/>
        <v>0</v>
      </c>
      <c r="V593" s="306">
        <f t="shared" ca="1" si="264"/>
        <v>1.226373663453433</v>
      </c>
      <c r="W593" s="304">
        <f t="shared" ca="1" si="265"/>
        <v>27.167595304915249</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0.5340047027431325</v>
      </c>
      <c r="AH593" s="304">
        <f t="shared" ca="1" si="289"/>
        <v>-9.2523036539115662</v>
      </c>
    </row>
    <row r="594" spans="1:34" x14ac:dyDescent="0.2">
      <c r="A594" s="347">
        <f t="shared" ca="1" si="267"/>
        <v>1E-4</v>
      </c>
      <c r="B594" s="304">
        <f t="shared" ca="1" si="268"/>
        <v>37.108500000000504</v>
      </c>
      <c r="D594" s="306">
        <f t="shared" ca="1" si="269"/>
        <v>-0.64263209696561507</v>
      </c>
      <c r="E594" s="307">
        <f t="shared" ca="1" si="270"/>
        <v>-0.58002164970500125</v>
      </c>
      <c r="F594" s="304">
        <f t="shared" ca="1" si="271"/>
        <v>0.86567957477171364</v>
      </c>
      <c r="G594" s="306">
        <f t="shared" ca="1" si="272"/>
        <v>7.2368637089866921</v>
      </c>
      <c r="H594" s="307">
        <f t="shared" ca="1" si="273"/>
        <v>-103.9424051420263</v>
      </c>
      <c r="I594" s="304">
        <f t="shared" ca="1" si="274"/>
        <v>104.19402949810313</v>
      </c>
      <c r="J594" s="306">
        <f t="shared" ca="1" si="275"/>
        <v>837.4075040097224</v>
      </c>
      <c r="K594" s="307">
        <f t="shared" ca="1" si="276"/>
        <v>-11.217689754510763</v>
      </c>
      <c r="L594" s="304">
        <f t="shared" ca="1" si="261"/>
        <v>837.48263524399215</v>
      </c>
      <c r="M594" s="306">
        <f t="shared" ca="1" si="277"/>
        <v>-1.5012847150971484</v>
      </c>
      <c r="N594" s="304">
        <f t="shared" ca="1" si="278"/>
        <v>-86.017278022566828</v>
      </c>
      <c r="P594" s="310">
        <f t="shared" ca="1" si="279"/>
        <v>23</v>
      </c>
      <c r="Q594" s="304">
        <f t="shared" ca="1" si="280"/>
        <v>0</v>
      </c>
      <c r="R594" s="306">
        <f t="shared" ca="1" si="281"/>
        <v>0</v>
      </c>
      <c r="S594" s="307">
        <f t="shared" ca="1" si="282"/>
        <v>2.9362999999999984</v>
      </c>
      <c r="T594" s="304">
        <f t="shared" ca="1" si="262"/>
        <v>28.805102999999985</v>
      </c>
      <c r="U594" s="311">
        <f t="shared" ca="1" si="263"/>
        <v>0</v>
      </c>
      <c r="V594" s="306">
        <f t="shared" ca="1" si="264"/>
        <v>1.2263749381764224</v>
      </c>
      <c r="W594" s="304">
        <f t="shared" ca="1" si="265"/>
        <v>27.167651389994436</v>
      </c>
      <c r="Y594" s="314" t="str">
        <f t="shared" ca="1" si="283"/>
        <v/>
      </c>
      <c r="Z594" s="315" t="str">
        <f t="shared" ca="1" si="284"/>
        <v/>
      </c>
      <c r="AA594" s="316" t="str">
        <f t="shared" ca="1" si="285"/>
        <v/>
      </c>
      <c r="AC594" s="310" t="e">
        <f t="shared" ca="1" si="286"/>
        <v>#N/A</v>
      </c>
      <c r="AD594" s="323" t="e">
        <f t="shared" ca="1" si="287"/>
        <v>#N/A</v>
      </c>
      <c r="AE594" s="324" t="e">
        <f t="shared" ca="1" si="266"/>
        <v>#N/A</v>
      </c>
      <c r="AG594" s="306">
        <f t="shared" ca="1" si="288"/>
        <v>0.533986047435139</v>
      </c>
      <c r="AH594" s="304">
        <f t="shared" ca="1" si="289"/>
        <v>-9.2523227547986462</v>
      </c>
    </row>
    <row r="595" spans="1:34" x14ac:dyDescent="0.2">
      <c r="A595" s="347">
        <f t="shared" ca="1" si="267"/>
        <v>1E-4</v>
      </c>
      <c r="B595" s="304">
        <f t="shared" ca="1" si="268"/>
        <v>37.108600000000507</v>
      </c>
      <c r="D595" s="306">
        <f t="shared" ca="1" si="269"/>
        <v>-0.64262738775892125</v>
      </c>
      <c r="E595" s="307">
        <f t="shared" ca="1" si="270"/>
        <v>-0.5800021749956823</v>
      </c>
      <c r="F595" s="304">
        <f t="shared" ca="1" si="271"/>
        <v>0.8656630305711206</v>
      </c>
      <c r="G595" s="306">
        <f t="shared" ca="1" si="272"/>
        <v>7.2367994462479164</v>
      </c>
      <c r="H595" s="307">
        <f t="shared" ca="1" si="273"/>
        <v>-103.9424631422438</v>
      </c>
      <c r="I595" s="304">
        <f t="shared" ca="1" si="274"/>
        <v>104.19408289486464</v>
      </c>
      <c r="J595" s="306">
        <f t="shared" ca="1" si="275"/>
        <v>837.4075040097224</v>
      </c>
      <c r="K595" s="307">
        <f t="shared" ca="1" si="276"/>
        <v>-11.228083997924976</v>
      </c>
      <c r="L595" s="304">
        <f t="shared" ca="1" si="261"/>
        <v>837.48277453453204</v>
      </c>
      <c r="M595" s="306">
        <f t="shared" ca="1" si="277"/>
        <v>-1.501285369030535</v>
      </c>
      <c r="N595" s="304">
        <f t="shared" ca="1" si="278"/>
        <v>-86.017315490189958</v>
      </c>
      <c r="P595" s="310">
        <f t="shared" ca="1" si="279"/>
        <v>23</v>
      </c>
      <c r="Q595" s="304">
        <f t="shared" ca="1" si="280"/>
        <v>0</v>
      </c>
      <c r="R595" s="306">
        <f t="shared" ca="1" si="281"/>
        <v>0</v>
      </c>
      <c r="S595" s="307">
        <f t="shared" ca="1" si="282"/>
        <v>2.9362999999999984</v>
      </c>
      <c r="T595" s="304">
        <f t="shared" ca="1" si="262"/>
        <v>28.805102999999985</v>
      </c>
      <c r="U595" s="311">
        <f t="shared" ca="1" si="263"/>
        <v>0</v>
      </c>
      <c r="V595" s="306">
        <f t="shared" ca="1" si="264"/>
        <v>1.2263762129014486</v>
      </c>
      <c r="W595" s="304">
        <f t="shared" ca="1" si="265"/>
        <v>27.167707474218055</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0.53396739240991664</v>
      </c>
      <c r="AH595" s="304">
        <f t="shared" ca="1" si="289"/>
        <v>-9.2523418553943575</v>
      </c>
    </row>
    <row r="596" spans="1:34" x14ac:dyDescent="0.2">
      <c r="A596" s="347">
        <f t="shared" ca="1" si="267"/>
        <v>1E-4</v>
      </c>
      <c r="B596" s="304">
        <f t="shared" ca="1" si="268"/>
        <v>37.10870000000051</v>
      </c>
      <c r="D596" s="306">
        <f t="shared" ca="1" si="269"/>
        <v>-0.6426226785665794</v>
      </c>
      <c r="E596" s="307">
        <f t="shared" ca="1" si="270"/>
        <v>-0.57998270058340928</v>
      </c>
      <c r="F596" s="304">
        <f t="shared" ca="1" si="271"/>
        <v>0.86564648672775757</v>
      </c>
      <c r="G596" s="306">
        <f t="shared" ca="1" si="272"/>
        <v>7.23673518398006</v>
      </c>
      <c r="H596" s="307">
        <f t="shared" ca="1" si="273"/>
        <v>-103.94252114051385</v>
      </c>
      <c r="I596" s="304">
        <f t="shared" ca="1" si="274"/>
        <v>104.19413628976068</v>
      </c>
      <c r="J596" s="306">
        <f t="shared" ca="1" si="275"/>
        <v>837.4075040097224</v>
      </c>
      <c r="K596" s="307">
        <f t="shared" ca="1" si="276"/>
        <v>-11.238478247139113</v>
      </c>
      <c r="L596" s="304">
        <f t="shared" ca="1" si="261"/>
        <v>837.48291395413241</v>
      </c>
      <c r="M596" s="306">
        <f t="shared" ca="1" si="277"/>
        <v>-1.5012860229574445</v>
      </c>
      <c r="N596" s="304">
        <f t="shared" ca="1" si="278"/>
        <v>-86.017352957441986</v>
      </c>
      <c r="P596" s="310">
        <f t="shared" ca="1" si="279"/>
        <v>23</v>
      </c>
      <c r="Q596" s="304">
        <f t="shared" ca="1" si="280"/>
        <v>0</v>
      </c>
      <c r="R596" s="306">
        <f t="shared" ca="1" si="281"/>
        <v>0</v>
      </c>
      <c r="S596" s="307">
        <f t="shared" ca="1" si="282"/>
        <v>2.9362999999999984</v>
      </c>
      <c r="T596" s="304">
        <f t="shared" ca="1" si="262"/>
        <v>28.805102999999985</v>
      </c>
      <c r="U596" s="311">
        <f t="shared" ca="1" si="263"/>
        <v>0</v>
      </c>
      <c r="V596" s="306">
        <f t="shared" ca="1" si="264"/>
        <v>1.2263774876285121</v>
      </c>
      <c r="W596" s="304">
        <f t="shared" ca="1" si="265"/>
        <v>27.167763557586159</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0.53394873766747253</v>
      </c>
      <c r="AH596" s="304">
        <f t="shared" ca="1" si="289"/>
        <v>-9.252360955698693</v>
      </c>
    </row>
    <row r="597" spans="1:34" x14ac:dyDescent="0.2">
      <c r="A597" s="347">
        <f t="shared" ca="1" si="267"/>
        <v>1E-4</v>
      </c>
      <c r="B597" s="304">
        <f t="shared" ca="1" si="268"/>
        <v>37.108800000000514</v>
      </c>
      <c r="D597" s="306">
        <f t="shared" ca="1" si="269"/>
        <v>-0.64261796938858951</v>
      </c>
      <c r="E597" s="307">
        <f t="shared" ca="1" si="270"/>
        <v>-0.57996322646816623</v>
      </c>
      <c r="F597" s="304">
        <f t="shared" ca="1" si="271"/>
        <v>0.86562994324161391</v>
      </c>
      <c r="G597" s="306">
        <f t="shared" ca="1" si="272"/>
        <v>7.2366709221831211</v>
      </c>
      <c r="H597" s="307">
        <f t="shared" ca="1" si="273"/>
        <v>-103.9425791368365</v>
      </c>
      <c r="I597" s="304">
        <f t="shared" ca="1" si="274"/>
        <v>104.19418968279128</v>
      </c>
      <c r="J597" s="306">
        <f t="shared" ca="1" si="275"/>
        <v>837.4075040097224</v>
      </c>
      <c r="K597" s="307">
        <f t="shared" ca="1" si="276"/>
        <v>-11.248872502152981</v>
      </c>
      <c r="L597" s="304">
        <f t="shared" ca="1" si="261"/>
        <v>837.4830535027935</v>
      </c>
      <c r="M597" s="306">
        <f t="shared" ca="1" si="277"/>
        <v>-1.501286676877877</v>
      </c>
      <c r="N597" s="304">
        <f t="shared" ca="1" si="278"/>
        <v>-86.017390424322912</v>
      </c>
      <c r="P597" s="310">
        <f t="shared" ca="1" si="279"/>
        <v>23</v>
      </c>
      <c r="Q597" s="304">
        <f t="shared" ca="1" si="280"/>
        <v>0</v>
      </c>
      <c r="R597" s="306">
        <f t="shared" ca="1" si="281"/>
        <v>0</v>
      </c>
      <c r="S597" s="307">
        <f t="shared" ca="1" si="282"/>
        <v>2.9362999999999984</v>
      </c>
      <c r="T597" s="304">
        <f t="shared" ca="1" si="262"/>
        <v>28.805102999999985</v>
      </c>
      <c r="U597" s="311">
        <f t="shared" ca="1" si="263"/>
        <v>0</v>
      </c>
      <c r="V597" s="306">
        <f t="shared" ca="1" si="264"/>
        <v>1.2263787623576126</v>
      </c>
      <c r="W597" s="304">
        <f t="shared" ca="1" si="265"/>
        <v>27.167819640098738</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0.53393008320779067</v>
      </c>
      <c r="AH597" s="304">
        <f t="shared" ca="1" si="289"/>
        <v>-9.2523800557116687</v>
      </c>
    </row>
    <row r="598" spans="1:34" x14ac:dyDescent="0.2">
      <c r="A598" s="347">
        <f t="shared" ca="1" si="267"/>
        <v>1E-4</v>
      </c>
      <c r="B598" s="304">
        <f t="shared" ca="1" si="268"/>
        <v>37.108900000000517</v>
      </c>
      <c r="D598" s="306">
        <f t="shared" ca="1" si="269"/>
        <v>-0.64261326022495247</v>
      </c>
      <c r="E598" s="307">
        <f t="shared" ca="1" si="270"/>
        <v>-0.5799437526499549</v>
      </c>
      <c r="F598" s="304">
        <f t="shared" ca="1" si="271"/>
        <v>0.8656134001126915</v>
      </c>
      <c r="G598" s="306">
        <f t="shared" ca="1" si="272"/>
        <v>7.2366066608570989</v>
      </c>
      <c r="H598" s="307">
        <f t="shared" ca="1" si="273"/>
        <v>-103.94263713121177</v>
      </c>
      <c r="I598" s="304">
        <f t="shared" ca="1" si="274"/>
        <v>104.19424307395647</v>
      </c>
      <c r="J598" s="306">
        <f t="shared" ca="1" si="275"/>
        <v>837.4075040097224</v>
      </c>
      <c r="K598" s="307">
        <f t="shared" ca="1" si="276"/>
        <v>-11.259266762966384</v>
      </c>
      <c r="L598" s="304">
        <f t="shared" ca="1" si="261"/>
        <v>837.48319318051563</v>
      </c>
      <c r="M598" s="306">
        <f t="shared" ca="1" si="277"/>
        <v>-1.5012873307918324</v>
      </c>
      <c r="N598" s="304">
        <f t="shared" ca="1" si="278"/>
        <v>-86.017427890832721</v>
      </c>
      <c r="P598" s="310">
        <f t="shared" ca="1" si="279"/>
        <v>23</v>
      </c>
      <c r="Q598" s="304">
        <f t="shared" ca="1" si="280"/>
        <v>0</v>
      </c>
      <c r="R598" s="306">
        <f t="shared" ca="1" si="281"/>
        <v>0</v>
      </c>
      <c r="S598" s="307">
        <f t="shared" ca="1" si="282"/>
        <v>2.9362999999999984</v>
      </c>
      <c r="T598" s="304">
        <f t="shared" ca="1" si="262"/>
        <v>28.805102999999985</v>
      </c>
      <c r="U598" s="311">
        <f t="shared" ca="1" si="263"/>
        <v>0</v>
      </c>
      <c r="V598" s="306">
        <f t="shared" ca="1" si="264"/>
        <v>1.2263800370887494</v>
      </c>
      <c r="W598" s="304">
        <f t="shared" ca="1" si="265"/>
        <v>27.167875721755802</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0.5339114290308693</v>
      </c>
      <c r="AH598" s="304">
        <f t="shared" ca="1" si="289"/>
        <v>-9.2523991554332845</v>
      </c>
    </row>
    <row r="599" spans="1:34" x14ac:dyDescent="0.2">
      <c r="A599" s="347">
        <f t="shared" ca="1" si="267"/>
        <v>1E-4</v>
      </c>
      <c r="B599" s="304">
        <f t="shared" ca="1" si="268"/>
        <v>37.10900000000052</v>
      </c>
      <c r="D599" s="306">
        <f t="shared" ca="1" si="269"/>
        <v>-0.6426085510756695</v>
      </c>
      <c r="E599" s="307">
        <f t="shared" ca="1" si="270"/>
        <v>-0.57992427912876998</v>
      </c>
      <c r="F599" s="304">
        <f t="shared" ca="1" si="271"/>
        <v>0.86559685734098812</v>
      </c>
      <c r="G599" s="306">
        <f t="shared" ca="1" si="272"/>
        <v>7.2365424000019916</v>
      </c>
      <c r="H599" s="307">
        <f t="shared" ca="1" si="273"/>
        <v>-103.94269512363968</v>
      </c>
      <c r="I599" s="304">
        <f t="shared" ca="1" si="274"/>
        <v>104.19429646325625</v>
      </c>
      <c r="J599" s="306">
        <f t="shared" ca="1" si="275"/>
        <v>837.4075040097224</v>
      </c>
      <c r="K599" s="307">
        <f t="shared" ca="1" si="276"/>
        <v>-11.269661029579126</v>
      </c>
      <c r="L599" s="304">
        <f t="shared" ca="1" si="261"/>
        <v>837.48333298729881</v>
      </c>
      <c r="M599" s="306">
        <f t="shared" ca="1" si="277"/>
        <v>-1.501287984699311</v>
      </c>
      <c r="N599" s="304">
        <f t="shared" ca="1" si="278"/>
        <v>-86.017465356971428</v>
      </c>
      <c r="P599" s="310">
        <f t="shared" ca="1" si="279"/>
        <v>23</v>
      </c>
      <c r="Q599" s="304">
        <f t="shared" ca="1" si="280"/>
        <v>0</v>
      </c>
      <c r="R599" s="306">
        <f t="shared" ca="1" si="281"/>
        <v>0</v>
      </c>
      <c r="S599" s="307">
        <f t="shared" ca="1" si="282"/>
        <v>2.9362999999999984</v>
      </c>
      <c r="T599" s="304">
        <f t="shared" ca="1" si="262"/>
        <v>28.805102999999985</v>
      </c>
      <c r="U599" s="311">
        <f t="shared" ca="1" si="263"/>
        <v>0</v>
      </c>
      <c r="V599" s="306">
        <f t="shared" ca="1" si="264"/>
        <v>1.226381311821924</v>
      </c>
      <c r="W599" s="304">
        <f t="shared" ca="1" si="265"/>
        <v>27.167931802557373</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0.53389277513671018</v>
      </c>
      <c r="AH599" s="304">
        <f t="shared" ca="1" si="289"/>
        <v>-9.2524182548635423</v>
      </c>
    </row>
    <row r="600" spans="1:34" x14ac:dyDescent="0.2">
      <c r="A600" s="347">
        <f t="shared" ca="1" si="267"/>
        <v>1E-4</v>
      </c>
      <c r="B600" s="304">
        <f t="shared" ca="1" si="268"/>
        <v>37.109100000000524</v>
      </c>
      <c r="D600" s="306">
        <f t="shared" ca="1" si="269"/>
        <v>-0.64260384194073983</v>
      </c>
      <c r="E600" s="307">
        <f t="shared" ca="1" si="270"/>
        <v>-0.57990480590461146</v>
      </c>
      <c r="F600" s="304">
        <f t="shared" ca="1" si="271"/>
        <v>0.86558031492650322</v>
      </c>
      <c r="G600" s="306">
        <f t="shared" ca="1" si="272"/>
        <v>7.2364781396177973</v>
      </c>
      <c r="H600" s="307">
        <f t="shared" ca="1" si="273"/>
        <v>-103.94275311412026</v>
      </c>
      <c r="I600" s="304">
        <f t="shared" ca="1" si="274"/>
        <v>104.19434985069068</v>
      </c>
      <c r="J600" s="306">
        <f t="shared" ca="1" si="275"/>
        <v>837.4075040097224</v>
      </c>
      <c r="K600" s="307">
        <f t="shared" ca="1" si="276"/>
        <v>-11.280055301991014</v>
      </c>
      <c r="L600" s="304">
        <f t="shared" ca="1" si="261"/>
        <v>837.48347292314327</v>
      </c>
      <c r="M600" s="306">
        <f t="shared" ca="1" si="277"/>
        <v>-1.5012886386003128</v>
      </c>
      <c r="N600" s="304">
        <f t="shared" ca="1" si="278"/>
        <v>-86.017502822739047</v>
      </c>
      <c r="P600" s="310">
        <f t="shared" ca="1" si="279"/>
        <v>23</v>
      </c>
      <c r="Q600" s="304">
        <f t="shared" ca="1" si="280"/>
        <v>0</v>
      </c>
      <c r="R600" s="306">
        <f t="shared" ca="1" si="281"/>
        <v>0</v>
      </c>
      <c r="S600" s="307">
        <f t="shared" ca="1" si="282"/>
        <v>2.9362999999999984</v>
      </c>
      <c r="T600" s="304">
        <f t="shared" ca="1" si="262"/>
        <v>28.805102999999985</v>
      </c>
      <c r="U600" s="311">
        <f t="shared" ca="1" si="263"/>
        <v>0</v>
      </c>
      <c r="V600" s="306">
        <f t="shared" ca="1" si="264"/>
        <v>1.2263825865571354</v>
      </c>
      <c r="W600" s="304">
        <f t="shared" ca="1" si="265"/>
        <v>27.167987882503454</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0.53387412152530445</v>
      </c>
      <c r="AH600" s="304">
        <f t="shared" ca="1" si="289"/>
        <v>-9.2524373540024474</v>
      </c>
    </row>
    <row r="601" spans="1:34" x14ac:dyDescent="0.2">
      <c r="A601" s="347">
        <f t="shared" ca="1" si="267"/>
        <v>1E-4</v>
      </c>
      <c r="B601" s="304">
        <f t="shared" ca="1" si="268"/>
        <v>37.109200000000527</v>
      </c>
      <c r="D601" s="306">
        <f t="shared" ca="1" si="269"/>
        <v>-0.6425991328201649</v>
      </c>
      <c r="E601" s="307">
        <f t="shared" ca="1" si="270"/>
        <v>-0.57988533297746869</v>
      </c>
      <c r="F601" s="304">
        <f t="shared" ca="1" si="271"/>
        <v>0.86556377286923103</v>
      </c>
      <c r="G601" s="306">
        <f t="shared" ca="1" si="272"/>
        <v>7.2364138797045152</v>
      </c>
      <c r="H601" s="307">
        <f t="shared" ca="1" si="273"/>
        <v>-103.94281110265356</v>
      </c>
      <c r="I601" s="304">
        <f t="shared" ca="1" si="274"/>
        <v>104.19440323625977</v>
      </c>
      <c r="J601" s="306">
        <f t="shared" ca="1" si="275"/>
        <v>837.4075040097224</v>
      </c>
      <c r="K601" s="307">
        <f t="shared" ca="1" si="276"/>
        <v>-11.290449580201853</v>
      </c>
      <c r="L601" s="304">
        <f t="shared" ca="1" si="261"/>
        <v>837.483612988049</v>
      </c>
      <c r="M601" s="306">
        <f t="shared" ca="1" si="277"/>
        <v>-1.501289292494838</v>
      </c>
      <c r="N601" s="304">
        <f t="shared" ca="1" si="278"/>
        <v>-86.017540288135592</v>
      </c>
      <c r="P601" s="310">
        <f t="shared" ca="1" si="279"/>
        <v>23</v>
      </c>
      <c r="Q601" s="304">
        <f t="shared" ca="1" si="280"/>
        <v>0</v>
      </c>
      <c r="R601" s="306">
        <f t="shared" ca="1" si="281"/>
        <v>0</v>
      </c>
      <c r="S601" s="307">
        <f t="shared" ca="1" si="282"/>
        <v>2.9362999999999984</v>
      </c>
      <c r="T601" s="304">
        <f t="shared" ca="1" si="262"/>
        <v>28.805102999999985</v>
      </c>
      <c r="U601" s="311">
        <f t="shared" ca="1" si="263"/>
        <v>0</v>
      </c>
      <c r="V601" s="306">
        <f t="shared" ca="1" si="264"/>
        <v>1.2263838612943836</v>
      </c>
      <c r="W601" s="304">
        <f t="shared" ca="1" si="265"/>
        <v>27.168043961594044</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0.53385546819665031</v>
      </c>
      <c r="AH601" s="304">
        <f t="shared" ca="1" si="289"/>
        <v>-9.2524564528500051</v>
      </c>
    </row>
    <row r="602" spans="1:34" x14ac:dyDescent="0.2">
      <c r="A602" s="347">
        <f t="shared" ca="1" si="267"/>
        <v>1E-4</v>
      </c>
      <c r="B602" s="304">
        <f t="shared" ca="1" si="268"/>
        <v>37.10930000000053</v>
      </c>
      <c r="D602" s="306">
        <f t="shared" ca="1" si="269"/>
        <v>-0.64259442371394293</v>
      </c>
      <c r="E602" s="307">
        <f t="shared" ca="1" si="270"/>
        <v>-0.579865860347347</v>
      </c>
      <c r="F602" s="304">
        <f t="shared" ca="1" si="271"/>
        <v>0.86554723116917387</v>
      </c>
      <c r="G602" s="306">
        <f t="shared" ca="1" si="272"/>
        <v>7.2363496202621436</v>
      </c>
      <c r="H602" s="307">
        <f t="shared" ca="1" si="273"/>
        <v>-103.94286908923959</v>
      </c>
      <c r="I602" s="304">
        <f t="shared" ca="1" si="274"/>
        <v>104.19445661996356</v>
      </c>
      <c r="J602" s="306">
        <f t="shared" ca="1" si="275"/>
        <v>837.4075040097224</v>
      </c>
      <c r="K602" s="307">
        <f t="shared" ca="1" si="276"/>
        <v>-11.300843864211448</v>
      </c>
      <c r="L602" s="304">
        <f t="shared" ca="1" si="261"/>
        <v>837.48375318201636</v>
      </c>
      <c r="M602" s="306">
        <f t="shared" ca="1" si="277"/>
        <v>-1.5012899463828864</v>
      </c>
      <c r="N602" s="304">
        <f t="shared" ca="1" si="278"/>
        <v>-86.017577753161035</v>
      </c>
      <c r="P602" s="310">
        <f t="shared" ca="1" si="279"/>
        <v>23</v>
      </c>
      <c r="Q602" s="304">
        <f t="shared" ca="1" si="280"/>
        <v>0</v>
      </c>
      <c r="R602" s="306">
        <f t="shared" ca="1" si="281"/>
        <v>0</v>
      </c>
      <c r="S602" s="307">
        <f t="shared" ca="1" si="282"/>
        <v>2.9362999999999984</v>
      </c>
      <c r="T602" s="304">
        <f t="shared" ca="1" si="262"/>
        <v>28.805102999999985</v>
      </c>
      <c r="U602" s="311">
        <f t="shared" ca="1" si="263"/>
        <v>0</v>
      </c>
      <c r="V602" s="306">
        <f t="shared" ca="1" si="264"/>
        <v>1.2263851360336682</v>
      </c>
      <c r="W602" s="304">
        <f t="shared" ca="1" si="265"/>
        <v>27.168100039829156</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0.53383681515074777</v>
      </c>
      <c r="AH602" s="304">
        <f t="shared" ca="1" si="289"/>
        <v>-9.2524755514062118</v>
      </c>
    </row>
    <row r="603" spans="1:34" x14ac:dyDescent="0.2">
      <c r="A603" s="347">
        <f t="shared" ca="1" si="267"/>
        <v>1E-4</v>
      </c>
      <c r="B603" s="304">
        <f t="shared" ca="1" si="268"/>
        <v>37.109400000000534</v>
      </c>
      <c r="D603" s="306">
        <f t="shared" ca="1" si="269"/>
        <v>-0.64258971462207781</v>
      </c>
      <c r="E603" s="307">
        <f t="shared" ca="1" si="270"/>
        <v>-0.57984638801424282</v>
      </c>
      <c r="F603" s="304">
        <f t="shared" ca="1" si="271"/>
        <v>0.86553068982633263</v>
      </c>
      <c r="G603" s="306">
        <f t="shared" ca="1" si="272"/>
        <v>7.2362853612906815</v>
      </c>
      <c r="H603" s="307">
        <f t="shared" ca="1" si="273"/>
        <v>-103.94292707387839</v>
      </c>
      <c r="I603" s="304">
        <f t="shared" ca="1" si="274"/>
        <v>104.19451000180207</v>
      </c>
      <c r="J603" s="306">
        <f t="shared" ca="1" si="275"/>
        <v>837.4075040097224</v>
      </c>
      <c r="K603" s="307">
        <f t="shared" ca="1" si="276"/>
        <v>-11.311238154019604</v>
      </c>
      <c r="L603" s="304">
        <f t="shared" ca="1" si="261"/>
        <v>837.48389350504544</v>
      </c>
      <c r="M603" s="306">
        <f t="shared" ca="1" si="277"/>
        <v>-1.5012906002644584</v>
      </c>
      <c r="N603" s="304">
        <f t="shared" ca="1" si="278"/>
        <v>-86.017615217815418</v>
      </c>
      <c r="P603" s="310">
        <f t="shared" ca="1" si="279"/>
        <v>23</v>
      </c>
      <c r="Q603" s="304">
        <f t="shared" ca="1" si="280"/>
        <v>0</v>
      </c>
      <c r="R603" s="306">
        <f t="shared" ca="1" si="281"/>
        <v>0</v>
      </c>
      <c r="S603" s="307">
        <f t="shared" ca="1" si="282"/>
        <v>2.9362999999999984</v>
      </c>
      <c r="T603" s="304">
        <f t="shared" ca="1" si="262"/>
        <v>28.805102999999985</v>
      </c>
      <c r="U603" s="311">
        <f t="shared" ca="1" si="263"/>
        <v>0</v>
      </c>
      <c r="V603" s="306">
        <f t="shared" ca="1" si="264"/>
        <v>1.2263864107749902</v>
      </c>
      <c r="W603" s="304">
        <f t="shared" ca="1" si="265"/>
        <v>27.168156117208813</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0.53381816238759505</v>
      </c>
      <c r="AH603" s="304">
        <f t="shared" ca="1" si="289"/>
        <v>-9.2524946496710729</v>
      </c>
    </row>
    <row r="604" spans="1:34" x14ac:dyDescent="0.2">
      <c r="A604" s="347">
        <f t="shared" ca="1" si="267"/>
        <v>1E-4</v>
      </c>
      <c r="B604" s="304">
        <f t="shared" ca="1" si="268"/>
        <v>37.109500000000537</v>
      </c>
      <c r="D604" s="306">
        <f t="shared" ca="1" si="269"/>
        <v>-0.64258500554456666</v>
      </c>
      <c r="E604" s="307">
        <f t="shared" ca="1" si="270"/>
        <v>-0.57982691597814551</v>
      </c>
      <c r="F604" s="304">
        <f t="shared" ca="1" si="271"/>
        <v>0.86551414884069811</v>
      </c>
      <c r="G604" s="306">
        <f t="shared" ca="1" si="272"/>
        <v>7.2362211027901271</v>
      </c>
      <c r="H604" s="307">
        <f t="shared" ca="1" si="273"/>
        <v>-103.94298505657</v>
      </c>
      <c r="I604" s="304">
        <f t="shared" ca="1" si="274"/>
        <v>104.19456338177534</v>
      </c>
      <c r="J604" s="306">
        <f t="shared" ca="1" si="275"/>
        <v>837.4075040097224</v>
      </c>
      <c r="K604" s="307">
        <f t="shared" ca="1" si="276"/>
        <v>-11.321632449626126</v>
      </c>
      <c r="L604" s="304">
        <f t="shared" ca="1" si="261"/>
        <v>837.48403395713615</v>
      </c>
      <c r="M604" s="306">
        <f t="shared" ca="1" si="277"/>
        <v>-1.5012912541395538</v>
      </c>
      <c r="N604" s="304">
        <f t="shared" ca="1" si="278"/>
        <v>-86.017652682098714</v>
      </c>
      <c r="P604" s="310">
        <f t="shared" ca="1" si="279"/>
        <v>23</v>
      </c>
      <c r="Q604" s="304">
        <f t="shared" ca="1" si="280"/>
        <v>0</v>
      </c>
      <c r="R604" s="306">
        <f t="shared" ca="1" si="281"/>
        <v>0</v>
      </c>
      <c r="S604" s="307">
        <f t="shared" ca="1" si="282"/>
        <v>2.9362999999999984</v>
      </c>
      <c r="T604" s="304">
        <f t="shared" ca="1" si="262"/>
        <v>28.805102999999985</v>
      </c>
      <c r="U604" s="311">
        <f t="shared" ca="1" si="263"/>
        <v>0</v>
      </c>
      <c r="V604" s="306">
        <f t="shared" ca="1" si="264"/>
        <v>1.2263876855183493</v>
      </c>
      <c r="W604" s="304">
        <f t="shared" ca="1" si="265"/>
        <v>27.168212193733019</v>
      </c>
      <c r="Y604" s="314" t="str">
        <f t="shared" ca="1" si="283"/>
        <v/>
      </c>
      <c r="Z604" s="315" t="str">
        <f t="shared" ca="1" si="284"/>
        <v/>
      </c>
      <c r="AA604" s="316" t="str">
        <f t="shared" ca="1" si="285"/>
        <v/>
      </c>
      <c r="AC604" s="310" t="e">
        <f t="shared" ca="1" si="286"/>
        <v>#N/A</v>
      </c>
      <c r="AD604" s="323" t="e">
        <f t="shared" ca="1" si="287"/>
        <v>#N/A</v>
      </c>
      <c r="AE604" s="324" t="e">
        <f t="shared" ca="1" si="266"/>
        <v>#N/A</v>
      </c>
      <c r="AG604" s="306">
        <f t="shared" ca="1" si="288"/>
        <v>0.53379950990718328</v>
      </c>
      <c r="AH604" s="304">
        <f t="shared" ca="1" si="289"/>
        <v>-9.2525137476445956</v>
      </c>
    </row>
    <row r="605" spans="1:34" x14ac:dyDescent="0.2">
      <c r="A605" s="347">
        <f t="shared" ca="1" si="267"/>
        <v>1E-4</v>
      </c>
      <c r="B605" s="304">
        <f t="shared" ca="1" si="268"/>
        <v>37.10960000000054</v>
      </c>
      <c r="D605" s="306">
        <f t="shared" ca="1" si="269"/>
        <v>-0.64258029648141257</v>
      </c>
      <c r="E605" s="307">
        <f t="shared" ca="1" si="270"/>
        <v>-0.57980744423905328</v>
      </c>
      <c r="F605" s="304">
        <f t="shared" ca="1" si="271"/>
        <v>0.86549760821227173</v>
      </c>
      <c r="G605" s="306">
        <f t="shared" ca="1" si="272"/>
        <v>7.2361568447604787</v>
      </c>
      <c r="H605" s="307">
        <f t="shared" ca="1" si="273"/>
        <v>-103.94304303731442</v>
      </c>
      <c r="I605" s="304">
        <f t="shared" ca="1" si="274"/>
        <v>104.19461675988339</v>
      </c>
      <c r="J605" s="306">
        <f t="shared" ca="1" si="275"/>
        <v>837.4075040097224</v>
      </c>
      <c r="K605" s="307">
        <f t="shared" ca="1" si="276"/>
        <v>-11.332026751030821</v>
      </c>
      <c r="L605" s="304">
        <f t="shared" ca="1" si="261"/>
        <v>837.48417453828904</v>
      </c>
      <c r="M605" s="306">
        <f t="shared" ca="1" si="277"/>
        <v>-1.501291908008173</v>
      </c>
      <c r="N605" s="304">
        <f t="shared" ca="1" si="278"/>
        <v>-86.017690146010949</v>
      </c>
      <c r="P605" s="310">
        <f t="shared" ca="1" si="279"/>
        <v>23</v>
      </c>
      <c r="Q605" s="304">
        <f t="shared" ca="1" si="280"/>
        <v>0</v>
      </c>
      <c r="R605" s="306">
        <f t="shared" ca="1" si="281"/>
        <v>0</v>
      </c>
      <c r="S605" s="307">
        <f t="shared" ca="1" si="282"/>
        <v>2.9362999999999984</v>
      </c>
      <c r="T605" s="304">
        <f t="shared" ca="1" si="262"/>
        <v>28.805102999999985</v>
      </c>
      <c r="U605" s="311">
        <f t="shared" ca="1" si="263"/>
        <v>0</v>
      </c>
      <c r="V605" s="306">
        <f t="shared" ca="1" si="264"/>
        <v>1.2263889602637448</v>
      </c>
      <c r="W605" s="304">
        <f t="shared" ca="1" si="265"/>
        <v>27.168268269401786</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0.53378085770951067</v>
      </c>
      <c r="AH605" s="304">
        <f t="shared" ca="1" si="289"/>
        <v>-9.2525328453267832</v>
      </c>
    </row>
    <row r="606" spans="1:34" x14ac:dyDescent="0.2">
      <c r="A606" s="347">
        <f t="shared" ca="1" si="267"/>
        <v>1E-4</v>
      </c>
      <c r="B606" s="304">
        <f t="shared" ca="1" si="268"/>
        <v>37.109700000000544</v>
      </c>
      <c r="D606" s="306">
        <f t="shared" ca="1" si="269"/>
        <v>-0.64257558743261278</v>
      </c>
      <c r="E606" s="307">
        <f t="shared" ca="1" si="270"/>
        <v>-0.57978797279696437</v>
      </c>
      <c r="F606" s="304">
        <f t="shared" ca="1" si="271"/>
        <v>0.86548106794105029</v>
      </c>
      <c r="G606" s="306">
        <f t="shared" ca="1" si="272"/>
        <v>7.2360925872017354</v>
      </c>
      <c r="H606" s="307">
        <f t="shared" ca="1" si="273"/>
        <v>-103.94310101611171</v>
      </c>
      <c r="I606" s="304">
        <f t="shared" ca="1" si="274"/>
        <v>104.19467013612625</v>
      </c>
      <c r="J606" s="306">
        <f t="shared" ca="1" si="275"/>
        <v>837.4075040097224</v>
      </c>
      <c r="K606" s="307">
        <f t="shared" ca="1" si="276"/>
        <v>-11.342421058233493</v>
      </c>
      <c r="L606" s="304">
        <f t="shared" ca="1" si="261"/>
        <v>837.48431524850389</v>
      </c>
      <c r="M606" s="306">
        <f t="shared" ca="1" si="277"/>
        <v>-1.5012925618703157</v>
      </c>
      <c r="N606" s="304">
        <f t="shared" ca="1" si="278"/>
        <v>-86.017727609552111</v>
      </c>
      <c r="P606" s="310">
        <f t="shared" ca="1" si="279"/>
        <v>23</v>
      </c>
      <c r="Q606" s="304">
        <f t="shared" ca="1" si="280"/>
        <v>0</v>
      </c>
      <c r="R606" s="306">
        <f t="shared" ca="1" si="281"/>
        <v>0</v>
      </c>
      <c r="S606" s="307">
        <f t="shared" ca="1" si="282"/>
        <v>2.9362999999999984</v>
      </c>
      <c r="T606" s="304">
        <f t="shared" ca="1" si="262"/>
        <v>28.805102999999985</v>
      </c>
      <c r="U606" s="311">
        <f t="shared" ca="1" si="263"/>
        <v>0</v>
      </c>
      <c r="V606" s="306">
        <f t="shared" ca="1" si="264"/>
        <v>1.2263902350111773</v>
      </c>
      <c r="W606" s="304">
        <f t="shared" ca="1" si="265"/>
        <v>27.168324344215126</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0.53376220579457545</v>
      </c>
      <c r="AH606" s="304">
        <f t="shared" ca="1" si="289"/>
        <v>-9.2525519427176377</v>
      </c>
    </row>
    <row r="607" spans="1:34" x14ac:dyDescent="0.2">
      <c r="A607" s="347">
        <f t="shared" ca="1" si="267"/>
        <v>1E-4</v>
      </c>
      <c r="B607" s="304">
        <f t="shared" ca="1" si="268"/>
        <v>37.109800000000547</v>
      </c>
      <c r="D607" s="306">
        <f t="shared" ca="1" si="269"/>
        <v>-0.64257087839817262</v>
      </c>
      <c r="E607" s="307">
        <f t="shared" ca="1" si="270"/>
        <v>-0.57976850165187521</v>
      </c>
      <c r="F607" s="304">
        <f t="shared" ca="1" si="271"/>
        <v>0.86546452802703566</v>
      </c>
      <c r="G607" s="306">
        <f t="shared" ca="1" si="272"/>
        <v>7.2360283301138955</v>
      </c>
      <c r="H607" s="307">
        <f t="shared" ca="1" si="273"/>
        <v>-103.94315899296188</v>
      </c>
      <c r="I607" s="304">
        <f t="shared" ca="1" si="274"/>
        <v>104.19472351050393</v>
      </c>
      <c r="J607" s="306">
        <f t="shared" ca="1" si="275"/>
        <v>837.4075040097224</v>
      </c>
      <c r="K607" s="307">
        <f t="shared" ca="1" si="276"/>
        <v>-11.352815371233946</v>
      </c>
      <c r="L607" s="304">
        <f t="shared" ca="1" si="261"/>
        <v>837.48445608778104</v>
      </c>
      <c r="M607" s="306">
        <f t="shared" ca="1" si="277"/>
        <v>-1.5012932157259822</v>
      </c>
      <c r="N607" s="304">
        <f t="shared" ca="1" si="278"/>
        <v>-86.017765072722213</v>
      </c>
      <c r="P607" s="310">
        <f t="shared" ca="1" si="279"/>
        <v>23</v>
      </c>
      <c r="Q607" s="304">
        <f t="shared" ca="1" si="280"/>
        <v>0</v>
      </c>
      <c r="R607" s="306">
        <f t="shared" ca="1" si="281"/>
        <v>0</v>
      </c>
      <c r="S607" s="307">
        <f t="shared" ca="1" si="282"/>
        <v>2.9362999999999984</v>
      </c>
      <c r="T607" s="304">
        <f t="shared" ca="1" si="262"/>
        <v>28.805102999999985</v>
      </c>
      <c r="U607" s="311">
        <f t="shared" ca="1" si="263"/>
        <v>0</v>
      </c>
      <c r="V607" s="306">
        <f t="shared" ca="1" si="264"/>
        <v>1.2263915097606461</v>
      </c>
      <c r="W607" s="304">
        <f t="shared" ca="1" si="265"/>
        <v>27.168380418173019</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0.53374355416237051</v>
      </c>
      <c r="AH607" s="304">
        <f t="shared" ca="1" si="289"/>
        <v>-9.2525710398171643</v>
      </c>
    </row>
    <row r="608" spans="1:34" x14ac:dyDescent="0.2">
      <c r="A608" s="347">
        <f t="shared" ca="1" si="267"/>
        <v>1E-4</v>
      </c>
      <c r="B608" s="304">
        <f t="shared" ca="1" si="268"/>
        <v>37.10990000000055</v>
      </c>
      <c r="D608" s="306">
        <f t="shared" ca="1" si="269"/>
        <v>-0.6425661693780883</v>
      </c>
      <c r="E608" s="307">
        <f t="shared" ca="1" si="270"/>
        <v>-0.57974903080378937</v>
      </c>
      <c r="F608" s="304">
        <f t="shared" ca="1" si="271"/>
        <v>0.86544798847022764</v>
      </c>
      <c r="G608" s="306">
        <f t="shared" ca="1" si="272"/>
        <v>7.2359640734969579</v>
      </c>
      <c r="H608" s="307">
        <f t="shared" ca="1" si="273"/>
        <v>-103.94321696786497</v>
      </c>
      <c r="I608" s="304">
        <f t="shared" ca="1" si="274"/>
        <v>104.19477688301652</v>
      </c>
      <c r="J608" s="306">
        <f t="shared" ca="1" si="275"/>
        <v>837.4075040097224</v>
      </c>
      <c r="K608" s="307">
        <f t="shared" ca="1" si="276"/>
        <v>-11.363209690031988</v>
      </c>
      <c r="L608" s="304">
        <f t="shared" ca="1" si="261"/>
        <v>837.48459705612072</v>
      </c>
      <c r="M608" s="306">
        <f t="shared" ca="1" si="277"/>
        <v>-1.5012938695751727</v>
      </c>
      <c r="N608" s="304">
        <f t="shared" ca="1" si="278"/>
        <v>-86.01780253552127</v>
      </c>
      <c r="P608" s="310">
        <f t="shared" ca="1" si="279"/>
        <v>23</v>
      </c>
      <c r="Q608" s="304">
        <f t="shared" ca="1" si="280"/>
        <v>0</v>
      </c>
      <c r="R608" s="306">
        <f t="shared" ca="1" si="281"/>
        <v>0</v>
      </c>
      <c r="S608" s="307">
        <f t="shared" ca="1" si="282"/>
        <v>2.9362999999999984</v>
      </c>
      <c r="T608" s="304">
        <f t="shared" ca="1" si="262"/>
        <v>28.805102999999985</v>
      </c>
      <c r="U608" s="311">
        <f t="shared" ca="1" si="263"/>
        <v>0</v>
      </c>
      <c r="V608" s="306">
        <f t="shared" ca="1" si="264"/>
        <v>1.2263927845121523</v>
      </c>
      <c r="W608" s="304">
        <f t="shared" ca="1" si="265"/>
        <v>27.168436491275536</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0.53372490281290474</v>
      </c>
      <c r="AH608" s="304">
        <f t="shared" ca="1" si="289"/>
        <v>-9.252590136625356</v>
      </c>
    </row>
    <row r="609" spans="1:34" x14ac:dyDescent="0.2">
      <c r="A609" s="347">
        <f t="shared" ca="1" si="267"/>
        <v>1E-4</v>
      </c>
      <c r="B609" s="304">
        <f t="shared" ca="1" si="268"/>
        <v>37.110000000000554</v>
      </c>
      <c r="D609" s="306">
        <f t="shared" ca="1" si="269"/>
        <v>-0.64256146037236073</v>
      </c>
      <c r="E609" s="307">
        <f t="shared" ca="1" si="270"/>
        <v>-0.57972956025268374</v>
      </c>
      <c r="F609" s="304">
        <f t="shared" ca="1" si="271"/>
        <v>0.86543144927061144</v>
      </c>
      <c r="G609" s="306">
        <f t="shared" ca="1" si="272"/>
        <v>7.235899817350921</v>
      </c>
      <c r="H609" s="307">
        <f t="shared" ca="1" si="273"/>
        <v>-103.943274940821</v>
      </c>
      <c r="I609" s="304">
        <f t="shared" ca="1" si="274"/>
        <v>104.19483025366395</v>
      </c>
      <c r="J609" s="306">
        <f t="shared" ca="1" si="275"/>
        <v>837.4075040097224</v>
      </c>
      <c r="K609" s="307">
        <f t="shared" ca="1" si="276"/>
        <v>-11.373604014627423</v>
      </c>
      <c r="L609" s="304">
        <f t="shared" ca="1" si="261"/>
        <v>837.48473815352293</v>
      </c>
      <c r="M609" s="306">
        <f t="shared" ca="1" si="277"/>
        <v>-1.5012945234178869</v>
      </c>
      <c r="N609" s="304">
        <f t="shared" ca="1" si="278"/>
        <v>-86.017839997949253</v>
      </c>
      <c r="P609" s="310">
        <f t="shared" ca="1" si="279"/>
        <v>23</v>
      </c>
      <c r="Q609" s="304">
        <f t="shared" ca="1" si="280"/>
        <v>0</v>
      </c>
      <c r="R609" s="306">
        <f t="shared" ca="1" si="281"/>
        <v>0</v>
      </c>
      <c r="S609" s="307">
        <f t="shared" ca="1" si="282"/>
        <v>2.9362999999999984</v>
      </c>
      <c r="T609" s="304">
        <f t="shared" ca="1" si="262"/>
        <v>28.805102999999985</v>
      </c>
      <c r="U609" s="311">
        <f t="shared" ca="1" si="263"/>
        <v>0</v>
      </c>
      <c r="V609" s="306">
        <f t="shared" ca="1" si="264"/>
        <v>1.226394059265695</v>
      </c>
      <c r="W609" s="304">
        <f t="shared" ca="1" si="265"/>
        <v>27.168492563522619</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0.53370625174615505</v>
      </c>
      <c r="AH609" s="304">
        <f t="shared" ca="1" si="289"/>
        <v>-9.2526092331422376</v>
      </c>
    </row>
    <row r="610" spans="1:34" x14ac:dyDescent="0.2">
      <c r="A610" s="347">
        <f t="shared" ca="1" si="267"/>
        <v>1E-4</v>
      </c>
      <c r="B610" s="304">
        <f t="shared" ca="1" si="268"/>
        <v>37.110100000000557</v>
      </c>
      <c r="D610" s="306">
        <f t="shared" ca="1" si="269"/>
        <v>-0.64255675138099322</v>
      </c>
      <c r="E610" s="307">
        <f t="shared" ca="1" si="270"/>
        <v>-0.57971008999857965</v>
      </c>
      <c r="F610" s="304">
        <f t="shared" ca="1" si="271"/>
        <v>0.86541491042820429</v>
      </c>
      <c r="G610" s="306">
        <f t="shared" ca="1" si="272"/>
        <v>7.235835561675783</v>
      </c>
      <c r="H610" s="307">
        <f t="shared" ca="1" si="273"/>
        <v>-103.94333291183</v>
      </c>
      <c r="I610" s="304">
        <f t="shared" ca="1" si="274"/>
        <v>104.19488362244633</v>
      </c>
      <c r="J610" s="306">
        <f t="shared" ca="1" si="275"/>
        <v>837.4075040097224</v>
      </c>
      <c r="K610" s="307">
        <f t="shared" ca="1" si="276"/>
        <v>-11.383998345020055</v>
      </c>
      <c r="L610" s="304">
        <f t="shared" ca="1" si="261"/>
        <v>837.48487937998777</v>
      </c>
      <c r="M610" s="306">
        <f t="shared" ca="1" si="277"/>
        <v>-1.5012951772541252</v>
      </c>
      <c r="N610" s="304">
        <f t="shared" ca="1" si="278"/>
        <v>-86.017877460006204</v>
      </c>
      <c r="P610" s="310">
        <f t="shared" ca="1" si="279"/>
        <v>23</v>
      </c>
      <c r="Q610" s="304">
        <f t="shared" ca="1" si="280"/>
        <v>0</v>
      </c>
      <c r="R610" s="306">
        <f t="shared" ca="1" si="281"/>
        <v>0</v>
      </c>
      <c r="S610" s="307">
        <f t="shared" ca="1" si="282"/>
        <v>2.9362999999999984</v>
      </c>
      <c r="T610" s="304">
        <f t="shared" ca="1" si="262"/>
        <v>28.805102999999985</v>
      </c>
      <c r="U610" s="311">
        <f t="shared" ca="1" si="263"/>
        <v>0</v>
      </c>
      <c r="V610" s="306">
        <f t="shared" ca="1" si="264"/>
        <v>1.2263953340212743</v>
      </c>
      <c r="W610" s="304">
        <f t="shared" ca="1" si="265"/>
        <v>27.168548634914323</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0.53368760096213741</v>
      </c>
      <c r="AH610" s="304">
        <f t="shared" ca="1" si="289"/>
        <v>-9.2526283293677878</v>
      </c>
    </row>
    <row r="611" spans="1:34" x14ac:dyDescent="0.2">
      <c r="A611" s="347">
        <f t="shared" ca="1" si="267"/>
        <v>1E-4</v>
      </c>
      <c r="B611" s="304">
        <f t="shared" ca="1" si="268"/>
        <v>37.11020000000056</v>
      </c>
      <c r="D611" s="306">
        <f t="shared" ca="1" si="269"/>
        <v>-0.64255204240398411</v>
      </c>
      <c r="E611" s="307">
        <f t="shared" ca="1" si="270"/>
        <v>-0.57969062004145755</v>
      </c>
      <c r="F611" s="304">
        <f t="shared" ca="1" si="271"/>
        <v>0.86539837194299185</v>
      </c>
      <c r="G611" s="306">
        <f t="shared" ca="1" si="272"/>
        <v>7.235771306471543</v>
      </c>
      <c r="H611" s="307">
        <f t="shared" ca="1" si="273"/>
        <v>-103.943390880892</v>
      </c>
      <c r="I611" s="304">
        <f t="shared" ca="1" si="274"/>
        <v>104.19493698936364</v>
      </c>
      <c r="J611" s="306">
        <f t="shared" ca="1" si="275"/>
        <v>837.4075040097224</v>
      </c>
      <c r="K611" s="307">
        <f t="shared" ca="1" si="276"/>
        <v>-11.394392681209691</v>
      </c>
      <c r="L611" s="304">
        <f t="shared" ca="1" si="261"/>
        <v>837.48502073551549</v>
      </c>
      <c r="M611" s="306">
        <f t="shared" ca="1" si="277"/>
        <v>-1.5012958310838875</v>
      </c>
      <c r="N611" s="304">
        <f t="shared" ca="1" si="278"/>
        <v>-86.017914921692096</v>
      </c>
      <c r="P611" s="310">
        <f t="shared" ca="1" si="279"/>
        <v>23</v>
      </c>
      <c r="Q611" s="304">
        <f t="shared" ca="1" si="280"/>
        <v>0</v>
      </c>
      <c r="R611" s="306">
        <f t="shared" ca="1" si="281"/>
        <v>0</v>
      </c>
      <c r="S611" s="307">
        <f t="shared" ca="1" si="282"/>
        <v>2.9362999999999984</v>
      </c>
      <c r="T611" s="304">
        <f t="shared" ca="1" si="262"/>
        <v>28.805102999999985</v>
      </c>
      <c r="U611" s="311">
        <f t="shared" ca="1" si="263"/>
        <v>0</v>
      </c>
      <c r="V611" s="306">
        <f t="shared" ca="1" si="264"/>
        <v>1.2263966087788907</v>
      </c>
      <c r="W611" s="304">
        <f t="shared" ca="1" si="265"/>
        <v>27.16860470545064</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0.53366895046083762</v>
      </c>
      <c r="AH611" s="304">
        <f t="shared" ca="1" si="289"/>
        <v>-9.2526474253020261</v>
      </c>
    </row>
    <row r="612" spans="1:34" x14ac:dyDescent="0.2">
      <c r="A612" s="347">
        <f t="shared" ca="1" si="267"/>
        <v>1E-4</v>
      </c>
      <c r="B612" s="304">
        <f t="shared" ca="1" si="268"/>
        <v>37.110300000000564</v>
      </c>
      <c r="D612" s="306">
        <f t="shared" ca="1" si="269"/>
        <v>-0.64254733344133397</v>
      </c>
      <c r="E612" s="307">
        <f t="shared" ca="1" si="270"/>
        <v>-0.57967115038131922</v>
      </c>
      <c r="F612" s="304">
        <f t="shared" ca="1" si="271"/>
        <v>0.86538183381497602</v>
      </c>
      <c r="G612" s="306">
        <f t="shared" ca="1" si="272"/>
        <v>7.2357070517381992</v>
      </c>
      <c r="H612" s="307">
        <f t="shared" ca="1" si="273"/>
        <v>-103.94344884800704</v>
      </c>
      <c r="I612" s="304">
        <f t="shared" ca="1" si="274"/>
        <v>104.19499035441594</v>
      </c>
      <c r="J612" s="306">
        <f t="shared" ca="1" si="275"/>
        <v>837.4075040097224</v>
      </c>
      <c r="K612" s="307">
        <f t="shared" ca="1" si="276"/>
        <v>-11.404787023196135</v>
      </c>
      <c r="L612" s="304">
        <f t="shared" ca="1" si="261"/>
        <v>837.4851622201063</v>
      </c>
      <c r="M612" s="306">
        <f t="shared" ca="1" si="277"/>
        <v>-1.5012964849071742</v>
      </c>
      <c r="N612" s="304">
        <f t="shared" ca="1" si="278"/>
        <v>-86.017952383006971</v>
      </c>
      <c r="P612" s="310">
        <f t="shared" ca="1" si="279"/>
        <v>23</v>
      </c>
      <c r="Q612" s="304">
        <f t="shared" ca="1" si="280"/>
        <v>0</v>
      </c>
      <c r="R612" s="306">
        <f t="shared" ca="1" si="281"/>
        <v>0</v>
      </c>
      <c r="S612" s="307">
        <f t="shared" ca="1" si="282"/>
        <v>2.9362999999999984</v>
      </c>
      <c r="T612" s="304">
        <f t="shared" ca="1" si="262"/>
        <v>28.805102999999985</v>
      </c>
      <c r="U612" s="311">
        <f t="shared" ca="1" si="263"/>
        <v>0</v>
      </c>
      <c r="V612" s="306">
        <f t="shared" ca="1" si="264"/>
        <v>1.2263978835385436</v>
      </c>
      <c r="W612" s="304">
        <f t="shared" ca="1" si="265"/>
        <v>27.168660775131585</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0.53365030024225923</v>
      </c>
      <c r="AH612" s="304">
        <f t="shared" ca="1" si="289"/>
        <v>-9.252666520944949</v>
      </c>
    </row>
    <row r="613" spans="1:34" x14ac:dyDescent="0.2">
      <c r="A613" s="347">
        <f t="shared" ca="1" si="267"/>
        <v>1E-4</v>
      </c>
      <c r="B613" s="304">
        <f t="shared" ca="1" si="268"/>
        <v>37.110400000000567</v>
      </c>
      <c r="D613" s="306">
        <f t="shared" ca="1" si="269"/>
        <v>-0.64254262449304245</v>
      </c>
      <c r="E613" s="307">
        <f t="shared" ca="1" si="270"/>
        <v>-0.57965168101815934</v>
      </c>
      <c r="F613" s="304">
        <f t="shared" ca="1" si="271"/>
        <v>0.86536529604415313</v>
      </c>
      <c r="G613" s="306">
        <f t="shared" ca="1" si="272"/>
        <v>7.2356427974757498</v>
      </c>
      <c r="H613" s="307">
        <f t="shared" ca="1" si="273"/>
        <v>-103.94350681317513</v>
      </c>
      <c r="I613" s="304">
        <f t="shared" ca="1" si="274"/>
        <v>104.19504371760323</v>
      </c>
      <c r="J613" s="306">
        <f t="shared" ca="1" si="275"/>
        <v>837.4075040097224</v>
      </c>
      <c r="K613" s="307">
        <f t="shared" ca="1" si="276"/>
        <v>-11.415181370979194</v>
      </c>
      <c r="L613" s="304">
        <f t="shared" ca="1" si="261"/>
        <v>837.48530383376021</v>
      </c>
      <c r="M613" s="306">
        <f t="shared" ca="1" si="277"/>
        <v>-1.5012971387239848</v>
      </c>
      <c r="N613" s="304">
        <f t="shared" ca="1" si="278"/>
        <v>-86.017989843950801</v>
      </c>
      <c r="P613" s="310">
        <f t="shared" ca="1" si="279"/>
        <v>23</v>
      </c>
      <c r="Q613" s="304">
        <f t="shared" ca="1" si="280"/>
        <v>0</v>
      </c>
      <c r="R613" s="306">
        <f t="shared" ca="1" si="281"/>
        <v>0</v>
      </c>
      <c r="S613" s="307">
        <f t="shared" ca="1" si="282"/>
        <v>2.9362999999999984</v>
      </c>
      <c r="T613" s="304">
        <f t="shared" ca="1" si="262"/>
        <v>28.805102999999985</v>
      </c>
      <c r="U613" s="311">
        <f t="shared" ca="1" si="263"/>
        <v>0</v>
      </c>
      <c r="V613" s="306">
        <f t="shared" ca="1" si="264"/>
        <v>1.2263991583002334</v>
      </c>
      <c r="W613" s="304">
        <f t="shared" ca="1" si="265"/>
        <v>27.168716843957171</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0.53363165030639159</v>
      </c>
      <c r="AH613" s="304">
        <f t="shared" ca="1" si="289"/>
        <v>-9.2526856162965636</v>
      </c>
    </row>
    <row r="614" spans="1:34" x14ac:dyDescent="0.2">
      <c r="A614" s="347">
        <f t="shared" ca="1" si="267"/>
        <v>1E-4</v>
      </c>
      <c r="B614" s="304">
        <f t="shared" ca="1" si="268"/>
        <v>37.11050000000057</v>
      </c>
      <c r="D614" s="306">
        <f t="shared" ca="1" si="269"/>
        <v>-0.64253791555911255</v>
      </c>
      <c r="E614" s="307">
        <f t="shared" ca="1" si="270"/>
        <v>-0.57963221195197256</v>
      </c>
      <c r="F614" s="304">
        <f t="shared" ca="1" si="271"/>
        <v>0.86534875863052219</v>
      </c>
      <c r="G614" s="306">
        <f t="shared" ca="1" si="272"/>
        <v>7.235578543684194</v>
      </c>
      <c r="H614" s="307">
        <f t="shared" ca="1" si="273"/>
        <v>-103.94356477639633</v>
      </c>
      <c r="I614" s="304">
        <f t="shared" ca="1" si="274"/>
        <v>104.19509707892557</v>
      </c>
      <c r="J614" s="306">
        <f t="shared" ca="1" si="275"/>
        <v>837.4075040097224</v>
      </c>
      <c r="K614" s="307">
        <f t="shared" ca="1" si="276"/>
        <v>-11.425575724558673</v>
      </c>
      <c r="L614" s="304">
        <f t="shared" ca="1" si="261"/>
        <v>837.48544557647745</v>
      </c>
      <c r="M614" s="306">
        <f t="shared" ca="1" si="277"/>
        <v>-1.5012977925343201</v>
      </c>
      <c r="N614" s="304">
        <f t="shared" ca="1" si="278"/>
        <v>-86.018027304523613</v>
      </c>
      <c r="P614" s="310">
        <f t="shared" ca="1" si="279"/>
        <v>23</v>
      </c>
      <c r="Q614" s="304">
        <f t="shared" ca="1" si="280"/>
        <v>0</v>
      </c>
      <c r="R614" s="306">
        <f t="shared" ca="1" si="281"/>
        <v>0</v>
      </c>
      <c r="S614" s="307">
        <f t="shared" ca="1" si="282"/>
        <v>2.9362999999999984</v>
      </c>
      <c r="T614" s="304">
        <f t="shared" ca="1" si="262"/>
        <v>28.805102999999985</v>
      </c>
      <c r="U614" s="311">
        <f t="shared" ca="1" si="263"/>
        <v>0</v>
      </c>
      <c r="V614" s="306">
        <f t="shared" ca="1" si="264"/>
        <v>1.2264004330639595</v>
      </c>
      <c r="W614" s="304">
        <f t="shared" ca="1" si="265"/>
        <v>27.168772911927402</v>
      </c>
      <c r="Y614" s="314" t="str">
        <f t="shared" ca="1" si="283"/>
        <v/>
      </c>
      <c r="Z614" s="315" t="str">
        <f t="shared" ca="1" si="284"/>
        <v/>
      </c>
      <c r="AA614" s="316" t="str">
        <f t="shared" ca="1" si="285"/>
        <v/>
      </c>
      <c r="AC614" s="310" t="e">
        <f t="shared" ca="1" si="286"/>
        <v>#N/A</v>
      </c>
      <c r="AD614" s="323" t="e">
        <f t="shared" ca="1" si="287"/>
        <v>#N/A</v>
      </c>
      <c r="AE614" s="324" t="e">
        <f t="shared" ca="1" si="266"/>
        <v>#N/A</v>
      </c>
      <c r="AG614" s="306">
        <f t="shared" ca="1" si="288"/>
        <v>0.53361300065323469</v>
      </c>
      <c r="AH614" s="304">
        <f t="shared" ca="1" si="289"/>
        <v>-9.2527047113568734</v>
      </c>
    </row>
    <row r="615" spans="1:34" x14ac:dyDescent="0.2">
      <c r="A615" s="347">
        <f t="shared" ca="1" si="267"/>
        <v>1E-4</v>
      </c>
      <c r="B615" s="304">
        <f t="shared" ca="1" si="268"/>
        <v>37.110600000000574</v>
      </c>
      <c r="D615" s="306">
        <f t="shared" ca="1" si="269"/>
        <v>-0.64253320663954117</v>
      </c>
      <c r="E615" s="307">
        <f t="shared" ca="1" si="270"/>
        <v>-0.57961274318276068</v>
      </c>
      <c r="F615" s="304">
        <f t="shared" ca="1" si="271"/>
        <v>0.86533222157408207</v>
      </c>
      <c r="G615" s="306">
        <f t="shared" ca="1" si="272"/>
        <v>7.2355142903635299</v>
      </c>
      <c r="H615" s="307">
        <f t="shared" ca="1" si="273"/>
        <v>-103.94362273767065</v>
      </c>
      <c r="I615" s="304">
        <f t="shared" ca="1" si="274"/>
        <v>104.19515043838297</v>
      </c>
      <c r="J615" s="306">
        <f t="shared" ca="1" si="275"/>
        <v>837.4075040097224</v>
      </c>
      <c r="K615" s="307">
        <f t="shared" ca="1" si="276"/>
        <v>-11.435970083934377</v>
      </c>
      <c r="L615" s="304">
        <f t="shared" ca="1" si="261"/>
        <v>837.485587448258</v>
      </c>
      <c r="M615" s="306">
        <f t="shared" ca="1" si="277"/>
        <v>-1.5012984463381795</v>
      </c>
      <c r="N615" s="304">
        <f t="shared" ca="1" si="278"/>
        <v>-86.018064764725395</v>
      </c>
      <c r="P615" s="310">
        <f t="shared" ca="1" si="279"/>
        <v>23</v>
      </c>
      <c r="Q615" s="304">
        <f t="shared" ca="1" si="280"/>
        <v>0</v>
      </c>
      <c r="R615" s="306">
        <f t="shared" ca="1" si="281"/>
        <v>0</v>
      </c>
      <c r="S615" s="307">
        <f t="shared" ca="1" si="282"/>
        <v>2.9362999999999984</v>
      </c>
      <c r="T615" s="304">
        <f t="shared" ca="1" si="262"/>
        <v>28.805102999999985</v>
      </c>
      <c r="U615" s="311">
        <f t="shared" ca="1" si="263"/>
        <v>0</v>
      </c>
      <c r="V615" s="306">
        <f t="shared" ca="1" si="264"/>
        <v>1.2264017078297222</v>
      </c>
      <c r="W615" s="304">
        <f t="shared" ca="1" si="265"/>
        <v>27.168828979042285</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0.53359435128278854</v>
      </c>
      <c r="AH615" s="304">
        <f t="shared" ca="1" si="289"/>
        <v>-9.2527238061258785</v>
      </c>
    </row>
    <row r="616" spans="1:34" x14ac:dyDescent="0.2">
      <c r="A616" s="347">
        <f t="shared" ca="1" si="267"/>
        <v>1E-4</v>
      </c>
      <c r="B616" s="304">
        <f t="shared" ca="1" si="268"/>
        <v>37.110700000000577</v>
      </c>
      <c r="D616" s="306">
        <f t="shared" ca="1" si="269"/>
        <v>-0.64252849773433163</v>
      </c>
      <c r="E616" s="307">
        <f t="shared" ca="1" si="270"/>
        <v>-0.57959327471052013</v>
      </c>
      <c r="F616" s="304">
        <f t="shared" ca="1" si="271"/>
        <v>0.86531568487483312</v>
      </c>
      <c r="G616" s="306">
        <f t="shared" ca="1" si="272"/>
        <v>7.2354500375137567</v>
      </c>
      <c r="H616" s="307">
        <f t="shared" ca="1" si="273"/>
        <v>-103.94368069699813</v>
      </c>
      <c r="I616" s="304">
        <f t="shared" ca="1" si="274"/>
        <v>104.19520379597546</v>
      </c>
      <c r="J616" s="306">
        <f t="shared" ca="1" si="275"/>
        <v>837.4075040097224</v>
      </c>
      <c r="K616" s="307">
        <f t="shared" ca="1" si="276"/>
        <v>-11.44636444910611</v>
      </c>
      <c r="L616" s="304">
        <f t="shared" ca="1" si="261"/>
        <v>837.48572944910234</v>
      </c>
      <c r="M616" s="306">
        <f t="shared" ca="1" si="277"/>
        <v>-1.5012991001355636</v>
      </c>
      <c r="N616" s="304">
        <f t="shared" ca="1" si="278"/>
        <v>-86.018102224556145</v>
      </c>
      <c r="P616" s="310">
        <f t="shared" ca="1" si="279"/>
        <v>23</v>
      </c>
      <c r="Q616" s="304">
        <f t="shared" ca="1" si="280"/>
        <v>0</v>
      </c>
      <c r="R616" s="306">
        <f t="shared" ca="1" si="281"/>
        <v>0</v>
      </c>
      <c r="S616" s="307">
        <f t="shared" ca="1" si="282"/>
        <v>2.9362999999999984</v>
      </c>
      <c r="T616" s="304">
        <f t="shared" ca="1" si="262"/>
        <v>28.805102999999985</v>
      </c>
      <c r="U616" s="311">
        <f t="shared" ca="1" si="263"/>
        <v>0</v>
      </c>
      <c r="V616" s="306">
        <f t="shared" ca="1" si="264"/>
        <v>1.2264029825975216</v>
      </c>
      <c r="W616" s="304">
        <f t="shared" ca="1" si="265"/>
        <v>27.168885045301835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0.5335757021950478</v>
      </c>
      <c r="AH616" s="304">
        <f t="shared" ca="1" si="289"/>
        <v>-9.2527429006035824</v>
      </c>
    </row>
    <row r="617" spans="1:34" x14ac:dyDescent="0.2">
      <c r="A617" s="347">
        <f t="shared" ca="1" si="267"/>
        <v>1E-4</v>
      </c>
      <c r="B617" s="304">
        <f t="shared" ca="1" si="268"/>
        <v>37.11080000000058</v>
      </c>
      <c r="D617" s="306">
        <f t="shared" ca="1" si="269"/>
        <v>-0.64252378884348327</v>
      </c>
      <c r="E617" s="307">
        <f t="shared" ca="1" si="270"/>
        <v>-0.57957380653524559</v>
      </c>
      <c r="F617" s="304">
        <f t="shared" ca="1" si="271"/>
        <v>0.86529914853277157</v>
      </c>
      <c r="G617" s="306">
        <f t="shared" ca="1" si="272"/>
        <v>7.2353857851348726</v>
      </c>
      <c r="H617" s="307">
        <f t="shared" ca="1" si="273"/>
        <v>-103.94373865437878</v>
      </c>
      <c r="I617" s="304">
        <f t="shared" ca="1" si="274"/>
        <v>104.19525715170306</v>
      </c>
      <c r="J617" s="306">
        <f t="shared" ca="1" si="275"/>
        <v>837.4075040097224</v>
      </c>
      <c r="K617" s="307">
        <f t="shared" ca="1" si="276"/>
        <v>-11.456758820073679</v>
      </c>
      <c r="L617" s="304">
        <f t="shared" ca="1" si="261"/>
        <v>837.48587157901034</v>
      </c>
      <c r="M617" s="306">
        <f t="shared" ca="1" si="277"/>
        <v>-1.5012997539264721</v>
      </c>
      <c r="N617" s="304">
        <f t="shared" ca="1" si="278"/>
        <v>-86.018139684015892</v>
      </c>
      <c r="P617" s="310">
        <f t="shared" ca="1" si="279"/>
        <v>23</v>
      </c>
      <c r="Q617" s="304">
        <f t="shared" ca="1" si="280"/>
        <v>0</v>
      </c>
      <c r="R617" s="306">
        <f t="shared" ca="1" si="281"/>
        <v>0</v>
      </c>
      <c r="S617" s="307">
        <f t="shared" ca="1" si="282"/>
        <v>2.9362999999999984</v>
      </c>
      <c r="T617" s="304">
        <f t="shared" ca="1" si="262"/>
        <v>28.805102999999985</v>
      </c>
      <c r="U617" s="311">
        <f t="shared" ca="1" si="263"/>
        <v>0</v>
      </c>
      <c r="V617" s="306">
        <f t="shared" ca="1" si="264"/>
        <v>1.2264042573673581</v>
      </c>
      <c r="W617" s="304">
        <f t="shared" ca="1" si="265"/>
        <v>27.168941110706069</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0.53355705339000892</v>
      </c>
      <c r="AH617" s="304">
        <f t="shared" ca="1" si="289"/>
        <v>-9.2527619947899904</v>
      </c>
    </row>
    <row r="618" spans="1:34" x14ac:dyDescent="0.2">
      <c r="A618" s="347">
        <f t="shared" ca="1" si="267"/>
        <v>1E-4</v>
      </c>
      <c r="B618" s="304">
        <f t="shared" ca="1" si="268"/>
        <v>37.110900000000584</v>
      </c>
      <c r="D618" s="306">
        <f t="shared" ca="1" si="269"/>
        <v>-0.6425190799669972</v>
      </c>
      <c r="E618" s="307">
        <f t="shared" ca="1" si="270"/>
        <v>-0.57955433865692818</v>
      </c>
      <c r="F618" s="304">
        <f t="shared" ca="1" si="271"/>
        <v>0.86528261254789229</v>
      </c>
      <c r="G618" s="306">
        <f t="shared" ca="1" si="272"/>
        <v>7.2353215332268759</v>
      </c>
      <c r="H618" s="307">
        <f t="shared" ca="1" si="273"/>
        <v>-103.94379660981264</v>
      </c>
      <c r="I618" s="304">
        <f t="shared" ca="1" si="274"/>
        <v>104.19531050556581</v>
      </c>
      <c r="J618" s="306">
        <f t="shared" ca="1" si="275"/>
        <v>837.4075040097224</v>
      </c>
      <c r="K618" s="307">
        <f t="shared" ca="1" si="276"/>
        <v>-11.467153196836888</v>
      </c>
      <c r="L618" s="304">
        <f t="shared" ca="1" si="261"/>
        <v>837.48601383798223</v>
      </c>
      <c r="M618" s="306">
        <f t="shared" ca="1" si="277"/>
        <v>-1.5013004077109051</v>
      </c>
      <c r="N618" s="304">
        <f t="shared" ca="1" si="278"/>
        <v>-86.018177143104623</v>
      </c>
      <c r="P618" s="310">
        <f t="shared" ca="1" si="279"/>
        <v>23</v>
      </c>
      <c r="Q618" s="304">
        <f t="shared" ca="1" si="280"/>
        <v>0</v>
      </c>
      <c r="R618" s="306">
        <f t="shared" ca="1" si="281"/>
        <v>0</v>
      </c>
      <c r="S618" s="307">
        <f t="shared" ca="1" si="282"/>
        <v>2.9362999999999984</v>
      </c>
      <c r="T618" s="304">
        <f t="shared" ca="1" si="262"/>
        <v>28.805102999999985</v>
      </c>
      <c r="U618" s="311">
        <f t="shared" ca="1" si="263"/>
        <v>0</v>
      </c>
      <c r="V618" s="306">
        <f t="shared" ca="1" si="264"/>
        <v>1.2264055321392309</v>
      </c>
      <c r="W618" s="304">
        <f t="shared" ca="1" si="265"/>
        <v>27.168997175254994</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0.53353840486766835</v>
      </c>
      <c r="AH618" s="304">
        <f t="shared" ca="1" si="289"/>
        <v>-9.2527810886851078</v>
      </c>
    </row>
    <row r="619" spans="1:34" x14ac:dyDescent="0.2">
      <c r="A619" s="347">
        <f t="shared" ca="1" si="267"/>
        <v>1E-4</v>
      </c>
      <c r="B619" s="304">
        <f t="shared" ca="1" si="268"/>
        <v>37.111000000000587</v>
      </c>
      <c r="D619" s="306">
        <f t="shared" ca="1" si="269"/>
        <v>-0.64251437110487475</v>
      </c>
      <c r="E619" s="307">
        <f t="shared" ca="1" si="270"/>
        <v>-0.57953487107556967</v>
      </c>
      <c r="F619" s="304">
        <f t="shared" ca="1" si="271"/>
        <v>0.86526607692019786</v>
      </c>
      <c r="G619" s="306">
        <f t="shared" ca="1" si="272"/>
        <v>7.2352572817897656</v>
      </c>
      <c r="H619" s="307">
        <f t="shared" ca="1" si="273"/>
        <v>-103.94385456329974</v>
      </c>
      <c r="I619" s="304">
        <f t="shared" ca="1" si="274"/>
        <v>104.19536385756373</v>
      </c>
      <c r="J619" s="306">
        <f t="shared" ca="1" si="275"/>
        <v>837.4075040097224</v>
      </c>
      <c r="K619" s="307">
        <f t="shared" ca="1" si="276"/>
        <v>-11.477547579395543</v>
      </c>
      <c r="L619" s="304">
        <f t="shared" ca="1" si="261"/>
        <v>837.48615622601812</v>
      </c>
      <c r="M619" s="306">
        <f t="shared" ca="1" si="277"/>
        <v>-1.5013010614888631</v>
      </c>
      <c r="N619" s="304">
        <f t="shared" ca="1" si="278"/>
        <v>-86.018214601822351</v>
      </c>
      <c r="P619" s="310">
        <f t="shared" ca="1" si="279"/>
        <v>23</v>
      </c>
      <c r="Q619" s="304">
        <f t="shared" ca="1" si="280"/>
        <v>0</v>
      </c>
      <c r="R619" s="306">
        <f t="shared" ca="1" si="281"/>
        <v>0</v>
      </c>
      <c r="S619" s="307">
        <f t="shared" ca="1" si="282"/>
        <v>2.9362999999999984</v>
      </c>
      <c r="T619" s="304">
        <f t="shared" ca="1" si="262"/>
        <v>28.805102999999985</v>
      </c>
      <c r="U619" s="311">
        <f t="shared" ca="1" si="263"/>
        <v>0</v>
      </c>
      <c r="V619" s="306">
        <f t="shared" ca="1" si="264"/>
        <v>1.22640680691314</v>
      </c>
      <c r="W619" s="304">
        <f t="shared" ca="1" si="265"/>
        <v>27.169053238948599</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0.53351975662801721</v>
      </c>
      <c r="AH619" s="304">
        <f t="shared" ca="1" si="289"/>
        <v>-9.2528001822889383</v>
      </c>
    </row>
    <row r="620" spans="1:34" x14ac:dyDescent="0.2">
      <c r="A620" s="347">
        <f t="shared" ca="1" si="267"/>
        <v>1E-4</v>
      </c>
      <c r="B620" s="304">
        <f t="shared" ca="1" si="268"/>
        <v>37.11110000000059</v>
      </c>
      <c r="D620" s="306">
        <f t="shared" ca="1" si="269"/>
        <v>-0.64250966225711237</v>
      </c>
      <c r="E620" s="307">
        <f t="shared" ca="1" si="270"/>
        <v>-0.57951540379117006</v>
      </c>
      <c r="F620" s="304">
        <f t="shared" ca="1" si="271"/>
        <v>0.86524954164968582</v>
      </c>
      <c r="G620" s="306">
        <f t="shared" ca="1" si="272"/>
        <v>7.2351930308235399</v>
      </c>
      <c r="H620" s="307">
        <f t="shared" ca="1" si="273"/>
        <v>-103.94391251484012</v>
      </c>
      <c r="I620" s="304">
        <f t="shared" ca="1" si="274"/>
        <v>104.19541720769688</v>
      </c>
      <c r="J620" s="306">
        <f t="shared" ca="1" si="275"/>
        <v>837.4075040097224</v>
      </c>
      <c r="K620" s="307">
        <f t="shared" ca="1" si="276"/>
        <v>-11.48794196774945</v>
      </c>
      <c r="L620" s="304">
        <f t="shared" ca="1" si="261"/>
        <v>837.48629874311837</v>
      </c>
      <c r="M620" s="306">
        <f t="shared" ca="1" si="277"/>
        <v>-1.5013017152603456</v>
      </c>
      <c r="N620" s="304">
        <f t="shared" ca="1" si="278"/>
        <v>-86.018252060169061</v>
      </c>
      <c r="P620" s="310">
        <f t="shared" ca="1" si="279"/>
        <v>23</v>
      </c>
      <c r="Q620" s="304">
        <f t="shared" ca="1" si="280"/>
        <v>0</v>
      </c>
      <c r="R620" s="306">
        <f t="shared" ca="1" si="281"/>
        <v>0</v>
      </c>
      <c r="S620" s="307">
        <f t="shared" ca="1" si="282"/>
        <v>2.9362999999999984</v>
      </c>
      <c r="T620" s="304">
        <f t="shared" ca="1" si="262"/>
        <v>28.805102999999985</v>
      </c>
      <c r="U620" s="311">
        <f t="shared" ca="1" si="263"/>
        <v>0</v>
      </c>
      <c r="V620" s="306">
        <f t="shared" ca="1" si="264"/>
        <v>1.2264080816890859</v>
      </c>
      <c r="W620" s="304">
        <f t="shared" ca="1" si="265"/>
        <v>27.169109301786929</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0.53350110867106615</v>
      </c>
      <c r="AH620" s="304">
        <f t="shared" ca="1" si="289"/>
        <v>-9.2528192756014764</v>
      </c>
    </row>
    <row r="621" spans="1:34" x14ac:dyDescent="0.2">
      <c r="A621" s="347">
        <f t="shared" ca="1" si="267"/>
        <v>1E-4</v>
      </c>
      <c r="B621" s="304">
        <f t="shared" ca="1" si="268"/>
        <v>37.111200000000593</v>
      </c>
      <c r="D621" s="306">
        <f t="shared" ca="1" si="269"/>
        <v>-0.64250495342371616</v>
      </c>
      <c r="E621" s="307">
        <f t="shared" ca="1" si="270"/>
        <v>-0.57949593680371692</v>
      </c>
      <c r="F621" s="304">
        <f t="shared" ca="1" si="271"/>
        <v>0.86523300673635262</v>
      </c>
      <c r="G621" s="306">
        <f t="shared" ca="1" si="272"/>
        <v>7.2351287803281972</v>
      </c>
      <c r="H621" s="307">
        <f t="shared" ca="1" si="273"/>
        <v>-103.9439704644338</v>
      </c>
      <c r="I621" s="304">
        <f t="shared" ca="1" si="274"/>
        <v>104.19547055596524</v>
      </c>
      <c r="J621" s="306">
        <f t="shared" ca="1" si="275"/>
        <v>837.4075040097224</v>
      </c>
      <c r="K621" s="307">
        <f t="shared" ca="1" si="276"/>
        <v>-11.498336361898414</v>
      </c>
      <c r="L621" s="304">
        <f t="shared" ca="1" si="261"/>
        <v>837.48644138928273</v>
      </c>
      <c r="M621" s="306">
        <f t="shared" ca="1" si="277"/>
        <v>-1.5013023690253533</v>
      </c>
      <c r="N621" s="304">
        <f t="shared" ca="1" si="278"/>
        <v>-86.018289518144798</v>
      </c>
      <c r="P621" s="310">
        <f t="shared" ca="1" si="279"/>
        <v>23</v>
      </c>
      <c r="Q621" s="304">
        <f t="shared" ca="1" si="280"/>
        <v>0</v>
      </c>
      <c r="R621" s="306">
        <f t="shared" ca="1" si="281"/>
        <v>0</v>
      </c>
      <c r="S621" s="307">
        <f t="shared" ca="1" si="282"/>
        <v>2.9362999999999984</v>
      </c>
      <c r="T621" s="304">
        <f t="shared" ca="1" si="262"/>
        <v>28.805102999999985</v>
      </c>
      <c r="U621" s="311">
        <f t="shared" ca="1" si="263"/>
        <v>0</v>
      </c>
      <c r="V621" s="306">
        <f t="shared" ca="1" si="264"/>
        <v>1.2264093564670684</v>
      </c>
      <c r="W621" s="304">
        <f t="shared" ca="1" si="265"/>
        <v>27.169165363769977</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0.53348246099679741</v>
      </c>
      <c r="AH621" s="304">
        <f t="shared" ca="1" si="289"/>
        <v>-9.2528383686227382</v>
      </c>
    </row>
    <row r="622" spans="1:34" x14ac:dyDescent="0.2">
      <c r="A622" s="347">
        <f t="shared" ca="1" si="267"/>
        <v>1E-4</v>
      </c>
      <c r="B622" s="304">
        <f t="shared" ca="1" si="268"/>
        <v>37.111300000000597</v>
      </c>
      <c r="D622" s="306">
        <f t="shared" ca="1" si="269"/>
        <v>-0.6425002446046808</v>
      </c>
      <c r="E622" s="307">
        <f t="shared" ca="1" si="270"/>
        <v>-0.57947647011321379</v>
      </c>
      <c r="F622" s="304">
        <f t="shared" ca="1" si="271"/>
        <v>0.86521647218019671</v>
      </c>
      <c r="G622" s="306">
        <f t="shared" ca="1" si="272"/>
        <v>7.2350645303037364</v>
      </c>
      <c r="H622" s="307">
        <f t="shared" ca="1" si="273"/>
        <v>-103.94402841208081</v>
      </c>
      <c r="I622" s="304">
        <f t="shared" ca="1" si="274"/>
        <v>104.19552390236886</v>
      </c>
      <c r="J622" s="306">
        <f t="shared" ca="1" si="275"/>
        <v>837.4075040097224</v>
      </c>
      <c r="K622" s="307">
        <f t="shared" ca="1" si="276"/>
        <v>-11.508730761842239</v>
      </c>
      <c r="L622" s="304">
        <f t="shared" ca="1" si="261"/>
        <v>837.48658416451178</v>
      </c>
      <c r="M622" s="306">
        <f t="shared" ca="1" si="277"/>
        <v>-1.5013030227838857</v>
      </c>
      <c r="N622" s="304">
        <f t="shared" ca="1" si="278"/>
        <v>-86.018326975749517</v>
      </c>
      <c r="P622" s="310">
        <f t="shared" ca="1" si="279"/>
        <v>23</v>
      </c>
      <c r="Q622" s="304">
        <f t="shared" ca="1" si="280"/>
        <v>0</v>
      </c>
      <c r="R622" s="306">
        <f t="shared" ca="1" si="281"/>
        <v>0</v>
      </c>
      <c r="S622" s="307">
        <f t="shared" ca="1" si="282"/>
        <v>2.9362999999999984</v>
      </c>
      <c r="T622" s="304">
        <f t="shared" ca="1" si="262"/>
        <v>28.805102999999985</v>
      </c>
      <c r="U622" s="311">
        <f t="shared" ca="1" si="263"/>
        <v>0</v>
      </c>
      <c r="V622" s="306">
        <f t="shared" ca="1" si="264"/>
        <v>1.226410631247087</v>
      </c>
      <c r="W622" s="304">
        <f t="shared" ca="1" si="265"/>
        <v>27.169221424897732</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0.53346381360521278</v>
      </c>
      <c r="AH622" s="304">
        <f t="shared" ca="1" si="289"/>
        <v>-9.2528574613527201</v>
      </c>
    </row>
    <row r="623" spans="1:34" x14ac:dyDescent="0.2">
      <c r="A623" s="347">
        <f t="shared" ca="1" si="267"/>
        <v>1E-4</v>
      </c>
      <c r="B623" s="304">
        <f t="shared" ca="1" si="268"/>
        <v>37.1114000000006</v>
      </c>
      <c r="D623" s="306">
        <f t="shared" ca="1" si="269"/>
        <v>-0.64249553580001106</v>
      </c>
      <c r="E623" s="307">
        <f t="shared" ca="1" si="270"/>
        <v>-0.57945700371966069</v>
      </c>
      <c r="F623" s="304">
        <f t="shared" ca="1" si="271"/>
        <v>0.86519993798122186</v>
      </c>
      <c r="G623" s="306">
        <f t="shared" ca="1" si="272"/>
        <v>7.2350002807501568</v>
      </c>
      <c r="H623" s="307">
        <f t="shared" ca="1" si="273"/>
        <v>-103.94408635778119</v>
      </c>
      <c r="I623" s="304">
        <f t="shared" ca="1" si="274"/>
        <v>104.19557724690779</v>
      </c>
      <c r="J623" s="306">
        <f t="shared" ca="1" si="275"/>
        <v>837.4075040097224</v>
      </c>
      <c r="K623" s="307">
        <f t="shared" ca="1" si="276"/>
        <v>-11.519125167580732</v>
      </c>
      <c r="L623" s="304">
        <f t="shared" ca="1" si="261"/>
        <v>837.48672706880529</v>
      </c>
      <c r="M623" s="306">
        <f t="shared" ca="1" si="277"/>
        <v>-1.5013036765359431</v>
      </c>
      <c r="N623" s="304">
        <f t="shared" ca="1" si="278"/>
        <v>-86.018364432983262</v>
      </c>
      <c r="P623" s="310">
        <f t="shared" ca="1" si="279"/>
        <v>23</v>
      </c>
      <c r="Q623" s="304">
        <f t="shared" ca="1" si="280"/>
        <v>0</v>
      </c>
      <c r="R623" s="306">
        <f t="shared" ca="1" si="281"/>
        <v>0</v>
      </c>
      <c r="S623" s="307">
        <f t="shared" ca="1" si="282"/>
        <v>2.9362999999999984</v>
      </c>
      <c r="T623" s="304">
        <f t="shared" ca="1" si="262"/>
        <v>28.805102999999985</v>
      </c>
      <c r="U623" s="311">
        <f t="shared" ca="1" si="263"/>
        <v>0</v>
      </c>
      <c r="V623" s="306">
        <f t="shared" ca="1" si="264"/>
        <v>1.2264119060291427</v>
      </c>
      <c r="W623" s="304">
        <f t="shared" ca="1" si="265"/>
        <v>27.169277485170255</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0.53344516649631935</v>
      </c>
      <c r="AH623" s="304">
        <f t="shared" ca="1" si="289"/>
        <v>-9.2528765537914204</v>
      </c>
    </row>
    <row r="624" spans="1:34" x14ac:dyDescent="0.2">
      <c r="A624" s="347">
        <f t="shared" ca="1" si="267"/>
        <v>1E-4</v>
      </c>
      <c r="B624" s="304">
        <f t="shared" ca="1" si="268"/>
        <v>37.111500000000603</v>
      </c>
      <c r="D624" s="306">
        <f t="shared" ca="1" si="269"/>
        <v>-0.64249082700970728</v>
      </c>
      <c r="E624" s="307">
        <f t="shared" ca="1" si="270"/>
        <v>-0.57943753762303629</v>
      </c>
      <c r="F624" s="304">
        <f t="shared" ca="1" si="271"/>
        <v>0.8651834041394143</v>
      </c>
      <c r="G624" s="306">
        <f t="shared" ca="1" si="272"/>
        <v>7.2349360316674556</v>
      </c>
      <c r="H624" s="307">
        <f t="shared" ca="1" si="273"/>
        <v>-103.94414430153495</v>
      </c>
      <c r="I624" s="304">
        <f t="shared" ca="1" si="274"/>
        <v>104.19563058958202</v>
      </c>
      <c r="J624" s="306">
        <f t="shared" ca="1" si="275"/>
        <v>837.4075040097224</v>
      </c>
      <c r="K624" s="307">
        <f t="shared" ca="1" si="276"/>
        <v>-11.529519579113698</v>
      </c>
      <c r="L624" s="304">
        <f t="shared" ca="1" si="261"/>
        <v>837.48687010216372</v>
      </c>
      <c r="M624" s="306">
        <f t="shared" ca="1" si="277"/>
        <v>-1.5013043302815259</v>
      </c>
      <c r="N624" s="304">
        <f t="shared" ca="1" si="278"/>
        <v>-86.018401889846032</v>
      </c>
      <c r="P624" s="310">
        <f t="shared" ca="1" si="279"/>
        <v>23</v>
      </c>
      <c r="Q624" s="304">
        <f t="shared" ca="1" si="280"/>
        <v>0</v>
      </c>
      <c r="R624" s="306">
        <f t="shared" ca="1" si="281"/>
        <v>0</v>
      </c>
      <c r="S624" s="307">
        <f t="shared" ca="1" si="282"/>
        <v>2.9362999999999984</v>
      </c>
      <c r="T624" s="304">
        <f t="shared" ca="1" si="262"/>
        <v>28.805102999999985</v>
      </c>
      <c r="U624" s="311">
        <f t="shared" ca="1" si="263"/>
        <v>0</v>
      </c>
      <c r="V624" s="306">
        <f t="shared" ca="1" si="264"/>
        <v>1.2264131808132344</v>
      </c>
      <c r="W624" s="304">
        <f t="shared" ca="1" si="265"/>
        <v>27.169333544587502</v>
      </c>
      <c r="Y624" s="314" t="str">
        <f t="shared" ca="1" si="283"/>
        <v/>
      </c>
      <c r="Z624" s="315" t="str">
        <f t="shared" ca="1" si="284"/>
        <v/>
      </c>
      <c r="AA624" s="316" t="str">
        <f t="shared" ca="1" si="285"/>
        <v/>
      </c>
      <c r="AC624" s="310" t="e">
        <f t="shared" ca="1" si="286"/>
        <v>#N/A</v>
      </c>
      <c r="AD624" s="323" t="e">
        <f t="shared" ca="1" si="287"/>
        <v>#N/A</v>
      </c>
      <c r="AE624" s="324" t="e">
        <f t="shared" ca="1" si="266"/>
        <v>#N/A</v>
      </c>
      <c r="AG624" s="306">
        <f t="shared" ca="1" si="288"/>
        <v>0.53342651967009402</v>
      </c>
      <c r="AH624" s="304">
        <f t="shared" ca="1" si="289"/>
        <v>-9.2528956459388585</v>
      </c>
    </row>
    <row r="625" spans="1:34" x14ac:dyDescent="0.2">
      <c r="A625" s="347">
        <f t="shared" ca="1" si="267"/>
        <v>1E-4</v>
      </c>
      <c r="B625" s="304">
        <f t="shared" ca="1" si="268"/>
        <v>37.111600000000607</v>
      </c>
      <c r="D625" s="306">
        <f t="shared" ca="1" si="269"/>
        <v>-0.64248611823376545</v>
      </c>
      <c r="E625" s="307">
        <f t="shared" ca="1" si="270"/>
        <v>-0.57941807182336014</v>
      </c>
      <c r="F625" s="304">
        <f t="shared" ca="1" si="271"/>
        <v>0.86516687065478448</v>
      </c>
      <c r="G625" s="306">
        <f t="shared" ca="1" si="272"/>
        <v>7.2348717830556319</v>
      </c>
      <c r="H625" s="307">
        <f t="shared" ca="1" si="273"/>
        <v>-103.94420224334213</v>
      </c>
      <c r="I625" s="304">
        <f t="shared" ca="1" si="274"/>
        <v>104.1956839303916</v>
      </c>
      <c r="J625" s="306">
        <f t="shared" ca="1" si="275"/>
        <v>837.4075040097224</v>
      </c>
      <c r="K625" s="307">
        <f t="shared" ca="1" si="276"/>
        <v>-11.539913996440943</v>
      </c>
      <c r="L625" s="304">
        <f t="shared" ca="1" si="261"/>
        <v>837.48701326458706</v>
      </c>
      <c r="M625" s="306">
        <f t="shared" ca="1" si="277"/>
        <v>-1.5013049840206336</v>
      </c>
      <c r="N625" s="304">
        <f t="shared" ca="1" si="278"/>
        <v>-86.0184393463378</v>
      </c>
      <c r="P625" s="310">
        <f t="shared" ca="1" si="279"/>
        <v>23</v>
      </c>
      <c r="Q625" s="304">
        <f t="shared" ca="1" si="280"/>
        <v>0</v>
      </c>
      <c r="R625" s="306">
        <f t="shared" ca="1" si="281"/>
        <v>0</v>
      </c>
      <c r="S625" s="307">
        <f t="shared" ca="1" si="282"/>
        <v>2.9362999999999984</v>
      </c>
      <c r="T625" s="304">
        <f t="shared" ca="1" si="262"/>
        <v>28.805102999999985</v>
      </c>
      <c r="U625" s="311">
        <f t="shared" ca="1" si="263"/>
        <v>0</v>
      </c>
      <c r="V625" s="306">
        <f t="shared" ca="1" si="264"/>
        <v>1.2264144555993624</v>
      </c>
      <c r="W625" s="304">
        <f t="shared" ca="1" si="265"/>
        <v>27.169389603149504</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0.53340787312655102</v>
      </c>
      <c r="AH625" s="304">
        <f t="shared" ca="1" si="289"/>
        <v>-9.2529147377950203</v>
      </c>
    </row>
    <row r="626" spans="1:34" x14ac:dyDescent="0.2">
      <c r="A626" s="347">
        <f t="shared" ca="1" si="267"/>
        <v>1E-4</v>
      </c>
      <c r="B626" s="304">
        <f t="shared" ca="1" si="268"/>
        <v>37.11170000000061</v>
      </c>
      <c r="D626" s="306">
        <f t="shared" ca="1" si="269"/>
        <v>-0.6424814094721909</v>
      </c>
      <c r="E626" s="307">
        <f t="shared" ca="1" si="270"/>
        <v>-0.57939860632061801</v>
      </c>
      <c r="F626" s="304">
        <f t="shared" ca="1" si="271"/>
        <v>0.86515033752732684</v>
      </c>
      <c r="G626" s="306">
        <f t="shared" ca="1" si="272"/>
        <v>7.234807534914685</v>
      </c>
      <c r="H626" s="307">
        <f t="shared" ca="1" si="273"/>
        <v>-103.94426018320277</v>
      </c>
      <c r="I626" s="304">
        <f t="shared" ca="1" si="274"/>
        <v>104.19573726933655</v>
      </c>
      <c r="J626" s="306">
        <f t="shared" ca="1" si="275"/>
        <v>837.4075040097224</v>
      </c>
      <c r="K626" s="307">
        <f t="shared" ca="1" si="276"/>
        <v>-11.550308419562271</v>
      </c>
      <c r="L626" s="304">
        <f t="shared" ca="1" si="261"/>
        <v>837.48715655607532</v>
      </c>
      <c r="M626" s="306">
        <f t="shared" ca="1" si="277"/>
        <v>-1.5013056377532665</v>
      </c>
      <c r="N626" s="304">
        <f t="shared" ca="1" si="278"/>
        <v>-86.018476802458594</v>
      </c>
      <c r="P626" s="310">
        <f t="shared" ca="1" si="279"/>
        <v>23</v>
      </c>
      <c r="Q626" s="304">
        <f t="shared" ca="1" si="280"/>
        <v>0</v>
      </c>
      <c r="R626" s="306">
        <f t="shared" ca="1" si="281"/>
        <v>0</v>
      </c>
      <c r="S626" s="307">
        <f t="shared" ca="1" si="282"/>
        <v>2.9362999999999984</v>
      </c>
      <c r="T626" s="304">
        <f t="shared" ca="1" si="262"/>
        <v>28.805102999999985</v>
      </c>
      <c r="U626" s="311">
        <f t="shared" ca="1" si="263"/>
        <v>0</v>
      </c>
      <c r="V626" s="306">
        <f t="shared" ca="1" si="264"/>
        <v>1.2264157303875272</v>
      </c>
      <c r="W626" s="304">
        <f t="shared" ca="1" si="265"/>
        <v>27.169445660856283</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0.53338922686568324</v>
      </c>
      <c r="AH626" s="304">
        <f t="shared" ca="1" si="289"/>
        <v>-9.2529338293599146</v>
      </c>
    </row>
    <row r="627" spans="1:34" x14ac:dyDescent="0.2">
      <c r="A627" s="347">
        <f t="shared" ca="1" si="267"/>
        <v>1E-4</v>
      </c>
      <c r="B627" s="304">
        <f t="shared" ca="1" si="268"/>
        <v>37.111800000000613</v>
      </c>
      <c r="D627" s="306">
        <f t="shared" ca="1" si="269"/>
        <v>-0.64247670072498364</v>
      </c>
      <c r="E627" s="307">
        <f t="shared" ca="1" si="270"/>
        <v>-0.57937914111480104</v>
      </c>
      <c r="F627" s="304">
        <f t="shared" ca="1" si="271"/>
        <v>0.86513380475703572</v>
      </c>
      <c r="G627" s="306">
        <f t="shared" ca="1" si="272"/>
        <v>7.2347432872446129</v>
      </c>
      <c r="H627" s="307">
        <f t="shared" ca="1" si="273"/>
        <v>-103.94431812111688</v>
      </c>
      <c r="I627" s="304">
        <f t="shared" ca="1" si="274"/>
        <v>104.19579060641691</v>
      </c>
      <c r="J627" s="306">
        <f t="shared" ca="1" si="275"/>
        <v>837.4075040097224</v>
      </c>
      <c r="K627" s="307">
        <f t="shared" ca="1" si="276"/>
        <v>-11.560702848477487</v>
      </c>
      <c r="L627" s="304">
        <f t="shared" ca="1" si="261"/>
        <v>837.48729997662895</v>
      </c>
      <c r="M627" s="306">
        <f t="shared" ca="1" si="277"/>
        <v>-1.5013062914794251</v>
      </c>
      <c r="N627" s="304">
        <f t="shared" ca="1" si="278"/>
        <v>-86.018514258208441</v>
      </c>
      <c r="P627" s="310">
        <f t="shared" ca="1" si="279"/>
        <v>23</v>
      </c>
      <c r="Q627" s="304">
        <f t="shared" ca="1" si="280"/>
        <v>0</v>
      </c>
      <c r="R627" s="306">
        <f t="shared" ca="1" si="281"/>
        <v>0</v>
      </c>
      <c r="S627" s="307">
        <f t="shared" ca="1" si="282"/>
        <v>2.9362999999999984</v>
      </c>
      <c r="T627" s="304">
        <f t="shared" ca="1" si="262"/>
        <v>28.805102999999985</v>
      </c>
      <c r="U627" s="311">
        <f t="shared" ca="1" si="263"/>
        <v>0</v>
      </c>
      <c r="V627" s="306">
        <f t="shared" ca="1" si="264"/>
        <v>1.2264170051777281</v>
      </c>
      <c r="W627" s="304">
        <f t="shared" ca="1" si="265"/>
        <v>27.169501717707831</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0.53337058088748002</v>
      </c>
      <c r="AH627" s="304">
        <f t="shared" ca="1" si="289"/>
        <v>-9.2529529206335521</v>
      </c>
    </row>
    <row r="628" spans="1:34" x14ac:dyDescent="0.2">
      <c r="A628" s="347">
        <f t="shared" ca="1" si="267"/>
        <v>1E-4</v>
      </c>
      <c r="B628" s="304">
        <f t="shared" ca="1" si="268"/>
        <v>37.111900000000617</v>
      </c>
      <c r="D628" s="306">
        <f t="shared" ca="1" si="269"/>
        <v>-0.64247199199213989</v>
      </c>
      <c r="E628" s="307">
        <f t="shared" ca="1" si="270"/>
        <v>-0.57935967620591633</v>
      </c>
      <c r="F628" s="304">
        <f t="shared" ca="1" si="271"/>
        <v>0.86511727234391322</v>
      </c>
      <c r="G628" s="306">
        <f t="shared" ca="1" si="272"/>
        <v>7.234679040045414</v>
      </c>
      <c r="H628" s="307">
        <f t="shared" ca="1" si="273"/>
        <v>-103.9443760570845</v>
      </c>
      <c r="I628" s="304">
        <f t="shared" ca="1" si="274"/>
        <v>104.19584394163269</v>
      </c>
      <c r="J628" s="306">
        <f t="shared" ca="1" si="275"/>
        <v>837.4075040097224</v>
      </c>
      <c r="K628" s="307">
        <f t="shared" ca="1" si="276"/>
        <v>-11.571097283186397</v>
      </c>
      <c r="L628" s="304">
        <f t="shared" ca="1" si="261"/>
        <v>837.48744352624783</v>
      </c>
      <c r="M628" s="306">
        <f t="shared" ca="1" si="277"/>
        <v>-1.5013069451991088</v>
      </c>
      <c r="N628" s="304">
        <f t="shared" ca="1" si="278"/>
        <v>-86.0185517135873</v>
      </c>
      <c r="P628" s="310">
        <f t="shared" ca="1" si="279"/>
        <v>23</v>
      </c>
      <c r="Q628" s="304">
        <f t="shared" ca="1" si="280"/>
        <v>0</v>
      </c>
      <c r="R628" s="306">
        <f t="shared" ca="1" si="281"/>
        <v>0</v>
      </c>
      <c r="S628" s="307">
        <f t="shared" ca="1" si="282"/>
        <v>2.9362999999999984</v>
      </c>
      <c r="T628" s="304">
        <f t="shared" ca="1" si="262"/>
        <v>28.805102999999985</v>
      </c>
      <c r="U628" s="311">
        <f t="shared" ca="1" si="263"/>
        <v>0</v>
      </c>
      <c r="V628" s="306">
        <f t="shared" ca="1" si="264"/>
        <v>1.2264182799699659</v>
      </c>
      <c r="W628" s="304">
        <f t="shared" ca="1" si="265"/>
        <v>27.169557773704177</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0.53335193519194668</v>
      </c>
      <c r="AH628" s="304">
        <f t="shared" ca="1" si="289"/>
        <v>-9.2529720116159275</v>
      </c>
    </row>
    <row r="629" spans="1:34" x14ac:dyDescent="0.2">
      <c r="A629" s="347">
        <f t="shared" ca="1" si="267"/>
        <v>1E-4</v>
      </c>
      <c r="B629" s="304">
        <f t="shared" ca="1" si="268"/>
        <v>37.11200000000062</v>
      </c>
      <c r="D629" s="306">
        <f t="shared" ca="1" si="269"/>
        <v>-0.64246728327366542</v>
      </c>
      <c r="E629" s="307">
        <f t="shared" ca="1" si="270"/>
        <v>-0.57934021159395321</v>
      </c>
      <c r="F629" s="304">
        <f t="shared" ca="1" si="271"/>
        <v>0.86510074028795669</v>
      </c>
      <c r="G629" s="306">
        <f t="shared" ca="1" si="272"/>
        <v>7.2346147933170863</v>
      </c>
      <c r="H629" s="307">
        <f t="shared" ca="1" si="273"/>
        <v>-103.94443399110565</v>
      </c>
      <c r="I629" s="304">
        <f t="shared" ca="1" si="274"/>
        <v>104.19589727498392</v>
      </c>
      <c r="J629" s="306">
        <f t="shared" ca="1" si="275"/>
        <v>837.4075040097224</v>
      </c>
      <c r="K629" s="307">
        <f t="shared" ca="1" si="276"/>
        <v>-11.581491723688806</v>
      </c>
      <c r="L629" s="304">
        <f t="shared" ca="1" si="261"/>
        <v>837.48758720493231</v>
      </c>
      <c r="M629" s="306">
        <f t="shared" ca="1" si="277"/>
        <v>-1.5013075989123181</v>
      </c>
      <c r="N629" s="304">
        <f t="shared" ca="1" si="278"/>
        <v>-86.018589168595213</v>
      </c>
      <c r="P629" s="310">
        <f t="shared" ca="1" si="279"/>
        <v>23</v>
      </c>
      <c r="Q629" s="304">
        <f t="shared" ca="1" si="280"/>
        <v>0</v>
      </c>
      <c r="R629" s="306">
        <f t="shared" ca="1" si="281"/>
        <v>0</v>
      </c>
      <c r="S629" s="307">
        <f t="shared" ca="1" si="282"/>
        <v>2.9362999999999984</v>
      </c>
      <c r="T629" s="304">
        <f t="shared" ca="1" si="262"/>
        <v>28.805102999999985</v>
      </c>
      <c r="U629" s="311">
        <f t="shared" ca="1" si="263"/>
        <v>0</v>
      </c>
      <c r="V629" s="306">
        <f t="shared" ca="1" si="264"/>
        <v>1.2264195547642396</v>
      </c>
      <c r="W629" s="304">
        <f t="shared" ca="1" si="265"/>
        <v>27.169613828845307</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0.53333328977907257</v>
      </c>
      <c r="AH629" s="304">
        <f t="shared" ca="1" si="289"/>
        <v>-9.2529911023070497</v>
      </c>
    </row>
    <row r="630" spans="1:34" x14ac:dyDescent="0.2">
      <c r="A630" s="347">
        <f t="shared" ca="1" si="267"/>
        <v>1E-4</v>
      </c>
      <c r="B630" s="304">
        <f t="shared" ca="1" si="268"/>
        <v>37.112100000000623</v>
      </c>
      <c r="D630" s="306">
        <f t="shared" ca="1" si="269"/>
        <v>-0.64246257456955702</v>
      </c>
      <c r="E630" s="307">
        <f t="shared" ca="1" si="270"/>
        <v>-0.5793207472789117</v>
      </c>
      <c r="F630" s="304">
        <f t="shared" ca="1" si="271"/>
        <v>0.86508420858916402</v>
      </c>
      <c r="G630" s="306">
        <f t="shared" ca="1" si="272"/>
        <v>7.2345505470596292</v>
      </c>
      <c r="H630" s="307">
        <f t="shared" ca="1" si="273"/>
        <v>-103.94449192318038</v>
      </c>
      <c r="I630" s="304">
        <f t="shared" ca="1" si="274"/>
        <v>104.19595060647065</v>
      </c>
      <c r="J630" s="306">
        <f t="shared" ca="1" si="275"/>
        <v>837.4075040097224</v>
      </c>
      <c r="K630" s="307">
        <f t="shared" ca="1" si="276"/>
        <v>-11.591886169984521</v>
      </c>
      <c r="L630" s="304">
        <f t="shared" ca="1" si="261"/>
        <v>837.4877310126825</v>
      </c>
      <c r="M630" s="306">
        <f t="shared" ca="1" si="277"/>
        <v>-1.5013082526190531</v>
      </c>
      <c r="N630" s="304">
        <f t="shared" ca="1" si="278"/>
        <v>-86.018626623232166</v>
      </c>
      <c r="P630" s="310">
        <f t="shared" ca="1" si="279"/>
        <v>23</v>
      </c>
      <c r="Q630" s="304">
        <f t="shared" ca="1" si="280"/>
        <v>0</v>
      </c>
      <c r="R630" s="306">
        <f t="shared" ca="1" si="281"/>
        <v>0</v>
      </c>
      <c r="S630" s="307">
        <f t="shared" ca="1" si="282"/>
        <v>2.9362999999999984</v>
      </c>
      <c r="T630" s="304">
        <f t="shared" ca="1" si="262"/>
        <v>28.805102999999985</v>
      </c>
      <c r="U630" s="311">
        <f t="shared" ca="1" si="263"/>
        <v>0</v>
      </c>
      <c r="V630" s="306">
        <f t="shared" ca="1" si="264"/>
        <v>1.2264208295605497</v>
      </c>
      <c r="W630" s="304">
        <f t="shared" ca="1" si="265"/>
        <v>27.169669883131252</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0.53331464464886125</v>
      </c>
      <c r="AH630" s="304">
        <f t="shared" ca="1" si="289"/>
        <v>-9.2530101927069168</v>
      </c>
    </row>
    <row r="631" spans="1:34" x14ac:dyDescent="0.2">
      <c r="A631" s="347">
        <f t="shared" ca="1" si="267"/>
        <v>1E-4</v>
      </c>
      <c r="B631" s="304">
        <f t="shared" ca="1" si="268"/>
        <v>37.112200000000627</v>
      </c>
      <c r="D631" s="306">
        <f t="shared" ca="1" si="269"/>
        <v>-0.64245786587981624</v>
      </c>
      <c r="E631" s="307">
        <f t="shared" ca="1" si="270"/>
        <v>-0.57930128326078467</v>
      </c>
      <c r="F631" s="304">
        <f t="shared" ca="1" si="271"/>
        <v>0.86506767724753175</v>
      </c>
      <c r="G631" s="306">
        <f t="shared" ca="1" si="272"/>
        <v>7.2344863012730416</v>
      </c>
      <c r="H631" s="307">
        <f t="shared" ca="1" si="273"/>
        <v>-103.9445498533087</v>
      </c>
      <c r="I631" s="304">
        <f t="shared" ca="1" si="274"/>
        <v>104.19600393609289</v>
      </c>
      <c r="J631" s="306">
        <f t="shared" ca="1" si="275"/>
        <v>837.4075040097224</v>
      </c>
      <c r="K631" s="307">
        <f t="shared" ca="1" si="276"/>
        <v>-11.602280622073346</v>
      </c>
      <c r="L631" s="304">
        <f t="shared" ca="1" si="261"/>
        <v>837.4878749494984</v>
      </c>
      <c r="M631" s="306">
        <f t="shared" ca="1" si="277"/>
        <v>-1.5013089063193137</v>
      </c>
      <c r="N631" s="304">
        <f t="shared" ca="1" si="278"/>
        <v>-86.018664077498158</v>
      </c>
      <c r="P631" s="310">
        <f t="shared" ca="1" si="279"/>
        <v>23</v>
      </c>
      <c r="Q631" s="304">
        <f t="shared" ca="1" si="280"/>
        <v>0</v>
      </c>
      <c r="R631" s="306">
        <f t="shared" ca="1" si="281"/>
        <v>0</v>
      </c>
      <c r="S631" s="307">
        <f t="shared" ca="1" si="282"/>
        <v>2.9362999999999984</v>
      </c>
      <c r="T631" s="304">
        <f t="shared" ca="1" si="262"/>
        <v>28.805102999999985</v>
      </c>
      <c r="U631" s="311">
        <f t="shared" ca="1" si="263"/>
        <v>0</v>
      </c>
      <c r="V631" s="306">
        <f t="shared" ca="1" si="264"/>
        <v>1.2264221043588961</v>
      </c>
      <c r="W631" s="304">
        <f t="shared" ca="1" si="265"/>
        <v>27.169725936562013</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0.53329599980130382</v>
      </c>
      <c r="AH631" s="304">
        <f t="shared" ca="1" si="289"/>
        <v>-9.2530292828155396</v>
      </c>
    </row>
    <row r="632" spans="1:34" x14ac:dyDescent="0.2">
      <c r="A632" s="347">
        <f t="shared" ca="1" si="267"/>
        <v>1E-4</v>
      </c>
      <c r="B632" s="304">
        <f t="shared" ca="1" si="268"/>
        <v>37.11230000000063</v>
      </c>
      <c r="D632" s="306">
        <f t="shared" ca="1" si="269"/>
        <v>-0.64245315720444385</v>
      </c>
      <c r="E632" s="307">
        <f t="shared" ca="1" si="270"/>
        <v>-0.57928181953957392</v>
      </c>
      <c r="F632" s="304">
        <f t="shared" ca="1" si="271"/>
        <v>0.8650511462630619</v>
      </c>
      <c r="G632" s="306">
        <f t="shared" ca="1" si="272"/>
        <v>7.2344220559573209</v>
      </c>
      <c r="H632" s="307">
        <f t="shared" ca="1" si="273"/>
        <v>-103.94460778149066</v>
      </c>
      <c r="I632" s="304">
        <f t="shared" ca="1" si="274"/>
        <v>104.19605726385068</v>
      </c>
      <c r="J632" s="306">
        <f t="shared" ca="1" si="275"/>
        <v>837.4075040097224</v>
      </c>
      <c r="K632" s="307">
        <f t="shared" ca="1" si="276"/>
        <v>-11.612675079955086</v>
      </c>
      <c r="L632" s="304">
        <f t="shared" ca="1" si="261"/>
        <v>837.48801901538013</v>
      </c>
      <c r="M632" s="306">
        <f t="shared" ca="1" si="277"/>
        <v>-1.5013095600130999</v>
      </c>
      <c r="N632" s="304">
        <f t="shared" ca="1" si="278"/>
        <v>-86.018701531393205</v>
      </c>
      <c r="P632" s="310">
        <f t="shared" ca="1" si="279"/>
        <v>23</v>
      </c>
      <c r="Q632" s="304">
        <f t="shared" ca="1" si="280"/>
        <v>0</v>
      </c>
      <c r="R632" s="306">
        <f t="shared" ca="1" si="281"/>
        <v>0</v>
      </c>
      <c r="S632" s="307">
        <f t="shared" ca="1" si="282"/>
        <v>2.9362999999999984</v>
      </c>
      <c r="T632" s="304">
        <f t="shared" ca="1" si="262"/>
        <v>28.805102999999985</v>
      </c>
      <c r="U632" s="311">
        <f t="shared" ca="1" si="263"/>
        <v>0</v>
      </c>
      <c r="V632" s="306">
        <f t="shared" ca="1" si="264"/>
        <v>1.2264233791592793</v>
      </c>
      <c r="W632" s="304">
        <f t="shared" ca="1" si="265"/>
        <v>27.169781989137604</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0.53327735523640207</v>
      </c>
      <c r="AH632" s="304">
        <f t="shared" ca="1" si="289"/>
        <v>-9.2530483726329145</v>
      </c>
    </row>
    <row r="633" spans="1:34" x14ac:dyDescent="0.2">
      <c r="A633" s="347">
        <f t="shared" ca="1" si="267"/>
        <v>1E-4</v>
      </c>
      <c r="B633" s="304">
        <f t="shared" ca="1" si="268"/>
        <v>37.112400000000633</v>
      </c>
      <c r="D633" s="306">
        <f t="shared" ca="1" si="269"/>
        <v>-0.64244844854344141</v>
      </c>
      <c r="E633" s="307">
        <f t="shared" ca="1" si="270"/>
        <v>-0.57926235611526877</v>
      </c>
      <c r="F633" s="304">
        <f t="shared" ca="1" si="271"/>
        <v>0.86503461563574857</v>
      </c>
      <c r="G633" s="306">
        <f t="shared" ca="1" si="272"/>
        <v>7.2343578111124662</v>
      </c>
      <c r="H633" s="307">
        <f t="shared" ca="1" si="273"/>
        <v>-103.94466570772627</v>
      </c>
      <c r="I633" s="304">
        <f t="shared" ca="1" si="274"/>
        <v>104.19611058974405</v>
      </c>
      <c r="J633" s="306">
        <f t="shared" ca="1" si="275"/>
        <v>837.4075040097224</v>
      </c>
      <c r="K633" s="307">
        <f t="shared" ca="1" si="276"/>
        <v>-11.623069543629546</v>
      </c>
      <c r="L633" s="304">
        <f t="shared" ca="1" si="261"/>
        <v>837.48816321032814</v>
      </c>
      <c r="M633" s="306">
        <f t="shared" ca="1" si="277"/>
        <v>-1.501310213700412</v>
      </c>
      <c r="N633" s="304">
        <f t="shared" ca="1" si="278"/>
        <v>-86.018738984917306</v>
      </c>
      <c r="P633" s="310">
        <f t="shared" ca="1" si="279"/>
        <v>23</v>
      </c>
      <c r="Q633" s="304">
        <f t="shared" ca="1" si="280"/>
        <v>0</v>
      </c>
      <c r="R633" s="306">
        <f t="shared" ca="1" si="281"/>
        <v>0</v>
      </c>
      <c r="S633" s="307">
        <f t="shared" ca="1" si="282"/>
        <v>2.9362999999999984</v>
      </c>
      <c r="T633" s="304">
        <f t="shared" ca="1" si="262"/>
        <v>28.805102999999985</v>
      </c>
      <c r="U633" s="311">
        <f t="shared" ca="1" si="263"/>
        <v>0</v>
      </c>
      <c r="V633" s="306">
        <f t="shared" ca="1" si="264"/>
        <v>1.2264246539616981</v>
      </c>
      <c r="W633" s="304">
        <f t="shared" ca="1" si="265"/>
        <v>27.169838040858028</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0.53325871095414712</v>
      </c>
      <c r="AH633" s="304">
        <f t="shared" ca="1" si="289"/>
        <v>-9.2530674621590503</v>
      </c>
    </row>
    <row r="634" spans="1:34" x14ac:dyDescent="0.2">
      <c r="A634" s="347">
        <f t="shared" ca="1" si="267"/>
        <v>1E-4</v>
      </c>
      <c r="B634" s="304">
        <f t="shared" ca="1" si="268"/>
        <v>37.112500000000637</v>
      </c>
      <c r="D634" s="306">
        <f t="shared" ca="1" si="269"/>
        <v>-0.64244373989680781</v>
      </c>
      <c r="E634" s="307">
        <f t="shared" ca="1" si="270"/>
        <v>-0.57924289298787279</v>
      </c>
      <c r="F634" s="304">
        <f t="shared" ca="1" si="271"/>
        <v>0.86501808536559366</v>
      </c>
      <c r="G634" s="306">
        <f t="shared" ca="1" si="272"/>
        <v>7.2342935667384767</v>
      </c>
      <c r="H634" s="307">
        <f t="shared" ca="1" si="273"/>
        <v>-103.94472363201557</v>
      </c>
      <c r="I634" s="304">
        <f t="shared" ca="1" si="274"/>
        <v>104.19616391377299</v>
      </c>
      <c r="J634" s="306">
        <f t="shared" ca="1" si="275"/>
        <v>837.4075040097224</v>
      </c>
      <c r="K634" s="307">
        <f t="shared" ca="1" si="276"/>
        <v>-11.633464013096534</v>
      </c>
      <c r="L634" s="304">
        <f t="shared" ca="1" si="261"/>
        <v>837.48830753434243</v>
      </c>
      <c r="M634" s="306">
        <f t="shared" ca="1" si="277"/>
        <v>-1.5013108673812501</v>
      </c>
      <c r="N634" s="304">
        <f t="shared" ca="1" si="278"/>
        <v>-86.018776438070475</v>
      </c>
      <c r="P634" s="310">
        <f t="shared" ca="1" si="279"/>
        <v>23</v>
      </c>
      <c r="Q634" s="304">
        <f t="shared" ca="1" si="280"/>
        <v>0</v>
      </c>
      <c r="R634" s="306">
        <f t="shared" ca="1" si="281"/>
        <v>0</v>
      </c>
      <c r="S634" s="307">
        <f t="shared" ca="1" si="282"/>
        <v>2.9362999999999984</v>
      </c>
      <c r="T634" s="304">
        <f t="shared" ca="1" si="262"/>
        <v>28.805102999999985</v>
      </c>
      <c r="U634" s="311">
        <f t="shared" ca="1" si="263"/>
        <v>0</v>
      </c>
      <c r="V634" s="306">
        <f t="shared" ca="1" si="264"/>
        <v>1.2264259287661536</v>
      </c>
      <c r="W634" s="304">
        <f t="shared" ca="1" si="265"/>
        <v>27.169894091723297</v>
      </c>
      <c r="Y634" s="314" t="str">
        <f t="shared" ca="1" si="283"/>
        <v/>
      </c>
      <c r="Z634" s="315" t="str">
        <f t="shared" ca="1" si="284"/>
        <v/>
      </c>
      <c r="AA634" s="316" t="str">
        <f t="shared" ca="1" si="285"/>
        <v/>
      </c>
      <c r="AC634" s="310" t="e">
        <f t="shared" ca="1" si="286"/>
        <v>#N/A</v>
      </c>
      <c r="AD634" s="323" t="e">
        <f t="shared" ca="1" si="287"/>
        <v>#N/A</v>
      </c>
      <c r="AE634" s="324" t="e">
        <f t="shared" ca="1" si="266"/>
        <v>#N/A</v>
      </c>
      <c r="AG634" s="306">
        <f t="shared" ca="1" si="288"/>
        <v>0.53324006695454074</v>
      </c>
      <c r="AH634" s="304">
        <f t="shared" ca="1" si="289"/>
        <v>-9.2530865513939453</v>
      </c>
    </row>
    <row r="635" spans="1:34" x14ac:dyDescent="0.2">
      <c r="A635" s="347">
        <f t="shared" ca="1" si="267"/>
        <v>1E-4</v>
      </c>
      <c r="B635" s="304">
        <f t="shared" ca="1" si="268"/>
        <v>37.11260000000064</v>
      </c>
      <c r="D635" s="306">
        <f t="shared" ca="1" si="269"/>
        <v>-0.64243903126454216</v>
      </c>
      <c r="E635" s="307">
        <f t="shared" ca="1" si="270"/>
        <v>-0.57922343015737887</v>
      </c>
      <c r="F635" s="304">
        <f t="shared" ca="1" si="271"/>
        <v>0.86500155545259183</v>
      </c>
      <c r="G635" s="306">
        <f t="shared" ca="1" si="272"/>
        <v>7.2342293228353505</v>
      </c>
      <c r="H635" s="307">
        <f t="shared" ca="1" si="273"/>
        <v>-103.94478155435858</v>
      </c>
      <c r="I635" s="304">
        <f t="shared" ca="1" si="274"/>
        <v>104.19621723593758</v>
      </c>
      <c r="J635" s="306">
        <f t="shared" ca="1" si="275"/>
        <v>837.4075040097224</v>
      </c>
      <c r="K635" s="307">
        <f t="shared" ca="1" si="276"/>
        <v>-11.643858488355852</v>
      </c>
      <c r="L635" s="304">
        <f t="shared" ca="1" si="261"/>
        <v>837.48845198742299</v>
      </c>
      <c r="M635" s="306">
        <f t="shared" ca="1" si="277"/>
        <v>-1.5013115210556141</v>
      </c>
      <c r="N635" s="304">
        <f t="shared" ca="1" si="278"/>
        <v>-86.018813890852712</v>
      </c>
      <c r="P635" s="310">
        <f t="shared" ca="1" si="279"/>
        <v>23</v>
      </c>
      <c r="Q635" s="304">
        <f t="shared" ca="1" si="280"/>
        <v>0</v>
      </c>
      <c r="R635" s="306">
        <f t="shared" ca="1" si="281"/>
        <v>0</v>
      </c>
      <c r="S635" s="307">
        <f t="shared" ca="1" si="282"/>
        <v>2.9362999999999984</v>
      </c>
      <c r="T635" s="304">
        <f t="shared" ca="1" si="262"/>
        <v>28.805102999999985</v>
      </c>
      <c r="U635" s="311">
        <f t="shared" ca="1" si="263"/>
        <v>0</v>
      </c>
      <c r="V635" s="306">
        <f t="shared" ca="1" si="264"/>
        <v>1.2264272035726451</v>
      </c>
      <c r="W635" s="304">
        <f t="shared" ca="1" si="265"/>
        <v>27.16995014173342</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0.53322142323757937</v>
      </c>
      <c r="AH635" s="304">
        <f t="shared" ca="1" si="289"/>
        <v>-9.2531056403376066</v>
      </c>
    </row>
    <row r="636" spans="1:34" x14ac:dyDescent="0.2">
      <c r="A636" s="347">
        <f t="shared" ca="1" si="267"/>
        <v>1E-4</v>
      </c>
      <c r="B636" s="304">
        <f t="shared" ca="1" si="268"/>
        <v>37.112700000000643</v>
      </c>
      <c r="D636" s="306">
        <f t="shared" ca="1" si="269"/>
        <v>-0.64243432264664768</v>
      </c>
      <c r="E636" s="307">
        <f t="shared" ca="1" si="270"/>
        <v>-0.57920396762378878</v>
      </c>
      <c r="F636" s="304">
        <f t="shared" ca="1" si="271"/>
        <v>0.86498502589674686</v>
      </c>
      <c r="G636" s="306">
        <f t="shared" ca="1" si="272"/>
        <v>7.2341650794030858</v>
      </c>
      <c r="H636" s="307">
        <f t="shared" ca="1" si="273"/>
        <v>-103.94483947475534</v>
      </c>
      <c r="I636" s="304">
        <f t="shared" ca="1" si="274"/>
        <v>104.19627055623781</v>
      </c>
      <c r="J636" s="306">
        <f t="shared" ca="1" si="275"/>
        <v>837.4075040097224</v>
      </c>
      <c r="K636" s="307">
        <f t="shared" ca="1" si="276"/>
        <v>-11.654252969407308</v>
      </c>
      <c r="L636" s="304">
        <f t="shared" ca="1" si="261"/>
        <v>837.48859656957018</v>
      </c>
      <c r="M636" s="306">
        <f t="shared" ca="1" si="277"/>
        <v>-1.5013121747235041</v>
      </c>
      <c r="N636" s="304">
        <f t="shared" ca="1" si="278"/>
        <v>-86.018851343264018</v>
      </c>
      <c r="P636" s="310">
        <f t="shared" ca="1" si="279"/>
        <v>23</v>
      </c>
      <c r="Q636" s="304">
        <f t="shared" ca="1" si="280"/>
        <v>0</v>
      </c>
      <c r="R636" s="306">
        <f t="shared" ca="1" si="281"/>
        <v>0</v>
      </c>
      <c r="S636" s="307">
        <f t="shared" ca="1" si="282"/>
        <v>2.9362999999999984</v>
      </c>
      <c r="T636" s="304">
        <f t="shared" ca="1" si="262"/>
        <v>28.805102999999985</v>
      </c>
      <c r="U636" s="311">
        <f t="shared" ca="1" si="263"/>
        <v>0</v>
      </c>
      <c r="V636" s="306">
        <f t="shared" ca="1" si="264"/>
        <v>1.2264284783811736</v>
      </c>
      <c r="W636" s="304">
        <f t="shared" ca="1" si="265"/>
        <v>27.170006190888419</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0.53320277980326125</v>
      </c>
      <c r="AH636" s="304">
        <f t="shared" ca="1" si="289"/>
        <v>-9.2531247289900325</v>
      </c>
    </row>
    <row r="637" spans="1:34" x14ac:dyDescent="0.2">
      <c r="A637" s="347">
        <f t="shared" ca="1" si="267"/>
        <v>1E-4</v>
      </c>
      <c r="B637" s="304">
        <f t="shared" ca="1" si="268"/>
        <v>37.112800000000647</v>
      </c>
      <c r="D637" s="306">
        <f t="shared" ca="1" si="269"/>
        <v>-0.64242961404312382</v>
      </c>
      <c r="E637" s="307">
        <f t="shared" ca="1" si="270"/>
        <v>-0.5791845053870901</v>
      </c>
      <c r="F637" s="304">
        <f t="shared" ca="1" si="271"/>
        <v>0.86496849669805043</v>
      </c>
      <c r="G637" s="306">
        <f t="shared" ca="1" si="272"/>
        <v>7.2341008364416819</v>
      </c>
      <c r="H637" s="307">
        <f t="shared" ca="1" si="273"/>
        <v>-103.94489739320588</v>
      </c>
      <c r="I637" s="304">
        <f t="shared" ca="1" si="274"/>
        <v>104.19632387467374</v>
      </c>
      <c r="J637" s="306">
        <f t="shared" ca="1" si="275"/>
        <v>837.4075040097224</v>
      </c>
      <c r="K637" s="307">
        <f t="shared" ca="1" si="276"/>
        <v>-11.664647456250705</v>
      </c>
      <c r="L637" s="304">
        <f t="shared" ca="1" si="261"/>
        <v>837.48874128078387</v>
      </c>
      <c r="M637" s="306">
        <f t="shared" ca="1" si="277"/>
        <v>-1.5013128283849202</v>
      </c>
      <c r="N637" s="304">
        <f t="shared" ca="1" si="278"/>
        <v>-86.018888795304392</v>
      </c>
      <c r="P637" s="310">
        <f t="shared" ca="1" si="279"/>
        <v>23</v>
      </c>
      <c r="Q637" s="304">
        <f t="shared" ca="1" si="280"/>
        <v>0</v>
      </c>
      <c r="R637" s="306">
        <f t="shared" ca="1" si="281"/>
        <v>0</v>
      </c>
      <c r="S637" s="307">
        <f t="shared" ca="1" si="282"/>
        <v>2.9362999999999984</v>
      </c>
      <c r="T637" s="304">
        <f t="shared" ca="1" si="262"/>
        <v>28.805102999999985</v>
      </c>
      <c r="U637" s="311">
        <f t="shared" ca="1" si="263"/>
        <v>0</v>
      </c>
      <c r="V637" s="306">
        <f t="shared" ca="1" si="264"/>
        <v>1.2264297531917374</v>
      </c>
      <c r="W637" s="304">
        <f t="shared" ca="1" si="265"/>
        <v>27.170062239188287</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0.53318413665157394</v>
      </c>
      <c r="AH637" s="304">
        <f t="shared" ca="1" si="289"/>
        <v>-9.2531438173512353</v>
      </c>
    </row>
    <row r="638" spans="1:34" x14ac:dyDescent="0.2">
      <c r="A638" s="347">
        <f t="shared" ca="1" si="267"/>
        <v>1E-4</v>
      </c>
      <c r="B638" s="304">
        <f t="shared" ca="1" si="268"/>
        <v>37.11290000000065</v>
      </c>
      <c r="D638" s="306">
        <f t="shared" ca="1" si="269"/>
        <v>-0.64242490545397135</v>
      </c>
      <c r="E638" s="307">
        <f t="shared" ca="1" si="270"/>
        <v>-0.57916504344728459</v>
      </c>
      <c r="F638" s="304">
        <f t="shared" ca="1" si="271"/>
        <v>0.86495196785650419</v>
      </c>
      <c r="G638" s="306">
        <f t="shared" ca="1" si="272"/>
        <v>7.2340365939511369</v>
      </c>
      <c r="H638" s="307">
        <f t="shared" ca="1" si="273"/>
        <v>-103.94495530971022</v>
      </c>
      <c r="I638" s="304">
        <f t="shared" ca="1" si="274"/>
        <v>104.19637719124538</v>
      </c>
      <c r="J638" s="306">
        <f t="shared" ca="1" si="275"/>
        <v>837.4075040097224</v>
      </c>
      <c r="K638" s="307">
        <f t="shared" ca="1" si="276"/>
        <v>-11.675041948885852</v>
      </c>
      <c r="L638" s="304">
        <f t="shared" ca="1" si="261"/>
        <v>837.48888612106452</v>
      </c>
      <c r="M638" s="306">
        <f t="shared" ca="1" si="277"/>
        <v>-1.5013134820398626</v>
      </c>
      <c r="N638" s="304">
        <f t="shared" ca="1" si="278"/>
        <v>-86.018926246973848</v>
      </c>
      <c r="P638" s="310">
        <f t="shared" ca="1" si="279"/>
        <v>23</v>
      </c>
      <c r="Q638" s="304">
        <f t="shared" ca="1" si="280"/>
        <v>0</v>
      </c>
      <c r="R638" s="306">
        <f t="shared" ca="1" si="281"/>
        <v>0</v>
      </c>
      <c r="S638" s="307">
        <f t="shared" ca="1" si="282"/>
        <v>2.9362999999999984</v>
      </c>
      <c r="T638" s="304">
        <f t="shared" ca="1" si="262"/>
        <v>28.805102999999985</v>
      </c>
      <c r="U638" s="311">
        <f t="shared" ca="1" si="263"/>
        <v>0</v>
      </c>
      <c r="V638" s="306">
        <f t="shared" ca="1" si="264"/>
        <v>1.2264310280043376</v>
      </c>
      <c r="W638" s="304">
        <f t="shared" ca="1" si="265"/>
        <v>27.170118286633045</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0.53316549378252276</v>
      </c>
      <c r="AH638" s="304">
        <f t="shared" ca="1" si="289"/>
        <v>-9.2531629054212114</v>
      </c>
    </row>
    <row r="639" spans="1:34" x14ac:dyDescent="0.2">
      <c r="A639" s="347">
        <f t="shared" ca="1" si="267"/>
        <v>1E-4</v>
      </c>
      <c r="B639" s="304">
        <f t="shared" ca="1" si="268"/>
        <v>37.113000000000653</v>
      </c>
      <c r="D639" s="306">
        <f t="shared" ca="1" si="269"/>
        <v>-0.64242019687918983</v>
      </c>
      <c r="E639" s="307">
        <f t="shared" ca="1" si="270"/>
        <v>-0.5791455818043687</v>
      </c>
      <c r="F639" s="304">
        <f t="shared" ca="1" si="271"/>
        <v>0.86493543937210582</v>
      </c>
      <c r="G639" s="306">
        <f t="shared" ca="1" si="272"/>
        <v>7.2339723519314489</v>
      </c>
      <c r="H639" s="307">
        <f t="shared" ca="1" si="273"/>
        <v>-103.94501322426841</v>
      </c>
      <c r="I639" s="304">
        <f t="shared" ca="1" si="274"/>
        <v>104.19643050595275</v>
      </c>
      <c r="J639" s="306">
        <f t="shared" ca="1" si="275"/>
        <v>837.4075040097224</v>
      </c>
      <c r="K639" s="307">
        <f t="shared" ca="1" si="276"/>
        <v>-11.685436447312551</v>
      </c>
      <c r="L639" s="304">
        <f t="shared" ca="1" si="261"/>
        <v>837.48903109041225</v>
      </c>
      <c r="M639" s="306">
        <f t="shared" ca="1" si="277"/>
        <v>-1.5013141356883311</v>
      </c>
      <c r="N639" s="304">
        <f t="shared" ca="1" si="278"/>
        <v>-86.018963698272373</v>
      </c>
      <c r="P639" s="310">
        <f t="shared" ca="1" si="279"/>
        <v>23</v>
      </c>
      <c r="Q639" s="304">
        <f t="shared" ca="1" si="280"/>
        <v>0</v>
      </c>
      <c r="R639" s="306">
        <f t="shared" ca="1" si="281"/>
        <v>0</v>
      </c>
      <c r="S639" s="307">
        <f t="shared" ca="1" si="282"/>
        <v>2.9362999999999984</v>
      </c>
      <c r="T639" s="304">
        <f t="shared" ca="1" si="262"/>
        <v>28.805102999999985</v>
      </c>
      <c r="U639" s="311">
        <f t="shared" ca="1" si="263"/>
        <v>0</v>
      </c>
      <c r="V639" s="306">
        <f t="shared" ca="1" si="264"/>
        <v>1.2264323028189739</v>
      </c>
      <c r="W639" s="304">
        <f t="shared" ca="1" si="265"/>
        <v>27.170174333222686</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0.53314685119610239</v>
      </c>
      <c r="AH639" s="304">
        <f t="shared" ca="1" si="289"/>
        <v>-9.2531819931999664</v>
      </c>
    </row>
    <row r="640" spans="1:34" x14ac:dyDescent="0.2">
      <c r="A640" s="347">
        <f t="shared" ca="1" si="267"/>
        <v>1E-4</v>
      </c>
      <c r="B640" s="304">
        <f t="shared" ca="1" si="268"/>
        <v>37.113100000000657</v>
      </c>
      <c r="D640" s="306">
        <f t="shared" ca="1" si="269"/>
        <v>-0.6424154883187817</v>
      </c>
      <c r="E640" s="307">
        <f t="shared" ca="1" si="270"/>
        <v>-0.57912612045834422</v>
      </c>
      <c r="F640" s="304">
        <f t="shared" ca="1" si="271"/>
        <v>0.86491891124485842</v>
      </c>
      <c r="G640" s="306">
        <f t="shared" ca="1" si="272"/>
        <v>7.2339081103826173</v>
      </c>
      <c r="H640" s="307">
        <f t="shared" ca="1" si="273"/>
        <v>-103.94507113688046</v>
      </c>
      <c r="I640" s="304">
        <f t="shared" ca="1" si="274"/>
        <v>104.19648381879591</v>
      </c>
      <c r="J640" s="306">
        <f t="shared" ca="1" si="275"/>
        <v>837.4075040097224</v>
      </c>
      <c r="K640" s="307">
        <f t="shared" ca="1" si="276"/>
        <v>-11.695830951530608</v>
      </c>
      <c r="L640" s="304">
        <f t="shared" ca="1" si="261"/>
        <v>837.48917618882695</v>
      </c>
      <c r="M640" s="306">
        <f t="shared" ca="1" si="277"/>
        <v>-1.5013147893303262</v>
      </c>
      <c r="N640" s="304">
        <f t="shared" ca="1" si="278"/>
        <v>-86.019001149200008</v>
      </c>
      <c r="P640" s="310">
        <f t="shared" ca="1" si="279"/>
        <v>23</v>
      </c>
      <c r="Q640" s="304">
        <f t="shared" ca="1" si="280"/>
        <v>0</v>
      </c>
      <c r="R640" s="306">
        <f t="shared" ca="1" si="281"/>
        <v>0</v>
      </c>
      <c r="S640" s="307">
        <f t="shared" ca="1" si="282"/>
        <v>2.9362999999999984</v>
      </c>
      <c r="T640" s="304">
        <f t="shared" ca="1" si="262"/>
        <v>28.805102999999985</v>
      </c>
      <c r="U640" s="311">
        <f t="shared" ca="1" si="263"/>
        <v>0</v>
      </c>
      <c r="V640" s="306">
        <f t="shared" ca="1" si="264"/>
        <v>1.2264335776356468</v>
      </c>
      <c r="W640" s="304">
        <f t="shared" ca="1" si="265"/>
        <v>27.170230378957257</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0.53312820889231638</v>
      </c>
      <c r="AH640" s="304">
        <f t="shared" ca="1" si="289"/>
        <v>-9.2532010806874982</v>
      </c>
    </row>
    <row r="641" spans="1:34" x14ac:dyDescent="0.2">
      <c r="A641" s="347">
        <f t="shared" ca="1" si="267"/>
        <v>1E-4</v>
      </c>
      <c r="B641" s="304">
        <f t="shared" ca="1" si="268"/>
        <v>37.11320000000066</v>
      </c>
      <c r="D641" s="306">
        <f t="shared" ca="1" si="269"/>
        <v>-0.6424107797727433</v>
      </c>
      <c r="E641" s="307">
        <f t="shared" ca="1" si="270"/>
        <v>-0.57910665940919337</v>
      </c>
      <c r="F641" s="304">
        <f t="shared" ca="1" si="271"/>
        <v>0.86490238347474768</v>
      </c>
      <c r="G641" s="306">
        <f t="shared" ca="1" si="272"/>
        <v>7.2338438693046401</v>
      </c>
      <c r="H641" s="307">
        <f t="shared" ca="1" si="273"/>
        <v>-103.9451290475464</v>
      </c>
      <c r="I641" s="304">
        <f t="shared" ca="1" si="274"/>
        <v>104.19653712977485</v>
      </c>
      <c r="J641" s="306">
        <f t="shared" ca="1" si="275"/>
        <v>837.4075040097224</v>
      </c>
      <c r="K641" s="307">
        <f t="shared" ca="1" si="276"/>
        <v>-11.70622546153983</v>
      </c>
      <c r="L641" s="304">
        <f t="shared" ca="1" si="261"/>
        <v>837.48932141630894</v>
      </c>
      <c r="M641" s="306">
        <f t="shared" ca="1" si="277"/>
        <v>-1.5013154429658477</v>
      </c>
      <c r="N641" s="304">
        <f t="shared" ca="1" si="278"/>
        <v>-86.019038599756726</v>
      </c>
      <c r="P641" s="310">
        <f t="shared" ca="1" si="279"/>
        <v>23</v>
      </c>
      <c r="Q641" s="304">
        <f t="shared" ca="1" si="280"/>
        <v>0</v>
      </c>
      <c r="R641" s="306">
        <f t="shared" ca="1" si="281"/>
        <v>0</v>
      </c>
      <c r="S641" s="307">
        <f t="shared" ca="1" si="282"/>
        <v>2.9362999999999984</v>
      </c>
      <c r="T641" s="304">
        <f t="shared" ca="1" si="262"/>
        <v>28.805102999999985</v>
      </c>
      <c r="U641" s="311">
        <f t="shared" ca="1" si="263"/>
        <v>0</v>
      </c>
      <c r="V641" s="306">
        <f t="shared" ca="1" si="264"/>
        <v>1.2264348524543556</v>
      </c>
      <c r="W641" s="304">
        <f t="shared" ca="1" si="265"/>
        <v>27.170286423836732</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0.53310956687114519</v>
      </c>
      <c r="AH641" s="304">
        <f t="shared" ca="1" si="289"/>
        <v>-9.2532201678838231</v>
      </c>
    </row>
    <row r="642" spans="1:34" x14ac:dyDescent="0.2">
      <c r="A642" s="347">
        <f t="shared" ca="1" si="267"/>
        <v>1E-4</v>
      </c>
      <c r="B642" s="304">
        <f t="shared" ca="1" si="268"/>
        <v>37.113300000000663</v>
      </c>
      <c r="D642" s="306">
        <f t="shared" ca="1" si="269"/>
        <v>-0.64240607124107896</v>
      </c>
      <c r="E642" s="307">
        <f t="shared" ca="1" si="270"/>
        <v>-0.57908719865692504</v>
      </c>
      <c r="F642" s="304">
        <f t="shared" ca="1" si="271"/>
        <v>0.86488585606178292</v>
      </c>
      <c r="G642" s="306">
        <f t="shared" ca="1" si="272"/>
        <v>7.2337796286975156</v>
      </c>
      <c r="H642" s="307">
        <f t="shared" ca="1" si="273"/>
        <v>-103.94518695626627</v>
      </c>
      <c r="I642" s="304">
        <f t="shared" ca="1" si="274"/>
        <v>104.19659043888963</v>
      </c>
      <c r="J642" s="306">
        <f t="shared" ca="1" si="275"/>
        <v>837.4075040097224</v>
      </c>
      <c r="K642" s="307">
        <f t="shared" ca="1" si="276"/>
        <v>-11.71661997734002</v>
      </c>
      <c r="L642" s="304">
        <f t="shared" ca="1" si="261"/>
        <v>837.48946677285835</v>
      </c>
      <c r="M642" s="306">
        <f t="shared" ca="1" si="277"/>
        <v>-1.5013160965948957</v>
      </c>
      <c r="N642" s="304">
        <f t="shared" ca="1" si="278"/>
        <v>-86.019076049942555</v>
      </c>
      <c r="P642" s="310">
        <f t="shared" ca="1" si="279"/>
        <v>23</v>
      </c>
      <c r="Q642" s="304">
        <f t="shared" ca="1" si="280"/>
        <v>0</v>
      </c>
      <c r="R642" s="306">
        <f t="shared" ca="1" si="281"/>
        <v>0</v>
      </c>
      <c r="S642" s="307">
        <f t="shared" ca="1" si="282"/>
        <v>2.9362999999999984</v>
      </c>
      <c r="T642" s="304">
        <f t="shared" ca="1" si="262"/>
        <v>28.805102999999985</v>
      </c>
      <c r="U642" s="311">
        <f t="shared" ca="1" si="263"/>
        <v>0</v>
      </c>
      <c r="V642" s="306">
        <f t="shared" ca="1" si="264"/>
        <v>1.2264361272751001</v>
      </c>
      <c r="W642" s="304">
        <f t="shared" ca="1" si="265"/>
        <v>27.170342467861133</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0.5330909251325977</v>
      </c>
      <c r="AH642" s="304">
        <f t="shared" ca="1" si="289"/>
        <v>-9.2532392547889337</v>
      </c>
    </row>
    <row r="643" spans="1:34" x14ac:dyDescent="0.2">
      <c r="A643" s="347">
        <f t="shared" ca="1" si="267"/>
        <v>1E-4</v>
      </c>
      <c r="B643" s="304">
        <f t="shared" ca="1" si="268"/>
        <v>37.113400000000667</v>
      </c>
      <c r="D643" s="306">
        <f t="shared" ca="1" si="269"/>
        <v>-0.64240136272378767</v>
      </c>
      <c r="E643" s="307">
        <f t="shared" ca="1" si="270"/>
        <v>-0.57906773820153212</v>
      </c>
      <c r="F643" s="304">
        <f t="shared" ca="1" si="271"/>
        <v>0.86486932900595892</v>
      </c>
      <c r="G643" s="306">
        <f t="shared" ca="1" si="272"/>
        <v>7.2337153885612429</v>
      </c>
      <c r="H643" s="307">
        <f t="shared" ca="1" si="273"/>
        <v>-103.94524486304009</v>
      </c>
      <c r="I643" s="304">
        <f t="shared" ca="1" si="274"/>
        <v>104.19664374614025</v>
      </c>
      <c r="J643" s="306">
        <f t="shared" ca="1" si="275"/>
        <v>837.4075040097224</v>
      </c>
      <c r="K643" s="307">
        <f t="shared" ca="1" si="276"/>
        <v>-11.727014498930986</v>
      </c>
      <c r="L643" s="304">
        <f t="shared" ca="1" si="261"/>
        <v>837.4896122584754</v>
      </c>
      <c r="M643" s="306">
        <f t="shared" ca="1" si="277"/>
        <v>-1.5013167502174702</v>
      </c>
      <c r="N643" s="304">
        <f t="shared" ca="1" si="278"/>
        <v>-86.019113499757466</v>
      </c>
      <c r="P643" s="310">
        <f t="shared" ca="1" si="279"/>
        <v>23</v>
      </c>
      <c r="Q643" s="304">
        <f t="shared" ca="1" si="280"/>
        <v>0</v>
      </c>
      <c r="R643" s="306">
        <f t="shared" ca="1" si="281"/>
        <v>0</v>
      </c>
      <c r="S643" s="307">
        <f t="shared" ca="1" si="282"/>
        <v>2.9362999999999984</v>
      </c>
      <c r="T643" s="304">
        <f t="shared" ca="1" si="262"/>
        <v>28.805102999999985</v>
      </c>
      <c r="U643" s="311">
        <f t="shared" ca="1" si="263"/>
        <v>0</v>
      </c>
      <c r="V643" s="306">
        <f t="shared" ca="1" si="264"/>
        <v>1.2264374020978812</v>
      </c>
      <c r="W643" s="304">
        <f t="shared" ca="1" si="265"/>
        <v>27.170398511030477</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0.53307228367667214</v>
      </c>
      <c r="AH643" s="304">
        <f t="shared" ca="1" si="289"/>
        <v>-9.2532583414028355</v>
      </c>
    </row>
    <row r="644" spans="1:34" x14ac:dyDescent="0.2">
      <c r="A644" s="347">
        <f t="shared" ca="1" si="267"/>
        <v>1E-4</v>
      </c>
      <c r="B644" s="304">
        <f t="shared" ca="1" si="268"/>
        <v>37.11350000000067</v>
      </c>
      <c r="D644" s="306">
        <f t="shared" ca="1" si="269"/>
        <v>-0.64239665422087144</v>
      </c>
      <c r="E644" s="307">
        <f t="shared" ca="1" si="270"/>
        <v>-0.57904827804300929</v>
      </c>
      <c r="F644" s="304">
        <f t="shared" ca="1" si="271"/>
        <v>0.86485280230727357</v>
      </c>
      <c r="G644" s="306">
        <f t="shared" ca="1" si="272"/>
        <v>7.2336511488958211</v>
      </c>
      <c r="H644" s="307">
        <f t="shared" ca="1" si="273"/>
        <v>-103.94530276786789</v>
      </c>
      <c r="I644" s="304">
        <f t="shared" ca="1" si="274"/>
        <v>104.19669705152675</v>
      </c>
      <c r="J644" s="306">
        <f t="shared" ca="1" si="275"/>
        <v>837.4075040097224</v>
      </c>
      <c r="K644" s="307">
        <f t="shared" ca="1" si="276"/>
        <v>-11.737409026312532</v>
      </c>
      <c r="L644" s="304">
        <f t="shared" ref="L644:L707" ca="1" si="290">SQRT(pos_x^2+pos_z^2)</f>
        <v>837.48975787315999</v>
      </c>
      <c r="M644" s="306">
        <f t="shared" ca="1" si="277"/>
        <v>-1.5013174038335715</v>
      </c>
      <c r="N644" s="304">
        <f t="shared" ca="1" si="278"/>
        <v>-86.019150949201489</v>
      </c>
      <c r="P644" s="310">
        <f t="shared" ca="1" si="279"/>
        <v>23</v>
      </c>
      <c r="Q644" s="304">
        <f t="shared" ca="1" si="280"/>
        <v>0</v>
      </c>
      <c r="R644" s="306">
        <f t="shared" ca="1" si="281"/>
        <v>0</v>
      </c>
      <c r="S644" s="307">
        <f t="shared" ca="1" si="282"/>
        <v>2.9362999999999984</v>
      </c>
      <c r="T644" s="304">
        <f t="shared" ref="T644:T707" ca="1" si="291">m*g</f>
        <v>28.805102999999985</v>
      </c>
      <c r="U644" s="311">
        <f t="shared" ref="U644:U707" ca="1" si="292">IF(pos_xz&lt;L_rampe,Poids*COS(Beta),0)</f>
        <v>0</v>
      </c>
      <c r="V644" s="306">
        <f t="shared" ref="V644:V707" ca="1" si="293">Rho_moyen*(20000-Alt_rampe-pos_z)/(20000+Alt_rampe+pos_z)</f>
        <v>1.2264386769226983</v>
      </c>
      <c r="W644" s="304">
        <f t="shared" ref="W644:W707" ca="1" si="294">1/2*Rho*Sref*Cx*vit_xz^2</f>
        <v>27.170454553344758</v>
      </c>
      <c r="Y644" s="314" t="str">
        <f t="shared" ca="1" si="283"/>
        <v/>
      </c>
      <c r="Z644" s="315" t="str">
        <f t="shared" ca="1" si="284"/>
        <v/>
      </c>
      <c r="AA644" s="316" t="str">
        <f t="shared" ca="1" si="285"/>
        <v/>
      </c>
      <c r="AC644" s="310" t="e">
        <f t="shared" ca="1" si="286"/>
        <v>#N/A</v>
      </c>
      <c r="AD644" s="323" t="e">
        <f t="shared" ca="1" si="287"/>
        <v>#N/A</v>
      </c>
      <c r="AE644" s="324" t="e">
        <f t="shared" ref="AE644:AE707" ca="1" si="295">IF(t&lt;T_para, pos_z, NA())</f>
        <v>#N/A</v>
      </c>
      <c r="AG644" s="306">
        <f t="shared" ca="1" si="288"/>
        <v>0.53305364250335607</v>
      </c>
      <c r="AH644" s="304">
        <f t="shared" ca="1" si="289"/>
        <v>-9.2532774277255356</v>
      </c>
    </row>
    <row r="645" spans="1:34" x14ac:dyDescent="0.2">
      <c r="A645" s="347">
        <f t="shared" ref="A645:A708" ca="1" si="296">IF(B644+0.01&lt;=T_ini+ROUNDUP(Temps_fin_propu,0), 0.01, IF(K644&gt;0, 0.1, 0.0001))</f>
        <v>1E-4</v>
      </c>
      <c r="B645" s="304">
        <f t="shared" ref="B645:B708" ca="1" si="297">B644+pas</f>
        <v>37.113600000000673</v>
      </c>
      <c r="D645" s="306">
        <f t="shared" ref="D645:D708" ca="1" si="298">IF(AND(L644&lt;L_rampe,Poussee&lt;Poids*SIN(M644)),0,(-W644+Poussee)/m*COS(M644)-U644/m*SIN(M644))</f>
        <v>-0.64239194573232861</v>
      </c>
      <c r="E645" s="307">
        <f t="shared" ref="E645:E708" ca="1" si="299">IF(AND(L644&lt;L_rampe,Poussee&lt;Poids*SIN(M644)),0,(-W644+Poussee)/m*SIN(M644)+U644/m*COS(M644)-Poids/m)</f>
        <v>-0.57902881818135654</v>
      </c>
      <c r="F645" s="304">
        <f t="shared" ref="F645:F708" ca="1" si="300">SQRT(acc_x^2+acc_z^2)</f>
        <v>0.86483627596572599</v>
      </c>
      <c r="G645" s="306">
        <f t="shared" ref="G645:G708" ca="1" si="301">G644+acc_x*pas</f>
        <v>7.2335869097012475</v>
      </c>
      <c r="H645" s="307">
        <f t="shared" ref="H645:H708" ca="1" si="302">H644+acc_z*pas</f>
        <v>-103.94536067074971</v>
      </c>
      <c r="I645" s="304">
        <f t="shared" ref="I645:I708" ca="1" si="303">SQRT(vit_x^2+vit_z^2)</f>
        <v>104.19675035504918</v>
      </c>
      <c r="J645" s="306">
        <f t="shared" ref="J645:J708" ca="1" si="304">J644+0.5*(vit_x+G644)*pas*(K644&gt;=0)</f>
        <v>837.4075040097224</v>
      </c>
      <c r="K645" s="307">
        <f t="shared" ref="K645:K708" ca="1" si="305">K644+0.5*(vit_z+H644)*pas</f>
        <v>-11.747803559484463</v>
      </c>
      <c r="L645" s="304">
        <f t="shared" ca="1" si="290"/>
        <v>837.48990361691256</v>
      </c>
      <c r="M645" s="306">
        <f t="shared" ref="M645:M708" ca="1" si="306">IF(AND(L644&gt;L_rampe,G645&gt;0),ATAN2(G645,H645),$M$4)</f>
        <v>-1.5013180574431995</v>
      </c>
      <c r="N645" s="304">
        <f t="shared" ref="N645:N708" ca="1" si="307">DEGREES(Beta)</f>
        <v>-86.019188398274622</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2.9362999999999984</v>
      </c>
      <c r="T645" s="304">
        <f t="shared" ca="1" si="291"/>
        <v>28.805102999999985</v>
      </c>
      <c r="U645" s="311">
        <f t="shared" ca="1" si="292"/>
        <v>0</v>
      </c>
      <c r="V645" s="306">
        <f t="shared" ca="1" si="293"/>
        <v>1.2264399517495512</v>
      </c>
      <c r="W645" s="304">
        <f t="shared" ca="1" si="294"/>
        <v>27.170510594804</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0.53303500161265482</v>
      </c>
      <c r="AH645" s="304">
        <f t="shared" ref="AH645:AH708" ca="1" si="318">IF(AND(L644&lt;L_rampe,Poussee&lt;Poids*SIN(M644)), g*SIN(M644), (-W644+Poussee)/m)</f>
        <v>-9.2532965137570322</v>
      </c>
    </row>
    <row r="646" spans="1:34" x14ac:dyDescent="0.2">
      <c r="A646" s="347">
        <f t="shared" ca="1" si="296"/>
        <v>1E-4</v>
      </c>
      <c r="B646" s="304">
        <f t="shared" ca="1" si="297"/>
        <v>37.113700000000676</v>
      </c>
      <c r="D646" s="306">
        <f t="shared" ca="1" si="298"/>
        <v>-0.64238723725816083</v>
      </c>
      <c r="E646" s="307">
        <f t="shared" ca="1" si="299"/>
        <v>-0.57900935861656855</v>
      </c>
      <c r="F646" s="304">
        <f t="shared" ca="1" si="300"/>
        <v>0.86481974998131406</v>
      </c>
      <c r="G646" s="306">
        <f t="shared" ca="1" si="301"/>
        <v>7.2335226709775213</v>
      </c>
      <c r="H646" s="307">
        <f t="shared" ca="1" si="302"/>
        <v>-103.94541857168556</v>
      </c>
      <c r="I646" s="304">
        <f t="shared" ca="1" si="303"/>
        <v>104.19680365670753</v>
      </c>
      <c r="J646" s="306">
        <f t="shared" ca="1" si="304"/>
        <v>837.4075040097224</v>
      </c>
      <c r="K646" s="307">
        <f t="shared" ca="1" si="305"/>
        <v>-11.758198098446584</v>
      </c>
      <c r="L646" s="304">
        <f t="shared" ca="1" si="290"/>
        <v>837.49004948973311</v>
      </c>
      <c r="M646" s="306">
        <f t="shared" ca="1" si="306"/>
        <v>-1.5013187110463544</v>
      </c>
      <c r="N646" s="304">
        <f t="shared" ca="1" si="307"/>
        <v>-86.019225846976866</v>
      </c>
      <c r="P646" s="310">
        <f t="shared" ca="1" si="308"/>
        <v>23</v>
      </c>
      <c r="Q646" s="304">
        <f t="shared" ca="1" si="309"/>
        <v>0</v>
      </c>
      <c r="R646" s="306">
        <f t="shared" ca="1" si="310"/>
        <v>0</v>
      </c>
      <c r="S646" s="307">
        <f t="shared" ca="1" si="311"/>
        <v>2.9362999999999984</v>
      </c>
      <c r="T646" s="304">
        <f t="shared" ca="1" si="291"/>
        <v>28.805102999999985</v>
      </c>
      <c r="U646" s="311">
        <f t="shared" ca="1" si="292"/>
        <v>0</v>
      </c>
      <c r="V646" s="306">
        <f t="shared" ca="1" si="293"/>
        <v>1.2264412265784406</v>
      </c>
      <c r="W646" s="304">
        <f t="shared" ca="1" si="294"/>
        <v>27.170566635408218</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0.53301636100455951</v>
      </c>
      <c r="AH646" s="304">
        <f t="shared" ca="1" si="318"/>
        <v>-9.2533155994973324</v>
      </c>
    </row>
    <row r="647" spans="1:34" x14ac:dyDescent="0.2">
      <c r="A647" s="347">
        <f t="shared" ca="1" si="296"/>
        <v>1E-4</v>
      </c>
      <c r="B647" s="304">
        <f t="shared" ca="1" si="297"/>
        <v>37.11380000000068</v>
      </c>
      <c r="D647" s="306">
        <f t="shared" ca="1" si="298"/>
        <v>-0.64238252879836721</v>
      </c>
      <c r="E647" s="307">
        <f t="shared" ca="1" si="299"/>
        <v>-0.57898989934863998</v>
      </c>
      <c r="F647" s="304">
        <f t="shared" ca="1" si="300"/>
        <v>0.86480322435403378</v>
      </c>
      <c r="G647" s="306">
        <f t="shared" ca="1" si="301"/>
        <v>7.2334584327246416</v>
      </c>
      <c r="H647" s="307">
        <f t="shared" ca="1" si="302"/>
        <v>-103.9454764706755</v>
      </c>
      <c r="I647" s="304">
        <f t="shared" ca="1" si="303"/>
        <v>104.19685695650186</v>
      </c>
      <c r="J647" s="306">
        <f t="shared" ca="1" si="304"/>
        <v>837.4075040097224</v>
      </c>
      <c r="K647" s="307">
        <f t="shared" ca="1" si="305"/>
        <v>-11.768592643198703</v>
      </c>
      <c r="L647" s="304">
        <f t="shared" ca="1" si="290"/>
        <v>837.49019549162176</v>
      </c>
      <c r="M647" s="306">
        <f t="shared" ca="1" si="306"/>
        <v>-1.5013193646430363</v>
      </c>
      <c r="N647" s="304">
        <f t="shared" ca="1" si="307"/>
        <v>-86.019263295308249</v>
      </c>
      <c r="P647" s="310">
        <f t="shared" ca="1" si="308"/>
        <v>23</v>
      </c>
      <c r="Q647" s="304">
        <f t="shared" ca="1" si="309"/>
        <v>0</v>
      </c>
      <c r="R647" s="306">
        <f t="shared" ca="1" si="310"/>
        <v>0</v>
      </c>
      <c r="S647" s="307">
        <f t="shared" ca="1" si="311"/>
        <v>2.9362999999999984</v>
      </c>
      <c r="T647" s="304">
        <f t="shared" ca="1" si="291"/>
        <v>28.805102999999985</v>
      </c>
      <c r="U647" s="311">
        <f t="shared" ca="1" si="292"/>
        <v>0</v>
      </c>
      <c r="V647" s="306">
        <f t="shared" ca="1" si="293"/>
        <v>1.2264425014093656</v>
      </c>
      <c r="W647" s="304">
        <f t="shared" ca="1" si="294"/>
        <v>27.170622675157396</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0.53299772067906837</v>
      </c>
      <c r="AH647" s="304">
        <f t="shared" ca="1" si="318"/>
        <v>-9.2533346849464397</v>
      </c>
    </row>
    <row r="648" spans="1:34" x14ac:dyDescent="0.2">
      <c r="A648" s="347">
        <f t="shared" ca="1" si="296"/>
        <v>1E-4</v>
      </c>
      <c r="B648" s="304">
        <f t="shared" ca="1" si="297"/>
        <v>37.113900000000683</v>
      </c>
      <c r="D648" s="306">
        <f t="shared" ca="1" si="298"/>
        <v>-0.64237782035294855</v>
      </c>
      <c r="E648" s="307">
        <f t="shared" ca="1" si="299"/>
        <v>-0.57897044037757261</v>
      </c>
      <c r="F648" s="304">
        <f t="shared" ca="1" si="300"/>
        <v>0.86478669908388706</v>
      </c>
      <c r="G648" s="306">
        <f t="shared" ca="1" si="301"/>
        <v>7.2333941949426066</v>
      </c>
      <c r="H648" s="307">
        <f t="shared" ca="1" si="302"/>
        <v>-103.94553436771955</v>
      </c>
      <c r="I648" s="304">
        <f t="shared" ca="1" si="303"/>
        <v>104.19691025443218</v>
      </c>
      <c r="J648" s="306">
        <f t="shared" ca="1" si="304"/>
        <v>837.4075040097224</v>
      </c>
      <c r="K648" s="307">
        <f t="shared" ca="1" si="305"/>
        <v>-11.778987193740623</v>
      </c>
      <c r="L648" s="304">
        <f t="shared" ca="1" si="290"/>
        <v>837.49034162257874</v>
      </c>
      <c r="M648" s="306">
        <f t="shared" ca="1" si="306"/>
        <v>-1.5013200182332451</v>
      </c>
      <c r="N648" s="304">
        <f t="shared" ca="1" si="307"/>
        <v>-86.019300743268744</v>
      </c>
      <c r="P648" s="310">
        <f t="shared" ca="1" si="308"/>
        <v>23</v>
      </c>
      <c r="Q648" s="304">
        <f t="shared" ca="1" si="309"/>
        <v>0</v>
      </c>
      <c r="R648" s="306">
        <f t="shared" ca="1" si="310"/>
        <v>0</v>
      </c>
      <c r="S648" s="307">
        <f t="shared" ca="1" si="311"/>
        <v>2.9362999999999984</v>
      </c>
      <c r="T648" s="304">
        <f t="shared" ca="1" si="291"/>
        <v>28.805102999999985</v>
      </c>
      <c r="U648" s="311">
        <f t="shared" ca="1" si="292"/>
        <v>0</v>
      </c>
      <c r="V648" s="306">
        <f t="shared" ca="1" si="293"/>
        <v>1.226443776242327</v>
      </c>
      <c r="W648" s="304">
        <f t="shared" ca="1" si="294"/>
        <v>27.170678714051572</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0.53297908063618316</v>
      </c>
      <c r="AH648" s="304">
        <f t="shared" ca="1" si="318"/>
        <v>-9.2533537701043524</v>
      </c>
    </row>
    <row r="649" spans="1:34" x14ac:dyDescent="0.2">
      <c r="A649" s="347">
        <f t="shared" ca="1" si="296"/>
        <v>1E-4</v>
      </c>
      <c r="B649" s="304">
        <f t="shared" ca="1" si="297"/>
        <v>37.114000000000686</v>
      </c>
      <c r="D649" s="306">
        <f t="shared" ca="1" si="298"/>
        <v>-0.6423731119219066</v>
      </c>
      <c r="E649" s="307">
        <f t="shared" ca="1" si="299"/>
        <v>-0.57895098170335757</v>
      </c>
      <c r="F649" s="304">
        <f t="shared" ca="1" si="300"/>
        <v>0.86477017417086943</v>
      </c>
      <c r="G649" s="306">
        <f t="shared" ca="1" si="301"/>
        <v>7.2333299576314145</v>
      </c>
      <c r="H649" s="307">
        <f t="shared" ca="1" si="302"/>
        <v>-103.94559226281771</v>
      </c>
      <c r="I649" s="304">
        <f t="shared" ca="1" si="303"/>
        <v>104.19696355049852</v>
      </c>
      <c r="J649" s="306">
        <f t="shared" ca="1" si="304"/>
        <v>837.4075040097224</v>
      </c>
      <c r="K649" s="307">
        <f t="shared" ca="1" si="305"/>
        <v>-11.789381750072149</v>
      </c>
      <c r="L649" s="304">
        <f t="shared" ca="1" si="290"/>
        <v>837.49048788260404</v>
      </c>
      <c r="M649" s="306">
        <f t="shared" ca="1" si="306"/>
        <v>-1.5013206718169809</v>
      </c>
      <c r="N649" s="304">
        <f t="shared" ca="1" si="307"/>
        <v>-86.019338190858363</v>
      </c>
      <c r="P649" s="310">
        <f t="shared" ca="1" si="308"/>
        <v>23</v>
      </c>
      <c r="Q649" s="304">
        <f t="shared" ca="1" si="309"/>
        <v>0</v>
      </c>
      <c r="R649" s="306">
        <f t="shared" ca="1" si="310"/>
        <v>0</v>
      </c>
      <c r="S649" s="307">
        <f t="shared" ca="1" si="311"/>
        <v>2.9362999999999984</v>
      </c>
      <c r="T649" s="304">
        <f t="shared" ca="1" si="291"/>
        <v>28.805102999999985</v>
      </c>
      <c r="U649" s="311">
        <f t="shared" ca="1" si="292"/>
        <v>0</v>
      </c>
      <c r="V649" s="306">
        <f t="shared" ca="1" si="293"/>
        <v>1.2264450510773242</v>
      </c>
      <c r="W649" s="304">
        <f t="shared" ca="1" si="294"/>
        <v>27.170734752090738</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0.53296044087589323</v>
      </c>
      <c r="AH649" s="304">
        <f t="shared" ca="1" si="318"/>
        <v>-9.2533728549710812</v>
      </c>
    </row>
    <row r="650" spans="1:34" x14ac:dyDescent="0.2">
      <c r="A650" s="347">
        <f t="shared" ca="1" si="296"/>
        <v>1E-4</v>
      </c>
      <c r="B650" s="304">
        <f t="shared" ca="1" si="297"/>
        <v>37.11410000000069</v>
      </c>
      <c r="D650" s="306">
        <f t="shared" ca="1" si="298"/>
        <v>-0.64236840350524205</v>
      </c>
      <c r="E650" s="307">
        <f t="shared" ca="1" si="299"/>
        <v>-0.57893152332599485</v>
      </c>
      <c r="F650" s="304">
        <f t="shared" ca="1" si="300"/>
        <v>0.86475364961498169</v>
      </c>
      <c r="G650" s="306">
        <f t="shared" ca="1" si="301"/>
        <v>7.2332657207910636</v>
      </c>
      <c r="H650" s="307">
        <f t="shared" ca="1" si="302"/>
        <v>-103.94565015597004</v>
      </c>
      <c r="I650" s="304">
        <f t="shared" ca="1" si="303"/>
        <v>104.19701684470093</v>
      </c>
      <c r="J650" s="306">
        <f t="shared" ca="1" si="304"/>
        <v>837.4075040097224</v>
      </c>
      <c r="K650" s="307">
        <f t="shared" ca="1" si="305"/>
        <v>-11.799776312193089</v>
      </c>
      <c r="L650" s="304">
        <f t="shared" ca="1" si="290"/>
        <v>837.49063427169801</v>
      </c>
      <c r="M650" s="306">
        <f t="shared" ca="1" si="306"/>
        <v>-1.5013213253942439</v>
      </c>
      <c r="N650" s="304">
        <f t="shared" ca="1" si="307"/>
        <v>-86.019375638077122</v>
      </c>
      <c r="P650" s="310">
        <f t="shared" ca="1" si="308"/>
        <v>23</v>
      </c>
      <c r="Q650" s="304">
        <f t="shared" ca="1" si="309"/>
        <v>0</v>
      </c>
      <c r="R650" s="306">
        <f t="shared" ca="1" si="310"/>
        <v>0</v>
      </c>
      <c r="S650" s="307">
        <f t="shared" ca="1" si="311"/>
        <v>2.9362999999999984</v>
      </c>
      <c r="T650" s="304">
        <f t="shared" ca="1" si="291"/>
        <v>28.805102999999985</v>
      </c>
      <c r="U650" s="311">
        <f t="shared" ca="1" si="292"/>
        <v>0</v>
      </c>
      <c r="V650" s="306">
        <f t="shared" ca="1" si="293"/>
        <v>1.226446325914357</v>
      </c>
      <c r="W650" s="304">
        <f t="shared" ca="1" si="294"/>
        <v>27.170790789274907</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0.53294180139820035</v>
      </c>
      <c r="AH650" s="304">
        <f t="shared" ca="1" si="318"/>
        <v>-9.2533919395466242</v>
      </c>
    </row>
    <row r="651" spans="1:34" x14ac:dyDescent="0.2">
      <c r="A651" s="347">
        <f t="shared" ca="1" si="296"/>
        <v>1E-4</v>
      </c>
      <c r="B651" s="304">
        <f t="shared" ca="1" si="297"/>
        <v>37.114200000000693</v>
      </c>
      <c r="D651" s="306">
        <f t="shared" ca="1" si="298"/>
        <v>-0.6423636951029541</v>
      </c>
      <c r="E651" s="307">
        <f t="shared" ca="1" si="299"/>
        <v>-0.57891206524548089</v>
      </c>
      <c r="F651" s="304">
        <f t="shared" ca="1" si="300"/>
        <v>0.86473712541622094</v>
      </c>
      <c r="G651" s="306">
        <f t="shared" ca="1" si="301"/>
        <v>7.2332014844215529</v>
      </c>
      <c r="H651" s="307">
        <f t="shared" ca="1" si="302"/>
        <v>-103.94570804717657</v>
      </c>
      <c r="I651" s="304">
        <f t="shared" ca="1" si="303"/>
        <v>104.19707013703939</v>
      </c>
      <c r="J651" s="306">
        <f t="shared" ca="1" si="304"/>
        <v>837.4075040097224</v>
      </c>
      <c r="K651" s="307">
        <f t="shared" ca="1" si="305"/>
        <v>-11.810170880103247</v>
      </c>
      <c r="L651" s="304">
        <f t="shared" ca="1" si="290"/>
        <v>837.49078078986065</v>
      </c>
      <c r="M651" s="306">
        <f t="shared" ca="1" si="306"/>
        <v>-1.5013219789650343</v>
      </c>
      <c r="N651" s="304">
        <f t="shared" ca="1" si="307"/>
        <v>-86.01941308492502</v>
      </c>
      <c r="P651" s="310">
        <f t="shared" ca="1" si="308"/>
        <v>23</v>
      </c>
      <c r="Q651" s="304">
        <f t="shared" ca="1" si="309"/>
        <v>0</v>
      </c>
      <c r="R651" s="306">
        <f t="shared" ca="1" si="310"/>
        <v>0</v>
      </c>
      <c r="S651" s="307">
        <f t="shared" ca="1" si="311"/>
        <v>2.9362999999999984</v>
      </c>
      <c r="T651" s="304">
        <f t="shared" ca="1" si="291"/>
        <v>28.805102999999985</v>
      </c>
      <c r="U651" s="311">
        <f t="shared" ca="1" si="292"/>
        <v>0</v>
      </c>
      <c r="V651" s="306">
        <f t="shared" ca="1" si="293"/>
        <v>1.2264476007534262</v>
      </c>
      <c r="W651" s="304">
        <f t="shared" ca="1" si="294"/>
        <v>27.170846825604102</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0.53292316220310099</v>
      </c>
      <c r="AH651" s="304">
        <f t="shared" ca="1" si="318"/>
        <v>-9.253411023830985</v>
      </c>
    </row>
    <row r="652" spans="1:34" x14ac:dyDescent="0.2">
      <c r="A652" s="347">
        <f t="shared" ca="1" si="296"/>
        <v>1E-4</v>
      </c>
      <c r="B652" s="304">
        <f t="shared" ca="1" si="297"/>
        <v>37.114300000000696</v>
      </c>
      <c r="D652" s="306">
        <f t="shared" ca="1" si="298"/>
        <v>-0.64235898671504232</v>
      </c>
      <c r="E652" s="307">
        <f t="shared" ca="1" si="299"/>
        <v>-0.57889260746180682</v>
      </c>
      <c r="F652" s="304">
        <f t="shared" ca="1" si="300"/>
        <v>0.86472060157458119</v>
      </c>
      <c r="G652" s="306">
        <f t="shared" ca="1" si="301"/>
        <v>7.2331372485228815</v>
      </c>
      <c r="H652" s="307">
        <f t="shared" ca="1" si="302"/>
        <v>-103.94576593643731</v>
      </c>
      <c r="I652" s="304">
        <f t="shared" ca="1" si="303"/>
        <v>104.19712342751397</v>
      </c>
      <c r="J652" s="306">
        <f t="shared" ca="1" si="304"/>
        <v>837.4075040097224</v>
      </c>
      <c r="K652" s="307">
        <f t="shared" ca="1" si="305"/>
        <v>-11.820565453802427</v>
      </c>
      <c r="L652" s="304">
        <f t="shared" ca="1" si="290"/>
        <v>837.49092743709218</v>
      </c>
      <c r="M652" s="306">
        <f t="shared" ca="1" si="306"/>
        <v>-1.5013226325293518</v>
      </c>
      <c r="N652" s="304">
        <f t="shared" ca="1" si="307"/>
        <v>-86.019450531402057</v>
      </c>
      <c r="P652" s="310">
        <f t="shared" ca="1" si="308"/>
        <v>23</v>
      </c>
      <c r="Q652" s="304">
        <f t="shared" ca="1" si="309"/>
        <v>0</v>
      </c>
      <c r="R652" s="306">
        <f t="shared" ca="1" si="310"/>
        <v>0</v>
      </c>
      <c r="S652" s="307">
        <f t="shared" ca="1" si="311"/>
        <v>2.9362999999999984</v>
      </c>
      <c r="T652" s="304">
        <f t="shared" ca="1" si="291"/>
        <v>28.805102999999985</v>
      </c>
      <c r="U652" s="311">
        <f t="shared" ca="1" si="292"/>
        <v>0</v>
      </c>
      <c r="V652" s="306">
        <f t="shared" ca="1" si="293"/>
        <v>1.2264488755945311</v>
      </c>
      <c r="W652" s="304">
        <f t="shared" ca="1" si="294"/>
        <v>27.170902861078314</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0.53290452329058624</v>
      </c>
      <c r="AH652" s="304">
        <f t="shared" ca="1" si="318"/>
        <v>-9.2534301078241725</v>
      </c>
    </row>
    <row r="653" spans="1:34" x14ac:dyDescent="0.2">
      <c r="A653" s="347">
        <f t="shared" ca="1" si="296"/>
        <v>1E-4</v>
      </c>
      <c r="B653" s="304">
        <f t="shared" ca="1" si="297"/>
        <v>37.1144000000007</v>
      </c>
      <c r="D653" s="306">
        <f t="shared" ca="1" si="298"/>
        <v>-0.64235427834150938</v>
      </c>
      <c r="E653" s="307">
        <f t="shared" ca="1" si="299"/>
        <v>-0.57887314997497619</v>
      </c>
      <c r="F653" s="304">
        <f t="shared" ca="1" si="300"/>
        <v>0.86470407809006689</v>
      </c>
      <c r="G653" s="306">
        <f t="shared" ca="1" si="301"/>
        <v>7.2330730130950478</v>
      </c>
      <c r="H653" s="307">
        <f t="shared" ca="1" si="302"/>
        <v>-103.94582382375231</v>
      </c>
      <c r="I653" s="304">
        <f t="shared" ca="1" si="303"/>
        <v>104.19717671612467</v>
      </c>
      <c r="J653" s="306">
        <f t="shared" ca="1" si="304"/>
        <v>837.4075040097224</v>
      </c>
      <c r="K653" s="307">
        <f t="shared" ca="1" si="305"/>
        <v>-11.830960033290436</v>
      </c>
      <c r="L653" s="304">
        <f t="shared" ca="1" si="290"/>
        <v>837.49107421339284</v>
      </c>
      <c r="M653" s="306">
        <f t="shared" ca="1" si="306"/>
        <v>-1.5013232860871968</v>
      </c>
      <c r="N653" s="304">
        <f t="shared" ca="1" si="307"/>
        <v>-86.019487977508234</v>
      </c>
      <c r="P653" s="310">
        <f t="shared" ca="1" si="308"/>
        <v>23</v>
      </c>
      <c r="Q653" s="304">
        <f t="shared" ca="1" si="309"/>
        <v>0</v>
      </c>
      <c r="R653" s="306">
        <f t="shared" ca="1" si="310"/>
        <v>0</v>
      </c>
      <c r="S653" s="307">
        <f t="shared" ca="1" si="311"/>
        <v>2.9362999999999984</v>
      </c>
      <c r="T653" s="304">
        <f t="shared" ca="1" si="291"/>
        <v>28.805102999999985</v>
      </c>
      <c r="U653" s="311">
        <f t="shared" ca="1" si="292"/>
        <v>0</v>
      </c>
      <c r="V653" s="306">
        <f t="shared" ca="1" si="293"/>
        <v>1.2264501504376717</v>
      </c>
      <c r="W653" s="304">
        <f t="shared" ca="1" si="294"/>
        <v>27.170958895697549</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0.53288588466066145</v>
      </c>
      <c r="AH653" s="304">
        <f t="shared" ca="1" si="318"/>
        <v>-9.2534491915261832</v>
      </c>
    </row>
    <row r="654" spans="1:34" x14ac:dyDescent="0.2">
      <c r="A654" s="347">
        <f t="shared" ca="1" si="296"/>
        <v>1E-4</v>
      </c>
      <c r="B654" s="304">
        <f t="shared" ca="1" si="297"/>
        <v>37.114500000000703</v>
      </c>
      <c r="D654" s="306">
        <f t="shared" ca="1" si="298"/>
        <v>-0.64234956998235426</v>
      </c>
      <c r="E654" s="307">
        <f t="shared" ca="1" si="299"/>
        <v>-0.57885369278498899</v>
      </c>
      <c r="F654" s="304">
        <f t="shared" ca="1" si="300"/>
        <v>0.86468755496267768</v>
      </c>
      <c r="G654" s="306">
        <f t="shared" ca="1" si="301"/>
        <v>7.2330087781380499</v>
      </c>
      <c r="H654" s="307">
        <f t="shared" ca="1" si="302"/>
        <v>-103.94588170912158</v>
      </c>
      <c r="I654" s="304">
        <f t="shared" ca="1" si="303"/>
        <v>104.19723000287156</v>
      </c>
      <c r="J654" s="306">
        <f t="shared" ca="1" si="304"/>
        <v>837.4075040097224</v>
      </c>
      <c r="K654" s="307">
        <f t="shared" ca="1" si="305"/>
        <v>-11.841354618567079</v>
      </c>
      <c r="L654" s="304">
        <f t="shared" ca="1" si="290"/>
        <v>837.4912211187625</v>
      </c>
      <c r="M654" s="306">
        <f t="shared" ca="1" si="306"/>
        <v>-1.5013239396385691</v>
      </c>
      <c r="N654" s="304">
        <f t="shared" ca="1" si="307"/>
        <v>-86.019525423243579</v>
      </c>
      <c r="P654" s="310">
        <f t="shared" ca="1" si="308"/>
        <v>23</v>
      </c>
      <c r="Q654" s="304">
        <f t="shared" ca="1" si="309"/>
        <v>0</v>
      </c>
      <c r="R654" s="306">
        <f t="shared" ca="1" si="310"/>
        <v>0</v>
      </c>
      <c r="S654" s="307">
        <f t="shared" ca="1" si="311"/>
        <v>2.9362999999999984</v>
      </c>
      <c r="T654" s="304">
        <f t="shared" ca="1" si="291"/>
        <v>28.805102999999985</v>
      </c>
      <c r="U654" s="311">
        <f t="shared" ca="1" si="292"/>
        <v>0</v>
      </c>
      <c r="V654" s="306">
        <f t="shared" ca="1" si="293"/>
        <v>1.2264514252828482</v>
      </c>
      <c r="W654" s="304">
        <f t="shared" ca="1" si="294"/>
        <v>27.171014929461847</v>
      </c>
      <c r="Y654" s="314" t="str">
        <f t="shared" ca="1" si="312"/>
        <v/>
      </c>
      <c r="Z654" s="315" t="str">
        <f t="shared" ca="1" si="313"/>
        <v/>
      </c>
      <c r="AA654" s="316" t="str">
        <f t="shared" ca="1" si="314"/>
        <v/>
      </c>
      <c r="AC654" s="310" t="e">
        <f t="shared" ca="1" si="315"/>
        <v>#N/A</v>
      </c>
      <c r="AD654" s="323" t="e">
        <f t="shared" ca="1" si="316"/>
        <v>#N/A</v>
      </c>
      <c r="AE654" s="324" t="e">
        <f t="shared" ca="1" si="295"/>
        <v>#N/A</v>
      </c>
      <c r="AG654" s="306">
        <f t="shared" ca="1" si="317"/>
        <v>0.5328672463133266</v>
      </c>
      <c r="AH654" s="304">
        <f t="shared" ca="1" si="318"/>
        <v>-9.253468274937017</v>
      </c>
    </row>
    <row r="655" spans="1:34" x14ac:dyDescent="0.2">
      <c r="A655" s="347">
        <f t="shared" ca="1" si="296"/>
        <v>1E-4</v>
      </c>
      <c r="B655" s="304">
        <f t="shared" ca="1" si="297"/>
        <v>37.114600000000706</v>
      </c>
      <c r="D655" s="306">
        <f t="shared" ca="1" si="298"/>
        <v>-0.6423448616375792</v>
      </c>
      <c r="E655" s="307">
        <f t="shared" ca="1" si="299"/>
        <v>-0.57883423589182748</v>
      </c>
      <c r="F655" s="304">
        <f t="shared" ca="1" si="300"/>
        <v>0.86467103219240349</v>
      </c>
      <c r="G655" s="306">
        <f t="shared" ca="1" si="301"/>
        <v>7.232944543651886</v>
      </c>
      <c r="H655" s="307">
        <f t="shared" ca="1" si="302"/>
        <v>-103.94593959254517</v>
      </c>
      <c r="I655" s="304">
        <f t="shared" ca="1" si="303"/>
        <v>104.19728328775466</v>
      </c>
      <c r="J655" s="306">
        <f t="shared" ca="1" si="304"/>
        <v>837.4075040097224</v>
      </c>
      <c r="K655" s="307">
        <f t="shared" ca="1" si="305"/>
        <v>-11.851749209632162</v>
      </c>
      <c r="L655" s="304">
        <f t="shared" ca="1" si="290"/>
        <v>837.49136815320151</v>
      </c>
      <c r="M655" s="306">
        <f t="shared" ca="1" si="306"/>
        <v>-1.5013245931834691</v>
      </c>
      <c r="N655" s="304">
        <f t="shared" ca="1" si="307"/>
        <v>-86.019562868608062</v>
      </c>
      <c r="P655" s="310">
        <f t="shared" ca="1" si="308"/>
        <v>23</v>
      </c>
      <c r="Q655" s="304">
        <f t="shared" ca="1" si="309"/>
        <v>0</v>
      </c>
      <c r="R655" s="306">
        <f t="shared" ca="1" si="310"/>
        <v>0</v>
      </c>
      <c r="S655" s="307">
        <f t="shared" ca="1" si="311"/>
        <v>2.9362999999999984</v>
      </c>
      <c r="T655" s="304">
        <f t="shared" ca="1" si="291"/>
        <v>28.805102999999985</v>
      </c>
      <c r="U655" s="311">
        <f t="shared" ca="1" si="292"/>
        <v>0</v>
      </c>
      <c r="V655" s="306">
        <f t="shared" ca="1" si="293"/>
        <v>1.2264527001300611</v>
      </c>
      <c r="W655" s="304">
        <f t="shared" ca="1" si="294"/>
        <v>27.171070962371218</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0.5328486082485604</v>
      </c>
      <c r="AH655" s="304">
        <f t="shared" ca="1" si="318"/>
        <v>-9.2534873580566916</v>
      </c>
    </row>
    <row r="656" spans="1:34" x14ac:dyDescent="0.2">
      <c r="A656" s="347">
        <f t="shared" ca="1" si="296"/>
        <v>1E-4</v>
      </c>
      <c r="B656" s="304">
        <f t="shared" ca="1" si="297"/>
        <v>37.11470000000071</v>
      </c>
      <c r="D656" s="306">
        <f t="shared" ca="1" si="298"/>
        <v>-0.64234015330718297</v>
      </c>
      <c r="E656" s="307">
        <f t="shared" ca="1" si="299"/>
        <v>-0.57881477929549341</v>
      </c>
      <c r="F656" s="304">
        <f t="shared" ca="1" si="300"/>
        <v>0.86465450977924474</v>
      </c>
      <c r="G656" s="306">
        <f t="shared" ca="1" si="301"/>
        <v>7.2328803096365553</v>
      </c>
      <c r="H656" s="307">
        <f t="shared" ca="1" si="302"/>
        <v>-103.9459974740231</v>
      </c>
      <c r="I656" s="304">
        <f t="shared" ca="1" si="303"/>
        <v>104.19733657077394</v>
      </c>
      <c r="J656" s="306">
        <f t="shared" ca="1" si="304"/>
        <v>837.4075040097224</v>
      </c>
      <c r="K656" s="307">
        <f t="shared" ca="1" si="305"/>
        <v>-11.862143806485491</v>
      </c>
      <c r="L656" s="304">
        <f t="shared" ca="1" si="290"/>
        <v>837.49151531670998</v>
      </c>
      <c r="M656" s="306">
        <f t="shared" ca="1" si="306"/>
        <v>-1.5013252467218967</v>
      </c>
      <c r="N656" s="304">
        <f t="shared" ca="1" si="307"/>
        <v>-86.019600313601714</v>
      </c>
      <c r="P656" s="310">
        <f t="shared" ca="1" si="308"/>
        <v>23</v>
      </c>
      <c r="Q656" s="304">
        <f t="shared" ca="1" si="309"/>
        <v>0</v>
      </c>
      <c r="R656" s="306">
        <f t="shared" ca="1" si="310"/>
        <v>0</v>
      </c>
      <c r="S656" s="307">
        <f t="shared" ca="1" si="311"/>
        <v>2.9362999999999984</v>
      </c>
      <c r="T656" s="304">
        <f t="shared" ca="1" si="291"/>
        <v>28.805102999999985</v>
      </c>
      <c r="U656" s="311">
        <f t="shared" ca="1" si="292"/>
        <v>0</v>
      </c>
      <c r="V656" s="306">
        <f t="shared" ca="1" si="293"/>
        <v>1.2264539749793091</v>
      </c>
      <c r="W656" s="304">
        <f t="shared" ca="1" si="294"/>
        <v>27.17112699442562</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0.53282997046636638</v>
      </c>
      <c r="AH656" s="304">
        <f t="shared" ca="1" si="318"/>
        <v>-9.2535064408852072</v>
      </c>
    </row>
    <row r="657" spans="1:34" x14ac:dyDescent="0.2">
      <c r="A657" s="347">
        <f t="shared" ca="1" si="296"/>
        <v>1E-4</v>
      </c>
      <c r="B657" s="304">
        <f t="shared" ca="1" si="297"/>
        <v>37.114800000000713</v>
      </c>
      <c r="D657" s="306">
        <f t="shared" ca="1" si="298"/>
        <v>-0.64233544499116568</v>
      </c>
      <c r="E657" s="307">
        <f t="shared" ca="1" si="299"/>
        <v>-0.57879532299599568</v>
      </c>
      <c r="F657" s="304">
        <f t="shared" ca="1" si="300"/>
        <v>0.86463798772320766</v>
      </c>
      <c r="G657" s="306">
        <f t="shared" ca="1" si="301"/>
        <v>7.2328160760920559</v>
      </c>
      <c r="H657" s="307">
        <f t="shared" ca="1" si="302"/>
        <v>-103.94605535355541</v>
      </c>
      <c r="I657" s="304">
        <f t="shared" ca="1" si="303"/>
        <v>104.1973898519295</v>
      </c>
      <c r="J657" s="306">
        <f t="shared" ca="1" si="304"/>
        <v>837.4075040097224</v>
      </c>
      <c r="K657" s="307">
        <f t="shared" ca="1" si="305"/>
        <v>-11.87253840912687</v>
      </c>
      <c r="L657" s="304">
        <f t="shared" ca="1" si="290"/>
        <v>837.49166260928791</v>
      </c>
      <c r="M657" s="306">
        <f t="shared" ca="1" si="306"/>
        <v>-1.5013259002538522</v>
      </c>
      <c r="N657" s="304">
        <f t="shared" ca="1" si="307"/>
        <v>-86.019637758224533</v>
      </c>
      <c r="P657" s="310">
        <f t="shared" ca="1" si="308"/>
        <v>23</v>
      </c>
      <c r="Q657" s="304">
        <f t="shared" ca="1" si="309"/>
        <v>0</v>
      </c>
      <c r="R657" s="306">
        <f t="shared" ca="1" si="310"/>
        <v>0</v>
      </c>
      <c r="S657" s="307">
        <f t="shared" ca="1" si="311"/>
        <v>2.9362999999999984</v>
      </c>
      <c r="T657" s="304">
        <f t="shared" ca="1" si="291"/>
        <v>28.805102999999985</v>
      </c>
      <c r="U657" s="311">
        <f t="shared" ca="1" si="292"/>
        <v>0</v>
      </c>
      <c r="V657" s="306">
        <f t="shared" ca="1" si="293"/>
        <v>1.2264552498305934</v>
      </c>
      <c r="W657" s="304">
        <f t="shared" ca="1" si="294"/>
        <v>27.171183025625119</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0.53281133296675875</v>
      </c>
      <c r="AH657" s="304">
        <f t="shared" ca="1" si="318"/>
        <v>-9.2535255234225513</v>
      </c>
    </row>
    <row r="658" spans="1:34" x14ac:dyDescent="0.2">
      <c r="A658" s="347">
        <f t="shared" ca="1" si="296"/>
        <v>1E-4</v>
      </c>
      <c r="B658" s="304">
        <f t="shared" ca="1" si="297"/>
        <v>37.114900000000716</v>
      </c>
      <c r="D658" s="306">
        <f t="shared" ca="1" si="298"/>
        <v>-0.64233073668952767</v>
      </c>
      <c r="E658" s="307">
        <f t="shared" ca="1" si="299"/>
        <v>-0.57877586699331651</v>
      </c>
      <c r="F658" s="304">
        <f t="shared" ca="1" si="300"/>
        <v>0.8646214660242808</v>
      </c>
      <c r="G658" s="306">
        <f t="shared" ca="1" si="301"/>
        <v>7.232751843018387</v>
      </c>
      <c r="H658" s="307">
        <f t="shared" ca="1" si="302"/>
        <v>-103.94611323114211</v>
      </c>
      <c r="I658" s="304">
        <f t="shared" ca="1" si="303"/>
        <v>104.19744313122132</v>
      </c>
      <c r="J658" s="306">
        <f t="shared" ca="1" si="304"/>
        <v>837.4075040097224</v>
      </c>
      <c r="K658" s="307">
        <f t="shared" ca="1" si="305"/>
        <v>-11.882933017556105</v>
      </c>
      <c r="L658" s="304">
        <f t="shared" ca="1" si="290"/>
        <v>837.49181003093577</v>
      </c>
      <c r="M658" s="306">
        <f t="shared" ca="1" si="306"/>
        <v>-1.5013265537793352</v>
      </c>
      <c r="N658" s="304">
        <f t="shared" ca="1" si="307"/>
        <v>-86.01967520247652</v>
      </c>
      <c r="P658" s="310">
        <f t="shared" ca="1" si="308"/>
        <v>23</v>
      </c>
      <c r="Q658" s="304">
        <f t="shared" ca="1" si="309"/>
        <v>0</v>
      </c>
      <c r="R658" s="306">
        <f t="shared" ca="1" si="310"/>
        <v>0</v>
      </c>
      <c r="S658" s="307">
        <f t="shared" ca="1" si="311"/>
        <v>2.9362999999999984</v>
      </c>
      <c r="T658" s="304">
        <f t="shared" ca="1" si="291"/>
        <v>28.805102999999985</v>
      </c>
      <c r="U658" s="311">
        <f t="shared" ca="1" si="292"/>
        <v>0</v>
      </c>
      <c r="V658" s="306">
        <f t="shared" ca="1" si="293"/>
        <v>1.2264565246839136</v>
      </c>
      <c r="W658" s="304">
        <f t="shared" ca="1" si="294"/>
        <v>27.1712390559697</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0.53279269574971089</v>
      </c>
      <c r="AH658" s="304">
        <f t="shared" ca="1" si="318"/>
        <v>-9.2535446056687451</v>
      </c>
    </row>
    <row r="659" spans="1:34" x14ac:dyDescent="0.2">
      <c r="A659" s="347">
        <f t="shared" ca="1" si="296"/>
        <v>1E-4</v>
      </c>
      <c r="B659" s="304">
        <f t="shared" ca="1" si="297"/>
        <v>37.11500000000072</v>
      </c>
      <c r="D659" s="306">
        <f t="shared" ca="1" si="298"/>
        <v>-0.6423260284022716</v>
      </c>
      <c r="E659" s="307">
        <f t="shared" ca="1" si="299"/>
        <v>-0.57875641128745769</v>
      </c>
      <c r="F659" s="304">
        <f t="shared" ca="1" si="300"/>
        <v>0.86460494468246751</v>
      </c>
      <c r="G659" s="306">
        <f t="shared" ca="1" si="301"/>
        <v>7.2326876104155469</v>
      </c>
      <c r="H659" s="307">
        <f t="shared" ca="1" si="302"/>
        <v>-103.94617110678324</v>
      </c>
      <c r="I659" s="304">
        <f t="shared" ca="1" si="303"/>
        <v>104.19749640864947</v>
      </c>
      <c r="J659" s="306">
        <f t="shared" ca="1" si="304"/>
        <v>837.4075040097224</v>
      </c>
      <c r="K659" s="307">
        <f t="shared" ca="1" si="305"/>
        <v>-11.893327631773001</v>
      </c>
      <c r="L659" s="304">
        <f t="shared" ca="1" si="290"/>
        <v>837.49195758165342</v>
      </c>
      <c r="M659" s="306">
        <f t="shared" ca="1" si="306"/>
        <v>-1.5013272072983461</v>
      </c>
      <c r="N659" s="304">
        <f t="shared" ca="1" si="307"/>
        <v>-86.019712646357675</v>
      </c>
      <c r="P659" s="310">
        <f t="shared" ca="1" si="308"/>
        <v>23</v>
      </c>
      <c r="Q659" s="304">
        <f t="shared" ca="1" si="309"/>
        <v>0</v>
      </c>
      <c r="R659" s="306">
        <f t="shared" ca="1" si="310"/>
        <v>0</v>
      </c>
      <c r="S659" s="307">
        <f t="shared" ca="1" si="311"/>
        <v>2.9362999999999984</v>
      </c>
      <c r="T659" s="304">
        <f t="shared" ca="1" si="291"/>
        <v>28.805102999999985</v>
      </c>
      <c r="U659" s="311">
        <f t="shared" ca="1" si="292"/>
        <v>0</v>
      </c>
      <c r="V659" s="306">
        <f t="shared" ca="1" si="293"/>
        <v>1.2264577995392694</v>
      </c>
      <c r="W659" s="304">
        <f t="shared" ca="1" si="294"/>
        <v>27.171295085459388</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0.53277405881523343</v>
      </c>
      <c r="AH659" s="304">
        <f t="shared" ca="1" si="318"/>
        <v>-9.2535636876237835</v>
      </c>
    </row>
    <row r="660" spans="1:34" x14ac:dyDescent="0.2">
      <c r="A660" s="347">
        <f t="shared" ca="1" si="296"/>
        <v>1E-4</v>
      </c>
      <c r="B660" s="304">
        <f t="shared" ca="1" si="297"/>
        <v>37.115100000000723</v>
      </c>
      <c r="D660" s="306">
        <f t="shared" ca="1" si="298"/>
        <v>-0.64232132012939713</v>
      </c>
      <c r="E660" s="307">
        <f t="shared" ca="1" si="299"/>
        <v>-0.57873695587841212</v>
      </c>
      <c r="F660" s="304">
        <f t="shared" ca="1" si="300"/>
        <v>0.86458842369776301</v>
      </c>
      <c r="G660" s="306">
        <f t="shared" ca="1" si="301"/>
        <v>7.2326233782835336</v>
      </c>
      <c r="H660" s="307">
        <f t="shared" ca="1" si="302"/>
        <v>-103.94622898047882</v>
      </c>
      <c r="I660" s="304">
        <f t="shared" ca="1" si="303"/>
        <v>104.19754968421393</v>
      </c>
      <c r="J660" s="306">
        <f t="shared" ca="1" si="304"/>
        <v>837.4075040097224</v>
      </c>
      <c r="K660" s="307">
        <f t="shared" ca="1" si="305"/>
        <v>-11.903722251777364</v>
      </c>
      <c r="L660" s="304">
        <f t="shared" ca="1" si="290"/>
        <v>837.492105261441</v>
      </c>
      <c r="M660" s="306">
        <f t="shared" ca="1" si="306"/>
        <v>-1.5013278608108851</v>
      </c>
      <c r="N660" s="304">
        <f t="shared" ca="1" si="307"/>
        <v>-86.019750089868026</v>
      </c>
      <c r="P660" s="310">
        <f t="shared" ca="1" si="308"/>
        <v>23</v>
      </c>
      <c r="Q660" s="304">
        <f t="shared" ca="1" si="309"/>
        <v>0</v>
      </c>
      <c r="R660" s="306">
        <f t="shared" ca="1" si="310"/>
        <v>0</v>
      </c>
      <c r="S660" s="307">
        <f t="shared" ca="1" si="311"/>
        <v>2.9362999999999984</v>
      </c>
      <c r="T660" s="304">
        <f t="shared" ca="1" si="291"/>
        <v>28.805102999999985</v>
      </c>
      <c r="U660" s="311">
        <f t="shared" ca="1" si="292"/>
        <v>0</v>
      </c>
      <c r="V660" s="306">
        <f t="shared" ca="1" si="293"/>
        <v>1.2264590743966608</v>
      </c>
      <c r="W660" s="304">
        <f t="shared" ca="1" si="294"/>
        <v>27.171351114094151</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0.53275542216331573</v>
      </c>
      <c r="AH660" s="304">
        <f t="shared" ca="1" si="318"/>
        <v>-9.2535827692876751</v>
      </c>
    </row>
    <row r="661" spans="1:34" x14ac:dyDescent="0.2">
      <c r="A661" s="347">
        <f t="shared" ca="1" si="296"/>
        <v>1E-4</v>
      </c>
      <c r="B661" s="304">
        <f t="shared" ca="1" si="297"/>
        <v>37.115200000000726</v>
      </c>
      <c r="D661" s="306">
        <f t="shared" ca="1" si="298"/>
        <v>-0.64231661187090228</v>
      </c>
      <c r="E661" s="307">
        <f t="shared" ca="1" si="299"/>
        <v>-0.57871750076618866</v>
      </c>
      <c r="F661" s="304">
        <f t="shared" ca="1" si="300"/>
        <v>0.86457190307017207</v>
      </c>
      <c r="G661" s="306">
        <f t="shared" ca="1" si="301"/>
        <v>7.2325591466223464</v>
      </c>
      <c r="H661" s="307">
        <f t="shared" ca="1" si="302"/>
        <v>-103.94628685222889</v>
      </c>
      <c r="I661" s="304">
        <f t="shared" ca="1" si="303"/>
        <v>104.19760295791475</v>
      </c>
      <c r="J661" s="306">
        <f t="shared" ca="1" si="304"/>
        <v>837.4075040097224</v>
      </c>
      <c r="K661" s="307">
        <f t="shared" ca="1" si="305"/>
        <v>-11.914116877568999</v>
      </c>
      <c r="L661" s="304">
        <f t="shared" ca="1" si="290"/>
        <v>837.49225307029894</v>
      </c>
      <c r="M661" s="306">
        <f t="shared" ca="1" si="306"/>
        <v>-1.5013285143169521</v>
      </c>
      <c r="N661" s="304">
        <f t="shared" ca="1" si="307"/>
        <v>-86.019787533007545</v>
      </c>
      <c r="P661" s="310">
        <f t="shared" ca="1" si="308"/>
        <v>23</v>
      </c>
      <c r="Q661" s="304">
        <f t="shared" ca="1" si="309"/>
        <v>0</v>
      </c>
      <c r="R661" s="306">
        <f t="shared" ca="1" si="310"/>
        <v>0</v>
      </c>
      <c r="S661" s="307">
        <f t="shared" ca="1" si="311"/>
        <v>2.9362999999999984</v>
      </c>
      <c r="T661" s="304">
        <f t="shared" ca="1" si="291"/>
        <v>28.805102999999985</v>
      </c>
      <c r="U661" s="311">
        <f t="shared" ca="1" si="292"/>
        <v>0</v>
      </c>
      <c r="V661" s="306">
        <f t="shared" ca="1" si="293"/>
        <v>1.2264603492560882</v>
      </c>
      <c r="W661" s="304">
        <f t="shared" ca="1" si="294"/>
        <v>27.171407141874056</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0.53273678579396488</v>
      </c>
      <c r="AH661" s="304">
        <f t="shared" ca="1" si="318"/>
        <v>-9.2536018506604112</v>
      </c>
    </row>
    <row r="662" spans="1:34" x14ac:dyDescent="0.2">
      <c r="A662" s="347">
        <f t="shared" ca="1" si="296"/>
        <v>1E-4</v>
      </c>
      <c r="B662" s="304">
        <f t="shared" ca="1" si="297"/>
        <v>37.11530000000073</v>
      </c>
      <c r="D662" s="306">
        <f t="shared" ca="1" si="298"/>
        <v>-0.6423119036267898</v>
      </c>
      <c r="E662" s="307">
        <f t="shared" ca="1" si="299"/>
        <v>-0.57869804595076424</v>
      </c>
      <c r="F662" s="304">
        <f t="shared" ca="1" si="300"/>
        <v>0.86455538279968125</v>
      </c>
      <c r="G662" s="306">
        <f t="shared" ca="1" si="301"/>
        <v>7.2324949154319835</v>
      </c>
      <c r="H662" s="307">
        <f t="shared" ca="1" si="302"/>
        <v>-103.94634472203349</v>
      </c>
      <c r="I662" s="304">
        <f t="shared" ca="1" si="303"/>
        <v>104.19765622975197</v>
      </c>
      <c r="J662" s="306">
        <f t="shared" ca="1" si="304"/>
        <v>837.4075040097224</v>
      </c>
      <c r="K662" s="307">
        <f t="shared" ca="1" si="305"/>
        <v>-11.924511509147711</v>
      </c>
      <c r="L662" s="304">
        <f t="shared" ca="1" si="290"/>
        <v>837.49240100822715</v>
      </c>
      <c r="M662" s="306">
        <f t="shared" ca="1" si="306"/>
        <v>-1.501329167816547</v>
      </c>
      <c r="N662" s="304">
        <f t="shared" ca="1" si="307"/>
        <v>-86.019824975776245</v>
      </c>
      <c r="P662" s="310">
        <f t="shared" ca="1" si="308"/>
        <v>23</v>
      </c>
      <c r="Q662" s="304">
        <f t="shared" ca="1" si="309"/>
        <v>0</v>
      </c>
      <c r="R662" s="306">
        <f t="shared" ca="1" si="310"/>
        <v>0</v>
      </c>
      <c r="S662" s="307">
        <f t="shared" ca="1" si="311"/>
        <v>2.9362999999999984</v>
      </c>
      <c r="T662" s="304">
        <f t="shared" ca="1" si="291"/>
        <v>28.805102999999985</v>
      </c>
      <c r="U662" s="311">
        <f t="shared" ca="1" si="292"/>
        <v>0</v>
      </c>
      <c r="V662" s="306">
        <f t="shared" ca="1" si="293"/>
        <v>1.2264616241175512</v>
      </c>
      <c r="W662" s="304">
        <f t="shared" ca="1" si="294"/>
        <v>27.171463168799079</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0.53271814970716491</v>
      </c>
      <c r="AH662" s="304">
        <f t="shared" ca="1" si="318"/>
        <v>-9.2536209317420131</v>
      </c>
    </row>
    <row r="663" spans="1:34" x14ac:dyDescent="0.2">
      <c r="A663" s="347">
        <f t="shared" ca="1" si="296"/>
        <v>1E-4</v>
      </c>
      <c r="B663" s="304">
        <f t="shared" ca="1" si="297"/>
        <v>37.115400000000733</v>
      </c>
      <c r="D663" s="306">
        <f t="shared" ca="1" si="298"/>
        <v>-0.64230719539706149</v>
      </c>
      <c r="E663" s="307">
        <f t="shared" ca="1" si="299"/>
        <v>-0.57867859143215128</v>
      </c>
      <c r="F663" s="304">
        <f t="shared" ca="1" si="300"/>
        <v>0.86453886288630066</v>
      </c>
      <c r="G663" s="306">
        <f t="shared" ca="1" si="301"/>
        <v>7.232430684712444</v>
      </c>
      <c r="H663" s="307">
        <f t="shared" ca="1" si="302"/>
        <v>-103.94640258989263</v>
      </c>
      <c r="I663" s="304">
        <f t="shared" ca="1" si="303"/>
        <v>104.19770949972559</v>
      </c>
      <c r="J663" s="306">
        <f t="shared" ca="1" si="304"/>
        <v>837.4075040097224</v>
      </c>
      <c r="K663" s="307">
        <f t="shared" ca="1" si="305"/>
        <v>-11.934906146513308</v>
      </c>
      <c r="L663" s="304">
        <f t="shared" ca="1" si="290"/>
        <v>837.49254907522572</v>
      </c>
      <c r="M663" s="306">
        <f t="shared" ca="1" si="306"/>
        <v>-1.5013298213096704</v>
      </c>
      <c r="N663" s="304">
        <f t="shared" ca="1" si="307"/>
        <v>-86.019862418174156</v>
      </c>
      <c r="P663" s="310">
        <f t="shared" ca="1" si="308"/>
        <v>23</v>
      </c>
      <c r="Q663" s="304">
        <f t="shared" ca="1" si="309"/>
        <v>0</v>
      </c>
      <c r="R663" s="306">
        <f t="shared" ca="1" si="310"/>
        <v>0</v>
      </c>
      <c r="S663" s="307">
        <f t="shared" ca="1" si="311"/>
        <v>2.9362999999999984</v>
      </c>
      <c r="T663" s="304">
        <f t="shared" ca="1" si="291"/>
        <v>28.805102999999985</v>
      </c>
      <c r="U663" s="311">
        <f t="shared" ca="1" si="292"/>
        <v>0</v>
      </c>
      <c r="V663" s="306">
        <f t="shared" ca="1" si="293"/>
        <v>1.2264628989810502</v>
      </c>
      <c r="W663" s="304">
        <f t="shared" ca="1" si="294"/>
        <v>27.17151919486923</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0.53269951390292114</v>
      </c>
      <c r="AH663" s="304">
        <f t="shared" ca="1" si="318"/>
        <v>-9.25364001253247</v>
      </c>
    </row>
    <row r="664" spans="1:34" x14ac:dyDescent="0.2">
      <c r="A664" s="347">
        <f t="shared" ca="1" si="296"/>
        <v>1E-4</v>
      </c>
      <c r="B664" s="304">
        <f t="shared" ca="1" si="297"/>
        <v>37.115500000000736</v>
      </c>
      <c r="D664" s="306">
        <f t="shared" ca="1" si="298"/>
        <v>-0.64230248718171312</v>
      </c>
      <c r="E664" s="307">
        <f t="shared" ca="1" si="299"/>
        <v>-0.57865913721034268</v>
      </c>
      <c r="F664" s="304">
        <f t="shared" ca="1" si="300"/>
        <v>0.86452234333002231</v>
      </c>
      <c r="G664" s="306">
        <f t="shared" ca="1" si="301"/>
        <v>7.2323664544637261</v>
      </c>
      <c r="H664" s="307">
        <f t="shared" ca="1" si="302"/>
        <v>-103.94646045580635</v>
      </c>
      <c r="I664" s="304">
        <f t="shared" ca="1" si="303"/>
        <v>104.19776276783568</v>
      </c>
      <c r="J664" s="306">
        <f t="shared" ca="1" si="304"/>
        <v>837.4075040097224</v>
      </c>
      <c r="K664" s="307">
        <f t="shared" ca="1" si="305"/>
        <v>-11.945300789665593</v>
      </c>
      <c r="L664" s="304">
        <f t="shared" ca="1" si="290"/>
        <v>837.4926972712949</v>
      </c>
      <c r="M664" s="306">
        <f t="shared" ca="1" si="306"/>
        <v>-1.5013304747963219</v>
      </c>
      <c r="N664" s="304">
        <f t="shared" ca="1" si="307"/>
        <v>-86.019899860201249</v>
      </c>
      <c r="P664" s="310">
        <f t="shared" ca="1" si="308"/>
        <v>23</v>
      </c>
      <c r="Q664" s="304">
        <f t="shared" ca="1" si="309"/>
        <v>0</v>
      </c>
      <c r="R664" s="306">
        <f t="shared" ca="1" si="310"/>
        <v>0</v>
      </c>
      <c r="S664" s="307">
        <f t="shared" ca="1" si="311"/>
        <v>2.9362999999999984</v>
      </c>
      <c r="T664" s="304">
        <f t="shared" ca="1" si="291"/>
        <v>28.805102999999985</v>
      </c>
      <c r="U664" s="311">
        <f t="shared" ca="1" si="292"/>
        <v>0</v>
      </c>
      <c r="V664" s="306">
        <f t="shared" ca="1" si="293"/>
        <v>1.2264641738465845</v>
      </c>
      <c r="W664" s="304">
        <f t="shared" ca="1" si="294"/>
        <v>27.171575220084531</v>
      </c>
      <c r="Y664" s="314" t="str">
        <f t="shared" ca="1" si="312"/>
        <v/>
      </c>
      <c r="Z664" s="315" t="str">
        <f t="shared" ca="1" si="313"/>
        <v/>
      </c>
      <c r="AA664" s="316" t="str">
        <f t="shared" ca="1" si="314"/>
        <v/>
      </c>
      <c r="AC664" s="310" t="e">
        <f t="shared" ca="1" si="315"/>
        <v>#N/A</v>
      </c>
      <c r="AD664" s="323" t="e">
        <f t="shared" ca="1" si="316"/>
        <v>#N/A</v>
      </c>
      <c r="AE664" s="324" t="e">
        <f t="shared" ca="1" si="295"/>
        <v>#N/A</v>
      </c>
      <c r="AG664" s="306">
        <f t="shared" ca="1" si="317"/>
        <v>0.53268087838123002</v>
      </c>
      <c r="AH664" s="304">
        <f t="shared" ca="1" si="318"/>
        <v>-9.2536590930317892</v>
      </c>
    </row>
    <row r="665" spans="1:34" x14ac:dyDescent="0.2">
      <c r="A665" s="347">
        <f t="shared" ca="1" si="296"/>
        <v>1E-4</v>
      </c>
      <c r="B665" s="304">
        <f t="shared" ca="1" si="297"/>
        <v>37.11560000000074</v>
      </c>
      <c r="D665" s="306">
        <f t="shared" ca="1" si="298"/>
        <v>-0.64229777898074991</v>
      </c>
      <c r="E665" s="307">
        <f t="shared" ca="1" si="299"/>
        <v>-0.57863968328533133</v>
      </c>
      <c r="F665" s="304">
        <f t="shared" ca="1" si="300"/>
        <v>0.86450582413084576</v>
      </c>
      <c r="G665" s="306">
        <f t="shared" ca="1" si="301"/>
        <v>7.232302224685828</v>
      </c>
      <c r="H665" s="307">
        <f t="shared" ca="1" si="302"/>
        <v>-103.94651831977467</v>
      </c>
      <c r="I665" s="304">
        <f t="shared" ca="1" si="303"/>
        <v>104.19781603408224</v>
      </c>
      <c r="J665" s="306">
        <f t="shared" ca="1" si="304"/>
        <v>837.4075040097224</v>
      </c>
      <c r="K665" s="307">
        <f t="shared" ca="1" si="305"/>
        <v>-11.955695438604373</v>
      </c>
      <c r="L665" s="304">
        <f t="shared" ca="1" si="290"/>
        <v>837.4928455964349</v>
      </c>
      <c r="M665" s="306">
        <f t="shared" ca="1" si="306"/>
        <v>-1.5013311282765016</v>
      </c>
      <c r="N665" s="304">
        <f t="shared" ca="1" si="307"/>
        <v>-86.019937301857553</v>
      </c>
      <c r="P665" s="310">
        <f t="shared" ca="1" si="308"/>
        <v>23</v>
      </c>
      <c r="Q665" s="304">
        <f t="shared" ca="1" si="309"/>
        <v>0</v>
      </c>
      <c r="R665" s="306">
        <f t="shared" ca="1" si="310"/>
        <v>0</v>
      </c>
      <c r="S665" s="307">
        <f t="shared" ca="1" si="311"/>
        <v>2.9362999999999984</v>
      </c>
      <c r="T665" s="304">
        <f t="shared" ca="1" si="291"/>
        <v>28.805102999999985</v>
      </c>
      <c r="U665" s="311">
        <f t="shared" ca="1" si="292"/>
        <v>0</v>
      </c>
      <c r="V665" s="306">
        <f t="shared" ca="1" si="293"/>
        <v>1.2264654487141544</v>
      </c>
      <c r="W665" s="304">
        <f t="shared" ca="1" si="294"/>
        <v>27.171631244444992</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0.53266224314208266</v>
      </c>
      <c r="AH665" s="304">
        <f t="shared" ca="1" si="318"/>
        <v>-9.2536781732399778</v>
      </c>
    </row>
    <row r="666" spans="1:34" x14ac:dyDescent="0.2">
      <c r="A666" s="347">
        <f t="shared" ca="1" si="296"/>
        <v>1E-4</v>
      </c>
      <c r="B666" s="304">
        <f t="shared" ca="1" si="297"/>
        <v>37.115700000000743</v>
      </c>
      <c r="D666" s="306">
        <f t="shared" ca="1" si="298"/>
        <v>-0.64229307079417108</v>
      </c>
      <c r="E666" s="307">
        <f t="shared" ca="1" si="299"/>
        <v>-0.57862022965711368</v>
      </c>
      <c r="F666" s="304">
        <f t="shared" ca="1" si="300"/>
        <v>0.86448930528876822</v>
      </c>
      <c r="G666" s="306">
        <f t="shared" ca="1" si="301"/>
        <v>7.2322379953787488</v>
      </c>
      <c r="H666" s="307">
        <f t="shared" ca="1" si="302"/>
        <v>-103.94657618179764</v>
      </c>
      <c r="I666" s="304">
        <f t="shared" ca="1" si="303"/>
        <v>104.19786929846531</v>
      </c>
      <c r="J666" s="306">
        <f t="shared" ca="1" si="304"/>
        <v>837.4075040097224</v>
      </c>
      <c r="K666" s="307">
        <f t="shared" ca="1" si="305"/>
        <v>-11.966090093329452</v>
      </c>
      <c r="L666" s="304">
        <f t="shared" ca="1" si="290"/>
        <v>837.49299405064573</v>
      </c>
      <c r="M666" s="306">
        <f t="shared" ca="1" si="306"/>
        <v>-1.5013317817502099</v>
      </c>
      <c r="N666" s="304">
        <f t="shared" ca="1" si="307"/>
        <v>-86.019974743143052</v>
      </c>
      <c r="P666" s="310">
        <f t="shared" ca="1" si="308"/>
        <v>23</v>
      </c>
      <c r="Q666" s="304">
        <f t="shared" ca="1" si="309"/>
        <v>0</v>
      </c>
      <c r="R666" s="306">
        <f t="shared" ca="1" si="310"/>
        <v>0</v>
      </c>
      <c r="S666" s="307">
        <f t="shared" ca="1" si="311"/>
        <v>2.9362999999999984</v>
      </c>
      <c r="T666" s="304">
        <f t="shared" ca="1" si="291"/>
        <v>28.805102999999985</v>
      </c>
      <c r="U666" s="311">
        <f t="shared" ca="1" si="292"/>
        <v>0</v>
      </c>
      <c r="V666" s="306">
        <f t="shared" ca="1" si="293"/>
        <v>1.2264667235837603</v>
      </c>
      <c r="W666" s="304">
        <f t="shared" ca="1" si="294"/>
        <v>27.17168726795062</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0.53264360818548084</v>
      </c>
      <c r="AH666" s="304">
        <f t="shared" ca="1" si="318"/>
        <v>-9.2536972531570374</v>
      </c>
    </row>
    <row r="667" spans="1:34" x14ac:dyDescent="0.2">
      <c r="A667" s="347">
        <f t="shared" ca="1" si="296"/>
        <v>1E-4</v>
      </c>
      <c r="B667" s="304">
        <f t="shared" ca="1" si="297"/>
        <v>37.115800000000746</v>
      </c>
      <c r="D667" s="306">
        <f t="shared" ca="1" si="298"/>
        <v>-0.64228836262197553</v>
      </c>
      <c r="E667" s="307">
        <f t="shared" ca="1" si="299"/>
        <v>-0.57860077632568974</v>
      </c>
      <c r="F667" s="304">
        <f t="shared" ca="1" si="300"/>
        <v>0.86447278680378892</v>
      </c>
      <c r="G667" s="306">
        <f t="shared" ca="1" si="301"/>
        <v>7.2321737665424868</v>
      </c>
      <c r="H667" s="307">
        <f t="shared" ca="1" si="302"/>
        <v>-103.94663404187527</v>
      </c>
      <c r="I667" s="304">
        <f t="shared" ca="1" si="303"/>
        <v>104.19792256098491</v>
      </c>
      <c r="J667" s="306">
        <f t="shared" ca="1" si="304"/>
        <v>837.4075040097224</v>
      </c>
      <c r="K667" s="307">
        <f t="shared" ca="1" si="305"/>
        <v>-11.976484753840635</v>
      </c>
      <c r="L667" s="304">
        <f t="shared" ca="1" si="290"/>
        <v>837.49314263392762</v>
      </c>
      <c r="M667" s="306">
        <f t="shared" ca="1" si="306"/>
        <v>-1.5013324352174466</v>
      </c>
      <c r="N667" s="304">
        <f t="shared" ca="1" si="307"/>
        <v>-86.020012184057776</v>
      </c>
      <c r="P667" s="310">
        <f t="shared" ca="1" si="308"/>
        <v>23</v>
      </c>
      <c r="Q667" s="304">
        <f t="shared" ca="1" si="309"/>
        <v>0</v>
      </c>
      <c r="R667" s="306">
        <f t="shared" ca="1" si="310"/>
        <v>0</v>
      </c>
      <c r="S667" s="307">
        <f t="shared" ca="1" si="311"/>
        <v>2.9362999999999984</v>
      </c>
      <c r="T667" s="304">
        <f t="shared" ca="1" si="291"/>
        <v>28.805102999999985</v>
      </c>
      <c r="U667" s="311">
        <f t="shared" ca="1" si="292"/>
        <v>0</v>
      </c>
      <c r="V667" s="306">
        <f t="shared" ca="1" si="293"/>
        <v>1.2264679984554014</v>
      </c>
      <c r="W667" s="304">
        <f t="shared" ca="1" si="294"/>
        <v>27.171743290601416</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0.53262497351141747</v>
      </c>
      <c r="AH667" s="304">
        <f t="shared" ca="1" si="318"/>
        <v>-9.2537163327829699</v>
      </c>
    </row>
    <row r="668" spans="1:34" x14ac:dyDescent="0.2">
      <c r="A668" s="347">
        <f t="shared" ca="1" si="296"/>
        <v>1E-4</v>
      </c>
      <c r="B668" s="304">
        <f t="shared" ca="1" si="297"/>
        <v>37.11590000000075</v>
      </c>
      <c r="D668" s="306">
        <f t="shared" ca="1" si="298"/>
        <v>-0.64228365446416436</v>
      </c>
      <c r="E668" s="307">
        <f t="shared" ca="1" si="299"/>
        <v>-0.57858132329105594</v>
      </c>
      <c r="F668" s="304">
        <f t="shared" ca="1" si="300"/>
        <v>0.86445626867590675</v>
      </c>
      <c r="G668" s="306">
        <f t="shared" ca="1" si="301"/>
        <v>7.2321095381770402</v>
      </c>
      <c r="H668" s="307">
        <f t="shared" ca="1" si="302"/>
        <v>-103.94669190000759</v>
      </c>
      <c r="I668" s="304">
        <f t="shared" ca="1" si="303"/>
        <v>104.19797582164105</v>
      </c>
      <c r="J668" s="306">
        <f t="shared" ca="1" si="304"/>
        <v>837.4075040097224</v>
      </c>
      <c r="K668" s="307">
        <f t="shared" ca="1" si="305"/>
        <v>-11.986879420137729</v>
      </c>
      <c r="L668" s="304">
        <f t="shared" ca="1" si="290"/>
        <v>837.49329134628067</v>
      </c>
      <c r="M668" s="306">
        <f t="shared" ca="1" si="306"/>
        <v>-1.5013330886782119</v>
      </c>
      <c r="N668" s="304">
        <f t="shared" ca="1" si="307"/>
        <v>-86.020049624601697</v>
      </c>
      <c r="P668" s="310">
        <f t="shared" ca="1" si="308"/>
        <v>23</v>
      </c>
      <c r="Q668" s="304">
        <f t="shared" ca="1" si="309"/>
        <v>0</v>
      </c>
      <c r="R668" s="306">
        <f t="shared" ca="1" si="310"/>
        <v>0</v>
      </c>
      <c r="S668" s="307">
        <f t="shared" ca="1" si="311"/>
        <v>2.9362999999999984</v>
      </c>
      <c r="T668" s="304">
        <f t="shared" ca="1" si="291"/>
        <v>28.805102999999985</v>
      </c>
      <c r="U668" s="311">
        <f t="shared" ca="1" si="292"/>
        <v>0</v>
      </c>
      <c r="V668" s="306">
        <f t="shared" ca="1" si="293"/>
        <v>1.2264692733290787</v>
      </c>
      <c r="W668" s="304">
        <f t="shared" ca="1" si="294"/>
        <v>27.1717993123974</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0.53260633911989608</v>
      </c>
      <c r="AH668" s="304">
        <f t="shared" ca="1" si="318"/>
        <v>-9.2537354121177771</v>
      </c>
    </row>
    <row r="669" spans="1:34" x14ac:dyDescent="0.2">
      <c r="A669" s="347">
        <f t="shared" ca="1" si="296"/>
        <v>1E-4</v>
      </c>
      <c r="B669" s="304">
        <f t="shared" ca="1" si="297"/>
        <v>37.116000000000753</v>
      </c>
      <c r="D669" s="306">
        <f t="shared" ca="1" si="298"/>
        <v>-0.64227894632073923</v>
      </c>
      <c r="E669" s="307">
        <f t="shared" ca="1" si="299"/>
        <v>-0.57856187055320518</v>
      </c>
      <c r="F669" s="304">
        <f t="shared" ca="1" si="300"/>
        <v>0.86443975090511826</v>
      </c>
      <c r="G669" s="306">
        <f t="shared" ca="1" si="301"/>
        <v>7.232045310282408</v>
      </c>
      <c r="H669" s="307">
        <f t="shared" ca="1" si="302"/>
        <v>-103.94674975619465</v>
      </c>
      <c r="I669" s="304">
        <f t="shared" ca="1" si="303"/>
        <v>104.19802908043381</v>
      </c>
      <c r="J669" s="306">
        <f t="shared" ca="1" si="304"/>
        <v>837.4075040097224</v>
      </c>
      <c r="K669" s="307">
        <f t="shared" ca="1" si="305"/>
        <v>-11.99727409222054</v>
      </c>
      <c r="L669" s="304">
        <f t="shared" ca="1" si="290"/>
        <v>837.493440187705</v>
      </c>
      <c r="M669" s="306">
        <f t="shared" ca="1" si="306"/>
        <v>-1.5013337421325059</v>
      </c>
      <c r="N669" s="304">
        <f t="shared" ca="1" si="307"/>
        <v>-86.020087064774856</v>
      </c>
      <c r="P669" s="310">
        <f t="shared" ca="1" si="308"/>
        <v>23</v>
      </c>
      <c r="Q669" s="304">
        <f t="shared" ca="1" si="309"/>
        <v>0</v>
      </c>
      <c r="R669" s="306">
        <f t="shared" ca="1" si="310"/>
        <v>0</v>
      </c>
      <c r="S669" s="307">
        <f t="shared" ca="1" si="311"/>
        <v>2.9362999999999984</v>
      </c>
      <c r="T669" s="304">
        <f t="shared" ca="1" si="291"/>
        <v>28.805102999999985</v>
      </c>
      <c r="U669" s="311">
        <f t="shared" ca="1" si="292"/>
        <v>0</v>
      </c>
      <c r="V669" s="306">
        <f t="shared" ca="1" si="293"/>
        <v>1.2264705482047911</v>
      </c>
      <c r="W669" s="304">
        <f t="shared" ca="1" si="294"/>
        <v>27.171855333338584</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0.53258770501090424</v>
      </c>
      <c r="AH669" s="304">
        <f t="shared" ca="1" si="318"/>
        <v>-9.2537544911614678</v>
      </c>
    </row>
    <row r="670" spans="1:34" x14ac:dyDescent="0.2">
      <c r="A670" s="347">
        <f t="shared" ca="1" si="296"/>
        <v>1E-4</v>
      </c>
      <c r="B670" s="304">
        <f t="shared" ca="1" si="297"/>
        <v>37.116100000000756</v>
      </c>
      <c r="D670" s="306">
        <f t="shared" ca="1" si="298"/>
        <v>-0.64227423819169893</v>
      </c>
      <c r="E670" s="307">
        <f t="shared" ca="1" si="299"/>
        <v>-0.57854241811213569</v>
      </c>
      <c r="F670" s="304">
        <f t="shared" ca="1" si="300"/>
        <v>0.86442323349142136</v>
      </c>
      <c r="G670" s="306">
        <f t="shared" ca="1" si="301"/>
        <v>7.2319810828585886</v>
      </c>
      <c r="H670" s="307">
        <f t="shared" ca="1" si="302"/>
        <v>-103.94680761043647</v>
      </c>
      <c r="I670" s="304">
        <f t="shared" ca="1" si="303"/>
        <v>104.19808233736319</v>
      </c>
      <c r="J670" s="306">
        <f t="shared" ca="1" si="304"/>
        <v>837.4075040097224</v>
      </c>
      <c r="K670" s="307">
        <f t="shared" ca="1" si="305"/>
        <v>-12.007668770088872</v>
      </c>
      <c r="L670" s="304">
        <f t="shared" ca="1" si="290"/>
        <v>837.49358915820085</v>
      </c>
      <c r="M670" s="306">
        <f t="shared" ca="1" si="306"/>
        <v>-1.5013343955803287</v>
      </c>
      <c r="N670" s="304">
        <f t="shared" ca="1" si="307"/>
        <v>-86.020124504577225</v>
      </c>
      <c r="P670" s="310">
        <f t="shared" ca="1" si="308"/>
        <v>23</v>
      </c>
      <c r="Q670" s="304">
        <f t="shared" ca="1" si="309"/>
        <v>0</v>
      </c>
      <c r="R670" s="306">
        <f t="shared" ca="1" si="310"/>
        <v>0</v>
      </c>
      <c r="S670" s="307">
        <f t="shared" ca="1" si="311"/>
        <v>2.9362999999999984</v>
      </c>
      <c r="T670" s="304">
        <f t="shared" ca="1" si="291"/>
        <v>28.805102999999985</v>
      </c>
      <c r="U670" s="311">
        <f t="shared" ca="1" si="292"/>
        <v>0</v>
      </c>
      <c r="V670" s="306">
        <f t="shared" ca="1" si="293"/>
        <v>1.2264718230825391</v>
      </c>
      <c r="W670" s="304">
        <f t="shared" ca="1" si="294"/>
        <v>27.171911353424981</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0.53256907118444374</v>
      </c>
      <c r="AH670" s="304">
        <f t="shared" ca="1" si="318"/>
        <v>-9.253773569914042</v>
      </c>
    </row>
    <row r="671" spans="1:34" x14ac:dyDescent="0.2">
      <c r="A671" s="347">
        <f t="shared" ca="1" si="296"/>
        <v>1E-4</v>
      </c>
      <c r="B671" s="304">
        <f t="shared" ca="1" si="297"/>
        <v>37.116200000000759</v>
      </c>
      <c r="D671" s="306">
        <f t="shared" ca="1" si="298"/>
        <v>-0.64226953007704468</v>
      </c>
      <c r="E671" s="307">
        <f t="shared" ca="1" si="299"/>
        <v>-0.57852296596784392</v>
      </c>
      <c r="F671" s="304">
        <f t="shared" ca="1" si="300"/>
        <v>0.86440671643481515</v>
      </c>
      <c r="G671" s="306">
        <f t="shared" ca="1" si="301"/>
        <v>7.2319168559055811</v>
      </c>
      <c r="H671" s="307">
        <f t="shared" ca="1" si="302"/>
        <v>-103.94686546273306</v>
      </c>
      <c r="I671" s="304">
        <f t="shared" ca="1" si="303"/>
        <v>104.19813559242918</v>
      </c>
      <c r="J671" s="306">
        <f t="shared" ca="1" si="304"/>
        <v>837.4075040097224</v>
      </c>
      <c r="K671" s="307">
        <f t="shared" ca="1" si="305"/>
        <v>-12.018063453742529</v>
      </c>
      <c r="L671" s="304">
        <f t="shared" ca="1" si="290"/>
        <v>837.49373825776831</v>
      </c>
      <c r="M671" s="306">
        <f t="shared" ca="1" si="306"/>
        <v>-1.5013350490216801</v>
      </c>
      <c r="N671" s="304">
        <f t="shared" ca="1" si="307"/>
        <v>-86.020161944008819</v>
      </c>
      <c r="P671" s="310">
        <f t="shared" ca="1" si="308"/>
        <v>23</v>
      </c>
      <c r="Q671" s="304">
        <f t="shared" ca="1" si="309"/>
        <v>0</v>
      </c>
      <c r="R671" s="306">
        <f t="shared" ca="1" si="310"/>
        <v>0</v>
      </c>
      <c r="S671" s="307">
        <f t="shared" ca="1" si="311"/>
        <v>2.9362999999999984</v>
      </c>
      <c r="T671" s="304">
        <f t="shared" ca="1" si="291"/>
        <v>28.805102999999985</v>
      </c>
      <c r="U671" s="311">
        <f t="shared" ca="1" si="292"/>
        <v>0</v>
      </c>
      <c r="V671" s="306">
        <f t="shared" ca="1" si="293"/>
        <v>1.2264730979623228</v>
      </c>
      <c r="W671" s="304">
        <f t="shared" ca="1" si="294"/>
        <v>27.171967372656578</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0.53255043764051102</v>
      </c>
      <c r="AH671" s="304">
        <f t="shared" ca="1" si="318"/>
        <v>-9.2537926483755051</v>
      </c>
    </row>
    <row r="672" spans="1:34" x14ac:dyDescent="0.2">
      <c r="A672" s="347">
        <f t="shared" ca="1" si="296"/>
        <v>1E-4</v>
      </c>
      <c r="B672" s="304">
        <f t="shared" ca="1" si="297"/>
        <v>37.116300000000763</v>
      </c>
      <c r="D672" s="306">
        <f t="shared" ca="1" si="298"/>
        <v>-0.64226482197677759</v>
      </c>
      <c r="E672" s="307">
        <f t="shared" ca="1" si="299"/>
        <v>-0.57850351412032985</v>
      </c>
      <c r="F672" s="304">
        <f t="shared" ca="1" si="300"/>
        <v>0.8643901997353004</v>
      </c>
      <c r="G672" s="306">
        <f t="shared" ca="1" si="301"/>
        <v>7.2318526294233836</v>
      </c>
      <c r="H672" s="307">
        <f t="shared" ca="1" si="302"/>
        <v>-103.94692331308447</v>
      </c>
      <c r="I672" s="304">
        <f t="shared" ca="1" si="303"/>
        <v>104.19818884563186</v>
      </c>
      <c r="J672" s="306">
        <f t="shared" ca="1" si="304"/>
        <v>837.4075040097224</v>
      </c>
      <c r="K672" s="307">
        <f t="shared" ca="1" si="305"/>
        <v>-12.02845814318132</v>
      </c>
      <c r="L672" s="304">
        <f t="shared" ca="1" si="290"/>
        <v>837.49388748640752</v>
      </c>
      <c r="M672" s="306">
        <f t="shared" ca="1" si="306"/>
        <v>-1.5013357024565606</v>
      </c>
      <c r="N672" s="304">
        <f t="shared" ca="1" si="307"/>
        <v>-86.020199383069667</v>
      </c>
      <c r="P672" s="310">
        <f t="shared" ca="1" si="308"/>
        <v>23</v>
      </c>
      <c r="Q672" s="304">
        <f t="shared" ca="1" si="309"/>
        <v>0</v>
      </c>
      <c r="R672" s="306">
        <f t="shared" ca="1" si="310"/>
        <v>0</v>
      </c>
      <c r="S672" s="307">
        <f t="shared" ca="1" si="311"/>
        <v>2.9362999999999984</v>
      </c>
      <c r="T672" s="304">
        <f t="shared" ca="1" si="291"/>
        <v>28.805102999999985</v>
      </c>
      <c r="U672" s="311">
        <f t="shared" ca="1" si="292"/>
        <v>0</v>
      </c>
      <c r="V672" s="306">
        <f t="shared" ca="1" si="293"/>
        <v>1.2264743728441418</v>
      </c>
      <c r="W672" s="304">
        <f t="shared" ca="1" si="294"/>
        <v>27.172023391033395</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0.53253180437910608</v>
      </c>
      <c r="AH672" s="304">
        <f t="shared" ca="1" si="318"/>
        <v>-9.2538117265458553</v>
      </c>
    </row>
    <row r="673" spans="1:34" x14ac:dyDescent="0.2">
      <c r="A673" s="347">
        <f t="shared" ca="1" si="296"/>
        <v>1E-4</v>
      </c>
      <c r="B673" s="304">
        <f t="shared" ca="1" si="297"/>
        <v>37.116400000000766</v>
      </c>
      <c r="D673" s="306">
        <f t="shared" ca="1" si="298"/>
        <v>-0.64226011389089643</v>
      </c>
      <c r="E673" s="307">
        <f t="shared" ca="1" si="299"/>
        <v>-0.57848406256958995</v>
      </c>
      <c r="F673" s="304">
        <f t="shared" ca="1" si="300"/>
        <v>0.86437368339287413</v>
      </c>
      <c r="G673" s="306">
        <f t="shared" ca="1" si="301"/>
        <v>7.2317884034119944</v>
      </c>
      <c r="H673" s="307">
        <f t="shared" ca="1" si="302"/>
        <v>-103.94698116149073</v>
      </c>
      <c r="I673" s="304">
        <f t="shared" ca="1" si="303"/>
        <v>104.19824209697126</v>
      </c>
      <c r="J673" s="306">
        <f t="shared" ca="1" si="304"/>
        <v>837.4075040097224</v>
      </c>
      <c r="K673" s="307">
        <f t="shared" ca="1" si="305"/>
        <v>-12.038852838405049</v>
      </c>
      <c r="L673" s="304">
        <f t="shared" ca="1" si="290"/>
        <v>837.49403684411868</v>
      </c>
      <c r="M673" s="306">
        <f t="shared" ca="1" si="306"/>
        <v>-1.5013363558849699</v>
      </c>
      <c r="N673" s="304">
        <f t="shared" ca="1" si="307"/>
        <v>-86.020236821759738</v>
      </c>
      <c r="P673" s="310">
        <f t="shared" ca="1" si="308"/>
        <v>23</v>
      </c>
      <c r="Q673" s="304">
        <f t="shared" ca="1" si="309"/>
        <v>0</v>
      </c>
      <c r="R673" s="306">
        <f t="shared" ca="1" si="310"/>
        <v>0</v>
      </c>
      <c r="S673" s="307">
        <f t="shared" ca="1" si="311"/>
        <v>2.9362999999999984</v>
      </c>
      <c r="T673" s="304">
        <f t="shared" ca="1" si="291"/>
        <v>28.805102999999985</v>
      </c>
      <c r="U673" s="311">
        <f t="shared" ca="1" si="292"/>
        <v>0</v>
      </c>
      <c r="V673" s="306">
        <f t="shared" ca="1" si="293"/>
        <v>1.2264756477279968</v>
      </c>
      <c r="W673" s="304">
        <f t="shared" ca="1" si="294"/>
        <v>27.172079408555469</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0.53251317140022536</v>
      </c>
      <c r="AH673" s="304">
        <f t="shared" ca="1" si="318"/>
        <v>-9.2538308044250961</v>
      </c>
    </row>
    <row r="674" spans="1:34" x14ac:dyDescent="0.2">
      <c r="A674" s="347">
        <f t="shared" ca="1" si="296"/>
        <v>1E-4</v>
      </c>
      <c r="B674" s="304">
        <f t="shared" ca="1" si="297"/>
        <v>37.116500000000769</v>
      </c>
      <c r="D674" s="306">
        <f t="shared" ca="1" si="298"/>
        <v>-0.64225540581940355</v>
      </c>
      <c r="E674" s="307">
        <f t="shared" ca="1" si="299"/>
        <v>-0.57846461131561178</v>
      </c>
      <c r="F674" s="304">
        <f t="shared" ca="1" si="300"/>
        <v>0.86435716740752988</v>
      </c>
      <c r="G674" s="306">
        <f t="shared" ca="1" si="301"/>
        <v>7.2317241778714125</v>
      </c>
      <c r="H674" s="307">
        <f t="shared" ca="1" si="302"/>
        <v>-103.94703900795186</v>
      </c>
      <c r="I674" s="304">
        <f t="shared" ca="1" si="303"/>
        <v>104.19829534644737</v>
      </c>
      <c r="J674" s="306">
        <f t="shared" ca="1" si="304"/>
        <v>837.4075040097224</v>
      </c>
      <c r="K674" s="307">
        <f t="shared" ca="1" si="305"/>
        <v>-12.049247539413521</v>
      </c>
      <c r="L674" s="304">
        <f t="shared" ca="1" si="290"/>
        <v>837.49418633090181</v>
      </c>
      <c r="M674" s="306">
        <f t="shared" ca="1" si="306"/>
        <v>-1.5013370093069083</v>
      </c>
      <c r="N674" s="304">
        <f t="shared" ca="1" si="307"/>
        <v>-86.020274260079034</v>
      </c>
      <c r="P674" s="310">
        <f t="shared" ca="1" si="308"/>
        <v>23</v>
      </c>
      <c r="Q674" s="304">
        <f t="shared" ca="1" si="309"/>
        <v>0</v>
      </c>
      <c r="R674" s="306">
        <f t="shared" ca="1" si="310"/>
        <v>0</v>
      </c>
      <c r="S674" s="307">
        <f t="shared" ca="1" si="311"/>
        <v>2.9362999999999984</v>
      </c>
      <c r="T674" s="304">
        <f t="shared" ca="1" si="291"/>
        <v>28.805102999999985</v>
      </c>
      <c r="U674" s="311">
        <f t="shared" ca="1" si="292"/>
        <v>0</v>
      </c>
      <c r="V674" s="306">
        <f t="shared" ca="1" si="293"/>
        <v>1.2264769226138867</v>
      </c>
      <c r="W674" s="304">
        <f t="shared" ca="1" si="294"/>
        <v>27.172135425222773</v>
      </c>
      <c r="Y674" s="314" t="str">
        <f t="shared" ca="1" si="312"/>
        <v/>
      </c>
      <c r="Z674" s="315" t="str">
        <f t="shared" ca="1" si="313"/>
        <v/>
      </c>
      <c r="AA674" s="316" t="str">
        <f t="shared" ca="1" si="314"/>
        <v/>
      </c>
      <c r="AC674" s="310" t="e">
        <f t="shared" ca="1" si="315"/>
        <v>#N/A</v>
      </c>
      <c r="AD674" s="323" t="e">
        <f t="shared" ca="1" si="316"/>
        <v>#N/A</v>
      </c>
      <c r="AE674" s="324" t="e">
        <f t="shared" ca="1" si="295"/>
        <v>#N/A</v>
      </c>
      <c r="AG674" s="306">
        <f t="shared" ca="1" si="317"/>
        <v>0.53249453870385643</v>
      </c>
      <c r="AH674" s="304">
        <f t="shared" ca="1" si="318"/>
        <v>-9.2538498820132418</v>
      </c>
    </row>
    <row r="675" spans="1:34" x14ac:dyDescent="0.2">
      <c r="A675" s="347">
        <f t="shared" ca="1" si="296"/>
        <v>1E-4</v>
      </c>
      <c r="B675" s="304">
        <f t="shared" ca="1" si="297"/>
        <v>37.116600000000773</v>
      </c>
      <c r="D675" s="306">
        <f t="shared" ca="1" si="298"/>
        <v>-0.64225069776229904</v>
      </c>
      <c r="E675" s="307">
        <f t="shared" ca="1" si="299"/>
        <v>-0.57844516035840066</v>
      </c>
      <c r="F675" s="304">
        <f t="shared" ca="1" si="300"/>
        <v>0.86434065177927144</v>
      </c>
      <c r="G675" s="306">
        <f t="shared" ca="1" si="301"/>
        <v>7.2316599528016363</v>
      </c>
      <c r="H675" s="307">
        <f t="shared" ca="1" si="302"/>
        <v>-103.94709685246789</v>
      </c>
      <c r="I675" s="304">
        <f t="shared" ca="1" si="303"/>
        <v>104.19834859406023</v>
      </c>
      <c r="J675" s="306">
        <f t="shared" ca="1" si="304"/>
        <v>837.4075040097224</v>
      </c>
      <c r="K675" s="307">
        <f t="shared" ca="1" si="305"/>
        <v>-12.059642246206542</v>
      </c>
      <c r="L675" s="304">
        <f t="shared" ca="1" si="290"/>
        <v>837.49433594675713</v>
      </c>
      <c r="M675" s="306">
        <f t="shared" ca="1" si="306"/>
        <v>-1.5013376627223758</v>
      </c>
      <c r="N675" s="304">
        <f t="shared" ca="1" si="307"/>
        <v>-86.020311698027598</v>
      </c>
      <c r="P675" s="310">
        <f t="shared" ca="1" si="308"/>
        <v>23</v>
      </c>
      <c r="Q675" s="304">
        <f t="shared" ca="1" si="309"/>
        <v>0</v>
      </c>
      <c r="R675" s="306">
        <f t="shared" ca="1" si="310"/>
        <v>0</v>
      </c>
      <c r="S675" s="307">
        <f t="shared" ca="1" si="311"/>
        <v>2.9362999999999984</v>
      </c>
      <c r="T675" s="304">
        <f t="shared" ca="1" si="291"/>
        <v>28.805102999999985</v>
      </c>
      <c r="U675" s="311">
        <f t="shared" ca="1" si="292"/>
        <v>0</v>
      </c>
      <c r="V675" s="306">
        <f t="shared" ca="1" si="293"/>
        <v>1.2264781975018126</v>
      </c>
      <c r="W675" s="304">
        <f t="shared" ca="1" si="294"/>
        <v>27.172191441035334</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0.53247590629000463</v>
      </c>
      <c r="AH675" s="304">
        <f t="shared" ca="1" si="318"/>
        <v>-9.2538689593102852</v>
      </c>
    </row>
    <row r="676" spans="1:34" x14ac:dyDescent="0.2">
      <c r="A676" s="347">
        <f t="shared" ca="1" si="296"/>
        <v>1E-4</v>
      </c>
      <c r="B676" s="304">
        <f t="shared" ca="1" si="297"/>
        <v>37.116700000000776</v>
      </c>
      <c r="D676" s="306">
        <f t="shared" ca="1" si="298"/>
        <v>-0.64224598971958247</v>
      </c>
      <c r="E676" s="307">
        <f t="shared" ca="1" si="299"/>
        <v>-0.57842570969795126</v>
      </c>
      <c r="F676" s="304">
        <f t="shared" ca="1" si="300"/>
        <v>0.86432413650809525</v>
      </c>
      <c r="G676" s="306">
        <f t="shared" ca="1" si="301"/>
        <v>7.2315957282026639</v>
      </c>
      <c r="H676" s="307">
        <f t="shared" ca="1" si="302"/>
        <v>-103.94715469503886</v>
      </c>
      <c r="I676" s="304">
        <f t="shared" ca="1" si="303"/>
        <v>104.19840183980989</v>
      </c>
      <c r="J676" s="306">
        <f t="shared" ca="1" si="304"/>
        <v>837.4075040097224</v>
      </c>
      <c r="K676" s="307">
        <f t="shared" ca="1" si="305"/>
        <v>-12.070036958783916</v>
      </c>
      <c r="L676" s="304">
        <f t="shared" ca="1" si="290"/>
        <v>837.49448569168476</v>
      </c>
      <c r="M676" s="306">
        <f t="shared" ca="1" si="306"/>
        <v>-1.5013383161313725</v>
      </c>
      <c r="N676" s="304">
        <f t="shared" ca="1" si="307"/>
        <v>-86.0203491356054</v>
      </c>
      <c r="P676" s="310">
        <f t="shared" ca="1" si="308"/>
        <v>23</v>
      </c>
      <c r="Q676" s="304">
        <f t="shared" ca="1" si="309"/>
        <v>0</v>
      </c>
      <c r="R676" s="306">
        <f t="shared" ca="1" si="310"/>
        <v>0</v>
      </c>
      <c r="S676" s="307">
        <f t="shared" ca="1" si="311"/>
        <v>2.9362999999999984</v>
      </c>
      <c r="T676" s="304">
        <f t="shared" ca="1" si="291"/>
        <v>28.805102999999985</v>
      </c>
      <c r="U676" s="311">
        <f t="shared" ca="1" si="292"/>
        <v>0</v>
      </c>
      <c r="V676" s="306">
        <f t="shared" ca="1" si="293"/>
        <v>1.2264794723917734</v>
      </c>
      <c r="W676" s="304">
        <f t="shared" ca="1" si="294"/>
        <v>27.172247455993158</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0.53245727415866639</v>
      </c>
      <c r="AH676" s="304">
        <f t="shared" ca="1" si="318"/>
        <v>-9.2538880363162317</v>
      </c>
    </row>
    <row r="677" spans="1:34" x14ac:dyDescent="0.2">
      <c r="A677" s="347">
        <f t="shared" ca="1" si="296"/>
        <v>1E-4</v>
      </c>
      <c r="B677" s="304">
        <f t="shared" ca="1" si="297"/>
        <v>37.116800000000779</v>
      </c>
      <c r="D677" s="306">
        <f t="shared" ca="1" si="298"/>
        <v>-0.64224128169125472</v>
      </c>
      <c r="E677" s="307">
        <f t="shared" ca="1" si="299"/>
        <v>-0.57840625933426004</v>
      </c>
      <c r="F677" s="304">
        <f t="shared" ca="1" si="300"/>
        <v>0.86430762159399988</v>
      </c>
      <c r="G677" s="306">
        <f t="shared" ca="1" si="301"/>
        <v>7.2315315040744945</v>
      </c>
      <c r="H677" s="307">
        <f t="shared" ca="1" si="302"/>
        <v>-103.94721253566479</v>
      </c>
      <c r="I677" s="304">
        <f t="shared" ca="1" si="303"/>
        <v>104.19845508369636</v>
      </c>
      <c r="J677" s="306">
        <f t="shared" ca="1" si="304"/>
        <v>837.4075040097224</v>
      </c>
      <c r="K677" s="307">
        <f t="shared" ca="1" si="305"/>
        <v>-12.080431677145452</v>
      </c>
      <c r="L677" s="304">
        <f t="shared" ca="1" si="290"/>
        <v>837.49463556568492</v>
      </c>
      <c r="M677" s="306">
        <f t="shared" ca="1" si="306"/>
        <v>-1.5013389695338986</v>
      </c>
      <c r="N677" s="304">
        <f t="shared" ca="1" si="307"/>
        <v>-86.02038657281247</v>
      </c>
      <c r="P677" s="310">
        <f t="shared" ca="1" si="308"/>
        <v>23</v>
      </c>
      <c r="Q677" s="304">
        <f t="shared" ca="1" si="309"/>
        <v>0</v>
      </c>
      <c r="R677" s="306">
        <f t="shared" ca="1" si="310"/>
        <v>0</v>
      </c>
      <c r="S677" s="307">
        <f t="shared" ca="1" si="311"/>
        <v>2.9362999999999984</v>
      </c>
      <c r="T677" s="304">
        <f t="shared" ca="1" si="291"/>
        <v>28.805102999999985</v>
      </c>
      <c r="U677" s="311">
        <f t="shared" ca="1" si="292"/>
        <v>0</v>
      </c>
      <c r="V677" s="306">
        <f t="shared" ca="1" si="293"/>
        <v>1.2264807472837702</v>
      </c>
      <c r="W677" s="304">
        <f t="shared" ca="1" si="294"/>
        <v>27.172303470096267</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0.5324386423098364</v>
      </c>
      <c r="AH677" s="304">
        <f t="shared" ca="1" si="318"/>
        <v>-9.2539071130310848</v>
      </c>
    </row>
    <row r="678" spans="1:34" x14ac:dyDescent="0.2">
      <c r="A678" s="347">
        <f t="shared" ca="1" si="296"/>
        <v>1E-4</v>
      </c>
      <c r="B678" s="304">
        <f t="shared" ca="1" si="297"/>
        <v>37.116900000000783</v>
      </c>
      <c r="D678" s="306">
        <f t="shared" ca="1" si="298"/>
        <v>-0.64223657367731546</v>
      </c>
      <c r="E678" s="307">
        <f t="shared" ca="1" si="299"/>
        <v>-0.57838680926731989</v>
      </c>
      <c r="F678" s="304">
        <f t="shared" ca="1" si="300"/>
        <v>0.86429110703698031</v>
      </c>
      <c r="G678" s="306">
        <f t="shared" ca="1" si="301"/>
        <v>7.2314672804171272</v>
      </c>
      <c r="H678" s="307">
        <f t="shared" ca="1" si="302"/>
        <v>-103.94727037434572</v>
      </c>
      <c r="I678" s="304">
        <f t="shared" ca="1" si="303"/>
        <v>104.19850832571969</v>
      </c>
      <c r="J678" s="306">
        <f t="shared" ca="1" si="304"/>
        <v>837.4075040097224</v>
      </c>
      <c r="K678" s="307">
        <f t="shared" ca="1" si="305"/>
        <v>-12.090826401290952</v>
      </c>
      <c r="L678" s="304">
        <f t="shared" ca="1" si="290"/>
        <v>837.49478556875761</v>
      </c>
      <c r="M678" s="306">
        <f t="shared" ca="1" si="306"/>
        <v>-1.501339622929954</v>
      </c>
      <c r="N678" s="304">
        <f t="shared" ca="1" si="307"/>
        <v>-86.020424009648806</v>
      </c>
      <c r="P678" s="310">
        <f t="shared" ca="1" si="308"/>
        <v>23</v>
      </c>
      <c r="Q678" s="304">
        <f t="shared" ca="1" si="309"/>
        <v>0</v>
      </c>
      <c r="R678" s="306">
        <f t="shared" ca="1" si="310"/>
        <v>0</v>
      </c>
      <c r="S678" s="307">
        <f t="shared" ca="1" si="311"/>
        <v>2.9362999999999984</v>
      </c>
      <c r="T678" s="304">
        <f t="shared" ca="1" si="291"/>
        <v>28.805102999999985</v>
      </c>
      <c r="U678" s="311">
        <f t="shared" ca="1" si="292"/>
        <v>0</v>
      </c>
      <c r="V678" s="306">
        <f t="shared" ca="1" si="293"/>
        <v>1.2264820221778019</v>
      </c>
      <c r="W678" s="304">
        <f t="shared" ca="1" si="294"/>
        <v>27.17235948334465</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0.53242001074351109</v>
      </c>
      <c r="AH678" s="304">
        <f t="shared" ca="1" si="318"/>
        <v>-9.2539261894548517</v>
      </c>
    </row>
    <row r="679" spans="1:34" x14ac:dyDescent="0.2">
      <c r="A679" s="347">
        <f t="shared" ca="1" si="296"/>
        <v>1E-4</v>
      </c>
      <c r="B679" s="304">
        <f t="shared" ca="1" si="297"/>
        <v>37.117000000000786</v>
      </c>
      <c r="D679" s="306">
        <f t="shared" ca="1" si="298"/>
        <v>-0.64223186567776547</v>
      </c>
      <c r="E679" s="307">
        <f t="shared" ca="1" si="299"/>
        <v>-0.57836735949713436</v>
      </c>
      <c r="F679" s="304">
        <f t="shared" ca="1" si="300"/>
        <v>0.86427459283703978</v>
      </c>
      <c r="G679" s="306">
        <f t="shared" ca="1" si="301"/>
        <v>7.2314030572305592</v>
      </c>
      <c r="H679" s="307">
        <f t="shared" ca="1" si="302"/>
        <v>-103.94732821108167</v>
      </c>
      <c r="I679" s="304">
        <f t="shared" ca="1" si="303"/>
        <v>104.19856156587987</v>
      </c>
      <c r="J679" s="306">
        <f t="shared" ca="1" si="304"/>
        <v>837.4075040097224</v>
      </c>
      <c r="K679" s="307">
        <f t="shared" ca="1" si="305"/>
        <v>-12.101221131220223</v>
      </c>
      <c r="L679" s="304">
        <f t="shared" ca="1" si="290"/>
        <v>837.49493570090317</v>
      </c>
      <c r="M679" s="306">
        <f t="shared" ca="1" si="306"/>
        <v>-1.5013402763195387</v>
      </c>
      <c r="N679" s="304">
        <f t="shared" ca="1" si="307"/>
        <v>-86.020461446114382</v>
      </c>
      <c r="P679" s="310">
        <f t="shared" ca="1" si="308"/>
        <v>23</v>
      </c>
      <c r="Q679" s="304">
        <f t="shared" ca="1" si="309"/>
        <v>0</v>
      </c>
      <c r="R679" s="306">
        <f t="shared" ca="1" si="310"/>
        <v>0</v>
      </c>
      <c r="S679" s="307">
        <f t="shared" ca="1" si="311"/>
        <v>2.9362999999999984</v>
      </c>
      <c r="T679" s="304">
        <f t="shared" ca="1" si="291"/>
        <v>28.805102999999985</v>
      </c>
      <c r="U679" s="311">
        <f t="shared" ca="1" si="292"/>
        <v>0</v>
      </c>
      <c r="V679" s="306">
        <f t="shared" ca="1" si="293"/>
        <v>1.226483297073869</v>
      </c>
      <c r="W679" s="304">
        <f t="shared" ca="1" si="294"/>
        <v>27.172415495738335</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0.53240137945968868</v>
      </c>
      <c r="AH679" s="304">
        <f t="shared" ca="1" si="318"/>
        <v>-9.2539452655875305</v>
      </c>
    </row>
    <row r="680" spans="1:34" x14ac:dyDescent="0.2">
      <c r="A680" s="347">
        <f t="shared" ca="1" si="296"/>
        <v>1E-4</v>
      </c>
      <c r="B680" s="304">
        <f t="shared" ca="1" si="297"/>
        <v>37.117100000000789</v>
      </c>
      <c r="D680" s="306">
        <f t="shared" ca="1" si="298"/>
        <v>-0.64222715769260807</v>
      </c>
      <c r="E680" s="307">
        <f t="shared" ca="1" si="299"/>
        <v>-0.57834791002369279</v>
      </c>
      <c r="F680" s="304">
        <f t="shared" ca="1" si="300"/>
        <v>0.86425807899417384</v>
      </c>
      <c r="G680" s="306">
        <f t="shared" ca="1" si="301"/>
        <v>7.2313388345147898</v>
      </c>
      <c r="H680" s="307">
        <f t="shared" ca="1" si="302"/>
        <v>-103.94738604587268</v>
      </c>
      <c r="I680" s="304">
        <f t="shared" ca="1" si="303"/>
        <v>104.19861480417697</v>
      </c>
      <c r="J680" s="306">
        <f t="shared" ca="1" si="304"/>
        <v>837.4075040097224</v>
      </c>
      <c r="K680" s="307">
        <f t="shared" ca="1" si="305"/>
        <v>-12.11161586693307</v>
      </c>
      <c r="L680" s="304">
        <f t="shared" ca="1" si="290"/>
        <v>837.49508596212149</v>
      </c>
      <c r="M680" s="306">
        <f t="shared" ca="1" si="306"/>
        <v>-1.5013409297026532</v>
      </c>
      <c r="N680" s="304">
        <f t="shared" ca="1" si="307"/>
        <v>-86.020498882209239</v>
      </c>
      <c r="P680" s="310">
        <f t="shared" ca="1" si="308"/>
        <v>23</v>
      </c>
      <c r="Q680" s="304">
        <f t="shared" ca="1" si="309"/>
        <v>0</v>
      </c>
      <c r="R680" s="306">
        <f t="shared" ca="1" si="310"/>
        <v>0</v>
      </c>
      <c r="S680" s="307">
        <f t="shared" ca="1" si="311"/>
        <v>2.9362999999999984</v>
      </c>
      <c r="T680" s="304">
        <f t="shared" ca="1" si="291"/>
        <v>28.805102999999985</v>
      </c>
      <c r="U680" s="311">
        <f t="shared" ca="1" si="292"/>
        <v>0</v>
      </c>
      <c r="V680" s="306">
        <f t="shared" ca="1" si="293"/>
        <v>1.2264845719719717</v>
      </c>
      <c r="W680" s="304">
        <f t="shared" ca="1" si="294"/>
        <v>27.172471507277322</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0.53238274845836386</v>
      </c>
      <c r="AH680" s="304">
        <f t="shared" ca="1" si="318"/>
        <v>-9.2539643414291284</v>
      </c>
    </row>
    <row r="681" spans="1:34" x14ac:dyDescent="0.2">
      <c r="A681" s="347">
        <f t="shared" ca="1" si="296"/>
        <v>1E-4</v>
      </c>
      <c r="B681" s="304">
        <f t="shared" ca="1" si="297"/>
        <v>37.117200000000793</v>
      </c>
      <c r="D681" s="306">
        <f t="shared" ca="1" si="298"/>
        <v>-0.64222244972183828</v>
      </c>
      <c r="E681" s="307">
        <f t="shared" ca="1" si="299"/>
        <v>-0.57832846084699696</v>
      </c>
      <c r="F681" s="304">
        <f t="shared" ca="1" si="300"/>
        <v>0.86424156550838005</v>
      </c>
      <c r="G681" s="306">
        <f t="shared" ca="1" si="301"/>
        <v>7.2312746122698179</v>
      </c>
      <c r="H681" s="307">
        <f t="shared" ca="1" si="302"/>
        <v>-103.94744387871876</v>
      </c>
      <c r="I681" s="304">
        <f t="shared" ca="1" si="303"/>
        <v>104.19866804061098</v>
      </c>
      <c r="J681" s="306">
        <f t="shared" ca="1" si="304"/>
        <v>837.4075040097224</v>
      </c>
      <c r="K681" s="307">
        <f t="shared" ca="1" si="305"/>
        <v>-12.122010608429299</v>
      </c>
      <c r="L681" s="304">
        <f t="shared" ca="1" si="290"/>
        <v>837.49523635241303</v>
      </c>
      <c r="M681" s="306">
        <f t="shared" ca="1" si="306"/>
        <v>-1.5013415830792971</v>
      </c>
      <c r="N681" s="304">
        <f t="shared" ca="1" si="307"/>
        <v>-86.020536317933377</v>
      </c>
      <c r="P681" s="310">
        <f t="shared" ca="1" si="308"/>
        <v>23</v>
      </c>
      <c r="Q681" s="304">
        <f t="shared" ca="1" si="309"/>
        <v>0</v>
      </c>
      <c r="R681" s="306">
        <f t="shared" ca="1" si="310"/>
        <v>0</v>
      </c>
      <c r="S681" s="307">
        <f t="shared" ca="1" si="311"/>
        <v>2.9362999999999984</v>
      </c>
      <c r="T681" s="304">
        <f t="shared" ca="1" si="291"/>
        <v>28.805102999999985</v>
      </c>
      <c r="U681" s="311">
        <f t="shared" ca="1" si="292"/>
        <v>0</v>
      </c>
      <c r="V681" s="306">
        <f t="shared" ca="1" si="293"/>
        <v>1.22648584687211</v>
      </c>
      <c r="W681" s="304">
        <f t="shared" ca="1" si="294"/>
        <v>27.172527517961637</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0.53236411773953485</v>
      </c>
      <c r="AH681" s="304">
        <f t="shared" ca="1" si="318"/>
        <v>-9.2539834169796471</v>
      </c>
    </row>
    <row r="682" spans="1:34" x14ac:dyDescent="0.2">
      <c r="A682" s="347">
        <f t="shared" ca="1" si="296"/>
        <v>1E-4</v>
      </c>
      <c r="B682" s="304">
        <f t="shared" ca="1" si="297"/>
        <v>37.117300000000796</v>
      </c>
      <c r="D682" s="306">
        <f t="shared" ca="1" si="298"/>
        <v>-0.64221774176546176</v>
      </c>
      <c r="E682" s="307">
        <f t="shared" ca="1" si="299"/>
        <v>-0.57830901196703799</v>
      </c>
      <c r="F682" s="304">
        <f t="shared" ca="1" si="300"/>
        <v>0.86422505237965708</v>
      </c>
      <c r="G682" s="306">
        <f t="shared" ca="1" si="301"/>
        <v>7.2312103904956411</v>
      </c>
      <c r="H682" s="307">
        <f t="shared" ca="1" si="302"/>
        <v>-103.94750170961996</v>
      </c>
      <c r="I682" s="304">
        <f t="shared" ca="1" si="303"/>
        <v>104.19872127518195</v>
      </c>
      <c r="J682" s="306">
        <f t="shared" ca="1" si="304"/>
        <v>837.4075040097224</v>
      </c>
      <c r="K682" s="307">
        <f t="shared" ca="1" si="305"/>
        <v>-12.132405355708716</v>
      </c>
      <c r="L682" s="304">
        <f t="shared" ca="1" si="290"/>
        <v>837.49538687177755</v>
      </c>
      <c r="M682" s="306">
        <f t="shared" ca="1" si="306"/>
        <v>-1.5013422364494706</v>
      </c>
      <c r="N682" s="304">
        <f t="shared" ca="1" si="307"/>
        <v>-86.020573753286769</v>
      </c>
      <c r="P682" s="310">
        <f t="shared" ca="1" si="308"/>
        <v>23</v>
      </c>
      <c r="Q682" s="304">
        <f t="shared" ca="1" si="309"/>
        <v>0</v>
      </c>
      <c r="R682" s="306">
        <f t="shared" ca="1" si="310"/>
        <v>0</v>
      </c>
      <c r="S682" s="307">
        <f t="shared" ca="1" si="311"/>
        <v>2.9362999999999984</v>
      </c>
      <c r="T682" s="304">
        <f t="shared" ca="1" si="291"/>
        <v>28.805102999999985</v>
      </c>
      <c r="U682" s="311">
        <f t="shared" ca="1" si="292"/>
        <v>0</v>
      </c>
      <c r="V682" s="306">
        <f t="shared" ca="1" si="293"/>
        <v>1.2264871217742832</v>
      </c>
      <c r="W682" s="304">
        <f t="shared" ca="1" si="294"/>
        <v>27.172583527791261</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0.53234548730319631</v>
      </c>
      <c r="AH682" s="304">
        <f t="shared" ca="1" si="318"/>
        <v>-9.2540024922390938</v>
      </c>
    </row>
    <row r="683" spans="1:34" x14ac:dyDescent="0.2">
      <c r="A683" s="347">
        <f t="shared" ca="1" si="296"/>
        <v>1E-4</v>
      </c>
      <c r="B683" s="304">
        <f t="shared" ca="1" si="297"/>
        <v>37.117400000000799</v>
      </c>
      <c r="D683" s="306">
        <f t="shared" ca="1" si="298"/>
        <v>-0.64221303382347672</v>
      </c>
      <c r="E683" s="307">
        <f t="shared" ca="1" si="299"/>
        <v>-0.57828956338381943</v>
      </c>
      <c r="F683" s="304">
        <f t="shared" ca="1" si="300"/>
        <v>0.86420853960800603</v>
      </c>
      <c r="G683" s="306">
        <f t="shared" ca="1" si="301"/>
        <v>7.2311461691922592</v>
      </c>
      <c r="H683" s="307">
        <f t="shared" ca="1" si="302"/>
        <v>-103.9475595385763</v>
      </c>
      <c r="I683" s="304">
        <f t="shared" ca="1" si="303"/>
        <v>104.19877450788992</v>
      </c>
      <c r="J683" s="306">
        <f t="shared" ca="1" si="304"/>
        <v>837.4075040097224</v>
      </c>
      <c r="K683" s="307">
        <f t="shared" ca="1" si="305"/>
        <v>-12.142800108771127</v>
      </c>
      <c r="L683" s="304">
        <f t="shared" ca="1" si="290"/>
        <v>837.49553752021552</v>
      </c>
      <c r="M683" s="306">
        <f t="shared" ca="1" si="306"/>
        <v>-1.501342889813174</v>
      </c>
      <c r="N683" s="304">
        <f t="shared" ca="1" si="307"/>
        <v>-86.02061118826947</v>
      </c>
      <c r="P683" s="310">
        <f t="shared" ca="1" si="308"/>
        <v>23</v>
      </c>
      <c r="Q683" s="304">
        <f t="shared" ca="1" si="309"/>
        <v>0</v>
      </c>
      <c r="R683" s="306">
        <f t="shared" ca="1" si="310"/>
        <v>0</v>
      </c>
      <c r="S683" s="307">
        <f t="shared" ca="1" si="311"/>
        <v>2.9362999999999984</v>
      </c>
      <c r="T683" s="304">
        <f t="shared" ca="1" si="291"/>
        <v>28.805102999999985</v>
      </c>
      <c r="U683" s="311">
        <f t="shared" ca="1" si="292"/>
        <v>0</v>
      </c>
      <c r="V683" s="306">
        <f t="shared" ca="1" si="293"/>
        <v>1.2264883966784919</v>
      </c>
      <c r="W683" s="304">
        <f t="shared" ca="1" si="294"/>
        <v>27.172639536766233</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0.5323268571493518</v>
      </c>
      <c r="AH683" s="304">
        <f t="shared" ca="1" si="318"/>
        <v>-9.2540215672074631</v>
      </c>
    </row>
    <row r="684" spans="1:34" x14ac:dyDescent="0.2">
      <c r="A684" s="347">
        <f t="shared" ca="1" si="296"/>
        <v>1E-4</v>
      </c>
      <c r="B684" s="304">
        <f t="shared" ca="1" si="297"/>
        <v>37.117500000000803</v>
      </c>
      <c r="D684" s="306">
        <f t="shared" ca="1" si="298"/>
        <v>-0.64220832589588328</v>
      </c>
      <c r="E684" s="307">
        <f t="shared" ca="1" si="299"/>
        <v>-0.57827011509732884</v>
      </c>
      <c r="F684" s="304">
        <f t="shared" ca="1" si="300"/>
        <v>0.86419202719341892</v>
      </c>
      <c r="G684" s="306">
        <f t="shared" ca="1" si="301"/>
        <v>7.2310819483596696</v>
      </c>
      <c r="H684" s="307">
        <f t="shared" ca="1" si="302"/>
        <v>-103.9476173655878</v>
      </c>
      <c r="I684" s="304">
        <f t="shared" ca="1" si="303"/>
        <v>104.19882773873486</v>
      </c>
      <c r="J684" s="306">
        <f t="shared" ca="1" si="304"/>
        <v>837.4075040097224</v>
      </c>
      <c r="K684" s="307">
        <f t="shared" ca="1" si="305"/>
        <v>-12.153194867616335</v>
      </c>
      <c r="L684" s="304">
        <f t="shared" ca="1" si="290"/>
        <v>837.49568829772693</v>
      </c>
      <c r="M684" s="306">
        <f t="shared" ca="1" si="306"/>
        <v>-1.5013435431704074</v>
      </c>
      <c r="N684" s="304">
        <f t="shared" ca="1" si="307"/>
        <v>-86.020648622881453</v>
      </c>
      <c r="P684" s="310">
        <f t="shared" ca="1" si="308"/>
        <v>23</v>
      </c>
      <c r="Q684" s="304">
        <f t="shared" ca="1" si="309"/>
        <v>0</v>
      </c>
      <c r="R684" s="306">
        <f t="shared" ca="1" si="310"/>
        <v>0</v>
      </c>
      <c r="S684" s="307">
        <f t="shared" ca="1" si="311"/>
        <v>2.9362999999999984</v>
      </c>
      <c r="T684" s="304">
        <f t="shared" ca="1" si="291"/>
        <v>28.805102999999985</v>
      </c>
      <c r="U684" s="311">
        <f t="shared" ca="1" si="292"/>
        <v>0</v>
      </c>
      <c r="V684" s="306">
        <f t="shared" ca="1" si="293"/>
        <v>1.226489671584736</v>
      </c>
      <c r="W684" s="304">
        <f t="shared" ca="1" si="294"/>
        <v>27.172695544886526</v>
      </c>
      <c r="Y684" s="314" t="str">
        <f t="shared" ca="1" si="312"/>
        <v/>
      </c>
      <c r="Z684" s="315" t="str">
        <f t="shared" ca="1" si="313"/>
        <v/>
      </c>
      <c r="AA684" s="316" t="str">
        <f t="shared" ca="1" si="314"/>
        <v/>
      </c>
      <c r="AC684" s="310" t="e">
        <f t="shared" ca="1" si="315"/>
        <v>#N/A</v>
      </c>
      <c r="AD684" s="323" t="e">
        <f t="shared" ca="1" si="316"/>
        <v>#N/A</v>
      </c>
      <c r="AE684" s="324" t="e">
        <f t="shared" ca="1" si="295"/>
        <v>#N/A</v>
      </c>
      <c r="AG684" s="306">
        <f t="shared" ca="1" si="317"/>
        <v>0.5323082272779871</v>
      </c>
      <c r="AH684" s="304">
        <f t="shared" ca="1" si="318"/>
        <v>-9.2540406418847692</v>
      </c>
    </row>
    <row r="685" spans="1:34" x14ac:dyDescent="0.2">
      <c r="A685" s="347">
        <f t="shared" ca="1" si="296"/>
        <v>1E-4</v>
      </c>
      <c r="B685" s="304">
        <f t="shared" ca="1" si="297"/>
        <v>37.117600000000806</v>
      </c>
      <c r="D685" s="306">
        <f t="shared" ca="1" si="298"/>
        <v>-0.64220361798267966</v>
      </c>
      <c r="E685" s="307">
        <f t="shared" ca="1" si="299"/>
        <v>-0.57825066710757866</v>
      </c>
      <c r="F685" s="304">
        <f t="shared" ca="1" si="300"/>
        <v>0.86417551513590307</v>
      </c>
      <c r="G685" s="306">
        <f t="shared" ca="1" si="301"/>
        <v>7.2310177279978713</v>
      </c>
      <c r="H685" s="307">
        <f t="shared" ca="1" si="302"/>
        <v>-103.94767519065451</v>
      </c>
      <c r="I685" s="304">
        <f t="shared" ca="1" si="303"/>
        <v>104.19888096771687</v>
      </c>
      <c r="J685" s="306">
        <f t="shared" ca="1" si="304"/>
        <v>837.4075040097224</v>
      </c>
      <c r="K685" s="307">
        <f t="shared" ca="1" si="305"/>
        <v>-12.163589632244147</v>
      </c>
      <c r="L685" s="304">
        <f t="shared" ca="1" si="290"/>
        <v>837.49583920431212</v>
      </c>
      <c r="M685" s="306">
        <f t="shared" ca="1" si="306"/>
        <v>-1.5013441965211705</v>
      </c>
      <c r="N685" s="304">
        <f t="shared" ca="1" si="307"/>
        <v>-86.020686057122717</v>
      </c>
      <c r="P685" s="310">
        <f t="shared" ca="1" si="308"/>
        <v>23</v>
      </c>
      <c r="Q685" s="304">
        <f t="shared" ca="1" si="309"/>
        <v>0</v>
      </c>
      <c r="R685" s="306">
        <f t="shared" ca="1" si="310"/>
        <v>0</v>
      </c>
      <c r="S685" s="307">
        <f t="shared" ca="1" si="311"/>
        <v>2.9362999999999984</v>
      </c>
      <c r="T685" s="304">
        <f t="shared" ca="1" si="291"/>
        <v>28.805102999999985</v>
      </c>
      <c r="U685" s="311">
        <f t="shared" ca="1" si="292"/>
        <v>0</v>
      </c>
      <c r="V685" s="306">
        <f t="shared" ca="1" si="293"/>
        <v>1.2264909464930152</v>
      </c>
      <c r="W685" s="304">
        <f t="shared" ca="1" si="294"/>
        <v>27.172751552152189</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0.53228959768911466</v>
      </c>
      <c r="AH685" s="304">
        <f t="shared" ca="1" si="318"/>
        <v>-9.2540597162710014</v>
      </c>
    </row>
    <row r="686" spans="1:34" x14ac:dyDescent="0.2">
      <c r="A686" s="347">
        <f t="shared" ca="1" si="296"/>
        <v>1E-4</v>
      </c>
      <c r="B686" s="304">
        <f t="shared" ca="1" si="297"/>
        <v>37.117700000000809</v>
      </c>
      <c r="D686" s="306">
        <f t="shared" ca="1" si="298"/>
        <v>-0.64219891008387209</v>
      </c>
      <c r="E686" s="307">
        <f t="shared" ca="1" si="299"/>
        <v>-0.57823121941454936</v>
      </c>
      <c r="F686" s="304">
        <f t="shared" ca="1" si="300"/>
        <v>0.86415900343544994</v>
      </c>
      <c r="G686" s="306">
        <f t="shared" ca="1" si="301"/>
        <v>7.2309535081068628</v>
      </c>
      <c r="H686" s="307">
        <f t="shared" ca="1" si="302"/>
        <v>-103.94773301377644</v>
      </c>
      <c r="I686" s="304">
        <f t="shared" ca="1" si="303"/>
        <v>104.19893419483594</v>
      </c>
      <c r="J686" s="306">
        <f t="shared" ca="1" si="304"/>
        <v>837.4075040097224</v>
      </c>
      <c r="K686" s="307">
        <f t="shared" ca="1" si="305"/>
        <v>-12.173984402654368</v>
      </c>
      <c r="L686" s="304">
        <f t="shared" ca="1" si="290"/>
        <v>837.49599023997087</v>
      </c>
      <c r="M686" s="306">
        <f t="shared" ca="1" si="306"/>
        <v>-1.5013448498654636</v>
      </c>
      <c r="N686" s="304">
        <f t="shared" ca="1" si="307"/>
        <v>-86.020723490993277</v>
      </c>
      <c r="P686" s="310">
        <f t="shared" ca="1" si="308"/>
        <v>23</v>
      </c>
      <c r="Q686" s="304">
        <f t="shared" ca="1" si="309"/>
        <v>0</v>
      </c>
      <c r="R686" s="306">
        <f t="shared" ca="1" si="310"/>
        <v>0</v>
      </c>
      <c r="S686" s="307">
        <f t="shared" ca="1" si="311"/>
        <v>2.9362999999999984</v>
      </c>
      <c r="T686" s="304">
        <f t="shared" ca="1" si="291"/>
        <v>28.805102999999985</v>
      </c>
      <c r="U686" s="311">
        <f t="shared" ca="1" si="292"/>
        <v>0</v>
      </c>
      <c r="V686" s="306">
        <f t="shared" ca="1" si="293"/>
        <v>1.22649222140333</v>
      </c>
      <c r="W686" s="304">
        <f t="shared" ca="1" si="294"/>
        <v>27.172807558563218</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0.5322709683827167</v>
      </c>
      <c r="AH686" s="304">
        <f t="shared" ca="1" si="318"/>
        <v>-9.2540787903661759</v>
      </c>
    </row>
    <row r="687" spans="1:34" x14ac:dyDescent="0.2">
      <c r="A687" s="347">
        <f t="shared" ca="1" si="296"/>
        <v>1E-4</v>
      </c>
      <c r="B687" s="304">
        <f t="shared" ca="1" si="297"/>
        <v>37.117800000000813</v>
      </c>
      <c r="D687" s="306">
        <f t="shared" ca="1" si="298"/>
        <v>-0.64219420219945711</v>
      </c>
      <c r="E687" s="307">
        <f t="shared" ca="1" si="299"/>
        <v>-0.57821177201824092</v>
      </c>
      <c r="F687" s="304">
        <f t="shared" ca="1" si="300"/>
        <v>0.8641424920920574</v>
      </c>
      <c r="G687" s="306">
        <f t="shared" ca="1" si="301"/>
        <v>7.2308892886866429</v>
      </c>
      <c r="H687" s="307">
        <f t="shared" ca="1" si="302"/>
        <v>-103.94779083495365</v>
      </c>
      <c r="I687" s="304">
        <f t="shared" ca="1" si="303"/>
        <v>104.19898742009214</v>
      </c>
      <c r="J687" s="306">
        <f t="shared" ca="1" si="304"/>
        <v>837.4075040097224</v>
      </c>
      <c r="K687" s="307">
        <f t="shared" ca="1" si="305"/>
        <v>-12.184379178846804</v>
      </c>
      <c r="L687" s="304">
        <f t="shared" ca="1" si="290"/>
        <v>837.49614140470351</v>
      </c>
      <c r="M687" s="306">
        <f t="shared" ca="1" si="306"/>
        <v>-1.5013455032032867</v>
      </c>
      <c r="N687" s="304">
        <f t="shared" ca="1" si="307"/>
        <v>-86.020760924493146</v>
      </c>
      <c r="P687" s="310">
        <f t="shared" ca="1" si="308"/>
        <v>23</v>
      </c>
      <c r="Q687" s="304">
        <f t="shared" ca="1" si="309"/>
        <v>0</v>
      </c>
      <c r="R687" s="306">
        <f t="shared" ca="1" si="310"/>
        <v>0</v>
      </c>
      <c r="S687" s="307">
        <f t="shared" ca="1" si="311"/>
        <v>2.9362999999999984</v>
      </c>
      <c r="T687" s="304">
        <f t="shared" ca="1" si="291"/>
        <v>28.805102999999985</v>
      </c>
      <c r="U687" s="311">
        <f t="shared" ca="1" si="292"/>
        <v>0</v>
      </c>
      <c r="V687" s="306">
        <f t="shared" ca="1" si="293"/>
        <v>1.2264934963156791</v>
      </c>
      <c r="W687" s="304">
        <f t="shared" ca="1" si="294"/>
        <v>27.17286356411962</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0.53225233935879501</v>
      </c>
      <c r="AH687" s="304">
        <f t="shared" ca="1" si="318"/>
        <v>-9.2540978641702942</v>
      </c>
    </row>
    <row r="688" spans="1:34" x14ac:dyDescent="0.2">
      <c r="A688" s="347">
        <f t="shared" ca="1" si="296"/>
        <v>1E-4</v>
      </c>
      <c r="B688" s="304">
        <f t="shared" ca="1" si="297"/>
        <v>37.117900000000816</v>
      </c>
      <c r="D688" s="306">
        <f t="shared" ca="1" si="298"/>
        <v>-0.64218949432943595</v>
      </c>
      <c r="E688" s="307">
        <f t="shared" ca="1" si="299"/>
        <v>-0.57819232491865513</v>
      </c>
      <c r="F688" s="304">
        <f t="shared" ca="1" si="300"/>
        <v>0.86412598110572758</v>
      </c>
      <c r="G688" s="306">
        <f t="shared" ca="1" si="301"/>
        <v>7.2308250697372101</v>
      </c>
      <c r="H688" s="307">
        <f t="shared" ca="1" si="302"/>
        <v>-103.94784865418615</v>
      </c>
      <c r="I688" s="304">
        <f t="shared" ca="1" si="303"/>
        <v>104.19904064348542</v>
      </c>
      <c r="J688" s="306">
        <f t="shared" ca="1" si="304"/>
        <v>837.4075040097224</v>
      </c>
      <c r="K688" s="307">
        <f t="shared" ca="1" si="305"/>
        <v>-12.19477396082126</v>
      </c>
      <c r="L688" s="304">
        <f t="shared" ca="1" si="290"/>
        <v>837.49629269851027</v>
      </c>
      <c r="M688" s="306">
        <f t="shared" ca="1" si="306"/>
        <v>-1.5013461565346402</v>
      </c>
      <c r="N688" s="304">
        <f t="shared" ca="1" si="307"/>
        <v>-86.020798357622326</v>
      </c>
      <c r="P688" s="310">
        <f t="shared" ca="1" si="308"/>
        <v>23</v>
      </c>
      <c r="Q688" s="304">
        <f t="shared" ca="1" si="309"/>
        <v>0</v>
      </c>
      <c r="R688" s="306">
        <f t="shared" ca="1" si="310"/>
        <v>0</v>
      </c>
      <c r="S688" s="307">
        <f t="shared" ca="1" si="311"/>
        <v>2.9362999999999984</v>
      </c>
      <c r="T688" s="304">
        <f t="shared" ca="1" si="291"/>
        <v>28.805102999999985</v>
      </c>
      <c r="U688" s="311">
        <f t="shared" ca="1" si="292"/>
        <v>0</v>
      </c>
      <c r="V688" s="306">
        <f t="shared" ca="1" si="293"/>
        <v>1.2264947712300645</v>
      </c>
      <c r="W688" s="304">
        <f t="shared" ca="1" si="294"/>
        <v>27.17291956882141</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0.53223371061734781</v>
      </c>
      <c r="AH688" s="304">
        <f t="shared" ca="1" si="318"/>
        <v>-9.2541169376833547</v>
      </c>
    </row>
    <row r="689" spans="1:34" x14ac:dyDescent="0.2">
      <c r="A689" s="347">
        <f t="shared" ca="1" si="296"/>
        <v>1E-4</v>
      </c>
      <c r="B689" s="304">
        <f t="shared" ca="1" si="297"/>
        <v>37.118000000000819</v>
      </c>
      <c r="D689" s="306">
        <f t="shared" ca="1" si="298"/>
        <v>-0.64218478647380794</v>
      </c>
      <c r="E689" s="307">
        <f t="shared" ca="1" si="299"/>
        <v>-0.57817287811578133</v>
      </c>
      <c r="F689" s="304">
        <f t="shared" ca="1" si="300"/>
        <v>0.86410947047645326</v>
      </c>
      <c r="G689" s="306">
        <f t="shared" ca="1" si="301"/>
        <v>7.2307608512585624</v>
      </c>
      <c r="H689" s="307">
        <f t="shared" ca="1" si="302"/>
        <v>-103.94790647147396</v>
      </c>
      <c r="I689" s="304">
        <f t="shared" ca="1" si="303"/>
        <v>104.19909386501588</v>
      </c>
      <c r="J689" s="306">
        <f t="shared" ca="1" si="304"/>
        <v>837.4075040097224</v>
      </c>
      <c r="K689" s="307">
        <f t="shared" ca="1" si="305"/>
        <v>-12.205168748577544</v>
      </c>
      <c r="L689" s="304">
        <f t="shared" ca="1" si="290"/>
        <v>837.49644412139116</v>
      </c>
      <c r="M689" s="306">
        <f t="shared" ca="1" si="306"/>
        <v>-1.5013468098595237</v>
      </c>
      <c r="N689" s="304">
        <f t="shared" ca="1" si="307"/>
        <v>-86.020835790380801</v>
      </c>
      <c r="P689" s="310">
        <f t="shared" ca="1" si="308"/>
        <v>23</v>
      </c>
      <c r="Q689" s="304">
        <f t="shared" ca="1" si="309"/>
        <v>0</v>
      </c>
      <c r="R689" s="306">
        <f t="shared" ca="1" si="310"/>
        <v>0</v>
      </c>
      <c r="S689" s="307">
        <f t="shared" ca="1" si="311"/>
        <v>2.9362999999999984</v>
      </c>
      <c r="T689" s="304">
        <f t="shared" ca="1" si="291"/>
        <v>28.805102999999985</v>
      </c>
      <c r="U689" s="311">
        <f t="shared" ca="1" si="292"/>
        <v>0</v>
      </c>
      <c r="V689" s="306">
        <f t="shared" ca="1" si="293"/>
        <v>1.2264960461464844</v>
      </c>
      <c r="W689" s="304">
        <f t="shared" ca="1" si="294"/>
        <v>27.172975572668594</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0.53221508215836799</v>
      </c>
      <c r="AH689" s="304">
        <f t="shared" ca="1" si="318"/>
        <v>-9.2541360109053663</v>
      </c>
    </row>
    <row r="690" spans="1:34" x14ac:dyDescent="0.2">
      <c r="A690" s="347">
        <f t="shared" ca="1" si="296"/>
        <v>1E-4</v>
      </c>
      <c r="B690" s="304">
        <f t="shared" ca="1" si="297"/>
        <v>37.118100000000823</v>
      </c>
      <c r="D690" s="306">
        <f t="shared" ca="1" si="298"/>
        <v>-0.64218007863257598</v>
      </c>
      <c r="E690" s="307">
        <f t="shared" ca="1" si="299"/>
        <v>-0.57815343160962307</v>
      </c>
      <c r="F690" s="304">
        <f t="shared" ca="1" si="300"/>
        <v>0.86409296020423898</v>
      </c>
      <c r="G690" s="306">
        <f t="shared" ca="1" si="301"/>
        <v>7.230696633250699</v>
      </c>
      <c r="H690" s="307">
        <f t="shared" ca="1" si="302"/>
        <v>-103.94796428681711</v>
      </c>
      <c r="I690" s="304">
        <f t="shared" ca="1" si="303"/>
        <v>104.19914708468352</v>
      </c>
      <c r="J690" s="306">
        <f t="shared" ca="1" si="304"/>
        <v>837.4075040097224</v>
      </c>
      <c r="K690" s="307">
        <f t="shared" ca="1" si="305"/>
        <v>-12.215563542115458</v>
      </c>
      <c r="L690" s="304">
        <f t="shared" ca="1" si="290"/>
        <v>837.49659567334641</v>
      </c>
      <c r="M690" s="306">
        <f t="shared" ca="1" si="306"/>
        <v>-1.5013474631779375</v>
      </c>
      <c r="N690" s="304">
        <f t="shared" ca="1" si="307"/>
        <v>-86.020873222768586</v>
      </c>
      <c r="P690" s="310">
        <f t="shared" ca="1" si="308"/>
        <v>23</v>
      </c>
      <c r="Q690" s="304">
        <f t="shared" ca="1" si="309"/>
        <v>0</v>
      </c>
      <c r="R690" s="306">
        <f t="shared" ca="1" si="310"/>
        <v>0</v>
      </c>
      <c r="S690" s="307">
        <f t="shared" ca="1" si="311"/>
        <v>2.9362999999999984</v>
      </c>
      <c r="T690" s="304">
        <f t="shared" ca="1" si="291"/>
        <v>28.805102999999985</v>
      </c>
      <c r="U690" s="311">
        <f t="shared" ca="1" si="292"/>
        <v>0</v>
      </c>
      <c r="V690" s="306">
        <f t="shared" ca="1" si="293"/>
        <v>1.2264973210649397</v>
      </c>
      <c r="W690" s="304">
        <f t="shared" ca="1" si="294"/>
        <v>27.173031575661177</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0.53219645398185733</v>
      </c>
      <c r="AH690" s="304">
        <f t="shared" ca="1" si="318"/>
        <v>-9.2541550838363271</v>
      </c>
    </row>
    <row r="691" spans="1:34" x14ac:dyDescent="0.2">
      <c r="A691" s="347">
        <f t="shared" ca="1" si="296"/>
        <v>1E-4</v>
      </c>
      <c r="B691" s="304">
        <f t="shared" ca="1" si="297"/>
        <v>37.118200000000826</v>
      </c>
      <c r="D691" s="306">
        <f t="shared" ca="1" si="298"/>
        <v>-0.64217537080573939</v>
      </c>
      <c r="E691" s="307">
        <f t="shared" ca="1" si="299"/>
        <v>-0.57813398540017324</v>
      </c>
      <c r="F691" s="304">
        <f t="shared" ca="1" si="300"/>
        <v>0.86407645028907987</v>
      </c>
      <c r="G691" s="306">
        <f t="shared" ca="1" si="301"/>
        <v>7.2306324157136181</v>
      </c>
      <c r="H691" s="307">
        <f t="shared" ca="1" si="302"/>
        <v>-103.94802210021565</v>
      </c>
      <c r="I691" s="304">
        <f t="shared" ca="1" si="303"/>
        <v>104.19920030248836</v>
      </c>
      <c r="J691" s="306">
        <f t="shared" ca="1" si="304"/>
        <v>837.4075040097224</v>
      </c>
      <c r="K691" s="307">
        <f t="shared" ca="1" si="305"/>
        <v>-12.22595834143481</v>
      </c>
      <c r="L691" s="304">
        <f t="shared" ca="1" si="290"/>
        <v>837.49674735437611</v>
      </c>
      <c r="M691" s="306">
        <f t="shared" ca="1" si="306"/>
        <v>-1.5013481164898819</v>
      </c>
      <c r="N691" s="304">
        <f t="shared" ca="1" si="307"/>
        <v>-86.020910654785709</v>
      </c>
      <c r="P691" s="310">
        <f t="shared" ca="1" si="308"/>
        <v>23</v>
      </c>
      <c r="Q691" s="304">
        <f t="shared" ca="1" si="309"/>
        <v>0</v>
      </c>
      <c r="R691" s="306">
        <f t="shared" ca="1" si="310"/>
        <v>0</v>
      </c>
      <c r="S691" s="307">
        <f t="shared" ca="1" si="311"/>
        <v>2.9362999999999984</v>
      </c>
      <c r="T691" s="304">
        <f t="shared" ca="1" si="291"/>
        <v>28.805102999999985</v>
      </c>
      <c r="U691" s="311">
        <f t="shared" ca="1" si="292"/>
        <v>0</v>
      </c>
      <c r="V691" s="306">
        <f t="shared" ca="1" si="293"/>
        <v>1.2264985959854302</v>
      </c>
      <c r="W691" s="304">
        <f t="shared" ca="1" si="294"/>
        <v>27.173087577799187</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0.5321778260878105</v>
      </c>
      <c r="AH691" s="304">
        <f t="shared" ca="1" si="318"/>
        <v>-9.2541741564762425</v>
      </c>
    </row>
    <row r="692" spans="1:34" x14ac:dyDescent="0.2">
      <c r="A692" s="347">
        <f t="shared" ca="1" si="296"/>
        <v>1E-4</v>
      </c>
      <c r="B692" s="304">
        <f t="shared" ca="1" si="297"/>
        <v>37.118300000000829</v>
      </c>
      <c r="D692" s="306">
        <f t="shared" ca="1" si="298"/>
        <v>-0.6421706629932975</v>
      </c>
      <c r="E692" s="307">
        <f t="shared" ca="1" si="299"/>
        <v>-0.57811453948742653</v>
      </c>
      <c r="F692" s="304">
        <f t="shared" ca="1" si="300"/>
        <v>0.86405994073097181</v>
      </c>
      <c r="G692" s="306">
        <f t="shared" ca="1" si="301"/>
        <v>7.2305681986473189</v>
      </c>
      <c r="H692" s="307">
        <f t="shared" ca="1" si="302"/>
        <v>-103.94807991166959</v>
      </c>
      <c r="I692" s="304">
        <f t="shared" ca="1" si="303"/>
        <v>104.19925351843044</v>
      </c>
      <c r="J692" s="306">
        <f t="shared" ca="1" si="304"/>
        <v>837.4075040097224</v>
      </c>
      <c r="K692" s="307">
        <f t="shared" ca="1" si="305"/>
        <v>-12.236353146535404</v>
      </c>
      <c r="L692" s="304">
        <f t="shared" ca="1" si="290"/>
        <v>837.4968991644804</v>
      </c>
      <c r="M692" s="306">
        <f t="shared" ca="1" si="306"/>
        <v>-1.5013487697953565</v>
      </c>
      <c r="N692" s="304">
        <f t="shared" ca="1" si="307"/>
        <v>-86.020948086432128</v>
      </c>
      <c r="P692" s="310">
        <f t="shared" ca="1" si="308"/>
        <v>23</v>
      </c>
      <c r="Q692" s="304">
        <f t="shared" ca="1" si="309"/>
        <v>0</v>
      </c>
      <c r="R692" s="306">
        <f t="shared" ca="1" si="310"/>
        <v>0</v>
      </c>
      <c r="S692" s="307">
        <f t="shared" ca="1" si="311"/>
        <v>2.9362999999999984</v>
      </c>
      <c r="T692" s="304">
        <f t="shared" ca="1" si="291"/>
        <v>28.805102999999985</v>
      </c>
      <c r="U692" s="311">
        <f t="shared" ca="1" si="292"/>
        <v>0</v>
      </c>
      <c r="V692" s="306">
        <f t="shared" ca="1" si="293"/>
        <v>1.2264998709079558</v>
      </c>
      <c r="W692" s="304">
        <f t="shared" ca="1" si="294"/>
        <v>27.173143579082602</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0.53215919847621862</v>
      </c>
      <c r="AH692" s="304">
        <f t="shared" ca="1" si="318"/>
        <v>-9.2541932288251214</v>
      </c>
    </row>
    <row r="693" spans="1:34" x14ac:dyDescent="0.2">
      <c r="A693" s="347">
        <f t="shared" ca="1" si="296"/>
        <v>1E-4</v>
      </c>
      <c r="B693" s="304">
        <f t="shared" ca="1" si="297"/>
        <v>37.118400000000833</v>
      </c>
      <c r="D693" s="306">
        <f t="shared" ca="1" si="298"/>
        <v>-0.64216595519525288</v>
      </c>
      <c r="E693" s="307">
        <f t="shared" ca="1" si="299"/>
        <v>-0.57809509387138824</v>
      </c>
      <c r="F693" s="304">
        <f t="shared" ca="1" si="300"/>
        <v>0.86404343152992069</v>
      </c>
      <c r="G693" s="306">
        <f t="shared" ca="1" si="301"/>
        <v>7.2305039820517996</v>
      </c>
      <c r="H693" s="307">
        <f t="shared" ca="1" si="302"/>
        <v>-103.94813772117898</v>
      </c>
      <c r="I693" s="304">
        <f t="shared" ca="1" si="303"/>
        <v>104.19930673250978</v>
      </c>
      <c r="J693" s="306">
        <f t="shared" ca="1" si="304"/>
        <v>837.4075040097224</v>
      </c>
      <c r="K693" s="307">
        <f t="shared" ca="1" si="305"/>
        <v>-12.246747957417046</v>
      </c>
      <c r="L693" s="304">
        <f t="shared" ca="1" si="290"/>
        <v>837.4970511036596</v>
      </c>
      <c r="M693" s="306">
        <f t="shared" ca="1" si="306"/>
        <v>-1.5013494230943618</v>
      </c>
      <c r="N693" s="304">
        <f t="shared" ca="1" si="307"/>
        <v>-86.020985517707899</v>
      </c>
      <c r="P693" s="310">
        <f t="shared" ca="1" si="308"/>
        <v>23</v>
      </c>
      <c r="Q693" s="304">
        <f t="shared" ca="1" si="309"/>
        <v>0</v>
      </c>
      <c r="R693" s="306">
        <f t="shared" ca="1" si="310"/>
        <v>0</v>
      </c>
      <c r="S693" s="307">
        <f t="shared" ca="1" si="311"/>
        <v>2.9362999999999984</v>
      </c>
      <c r="T693" s="304">
        <f t="shared" ca="1" si="291"/>
        <v>28.805102999999985</v>
      </c>
      <c r="U693" s="311">
        <f t="shared" ca="1" si="292"/>
        <v>0</v>
      </c>
      <c r="V693" s="306">
        <f t="shared" ca="1" si="293"/>
        <v>1.2265011458325168</v>
      </c>
      <c r="W693" s="304">
        <f t="shared" ca="1" si="294"/>
        <v>27.173199579511468</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0.53214057114709412</v>
      </c>
      <c r="AH693" s="304">
        <f t="shared" ca="1" si="318"/>
        <v>-9.2542123008829531</v>
      </c>
    </row>
    <row r="694" spans="1:34" x14ac:dyDescent="0.2">
      <c r="A694" s="347">
        <f t="shared" ca="1" si="296"/>
        <v>1E-4</v>
      </c>
      <c r="B694" s="304">
        <f t="shared" ca="1" si="297"/>
        <v>37.118500000000836</v>
      </c>
      <c r="D694" s="306">
        <f t="shared" ca="1" si="298"/>
        <v>-0.64216124741160352</v>
      </c>
      <c r="E694" s="307">
        <f t="shared" ca="1" si="299"/>
        <v>-0.57807564855204419</v>
      </c>
      <c r="F694" s="304">
        <f t="shared" ca="1" si="300"/>
        <v>0.86402692268591563</v>
      </c>
      <c r="G694" s="306">
        <f t="shared" ca="1" si="301"/>
        <v>7.2304397659270583</v>
      </c>
      <c r="H694" s="307">
        <f t="shared" ca="1" si="302"/>
        <v>-103.94819552874384</v>
      </c>
      <c r="I694" s="304">
        <f t="shared" ca="1" si="303"/>
        <v>104.19935994472644</v>
      </c>
      <c r="J694" s="306">
        <f t="shared" ca="1" si="304"/>
        <v>837.4075040097224</v>
      </c>
      <c r="K694" s="307">
        <f t="shared" ca="1" si="305"/>
        <v>-12.257142774079542</v>
      </c>
      <c r="L694" s="304">
        <f t="shared" ca="1" si="290"/>
        <v>837.4972031719135</v>
      </c>
      <c r="M694" s="306">
        <f t="shared" ca="1" si="306"/>
        <v>-1.5013500763868977</v>
      </c>
      <c r="N694" s="304">
        <f t="shared" ca="1" si="307"/>
        <v>-86.021022948612995</v>
      </c>
      <c r="P694" s="310">
        <f t="shared" ca="1" si="308"/>
        <v>23</v>
      </c>
      <c r="Q694" s="304">
        <f t="shared" ca="1" si="309"/>
        <v>0</v>
      </c>
      <c r="R694" s="306">
        <f t="shared" ca="1" si="310"/>
        <v>0</v>
      </c>
      <c r="S694" s="307">
        <f t="shared" ca="1" si="311"/>
        <v>2.9362999999999984</v>
      </c>
      <c r="T694" s="304">
        <f t="shared" ca="1" si="291"/>
        <v>28.805102999999985</v>
      </c>
      <c r="U694" s="311">
        <f t="shared" ca="1" si="292"/>
        <v>0</v>
      </c>
      <c r="V694" s="306">
        <f t="shared" ca="1" si="293"/>
        <v>1.2265024207591124</v>
      </c>
      <c r="W694" s="304">
        <f t="shared" ca="1" si="294"/>
        <v>27.173255579085772</v>
      </c>
      <c r="Y694" s="314" t="str">
        <f t="shared" ca="1" si="312"/>
        <v/>
      </c>
      <c r="Z694" s="315" t="str">
        <f t="shared" ca="1" si="313"/>
        <v/>
      </c>
      <c r="AA694" s="316" t="str">
        <f t="shared" ca="1" si="314"/>
        <v/>
      </c>
      <c r="AC694" s="310" t="e">
        <f t="shared" ca="1" si="315"/>
        <v>#N/A</v>
      </c>
      <c r="AD694" s="323" t="e">
        <f t="shared" ca="1" si="316"/>
        <v>#N/A</v>
      </c>
      <c r="AE694" s="324" t="e">
        <f t="shared" ca="1" si="295"/>
        <v>#N/A</v>
      </c>
      <c r="AG694" s="306">
        <f t="shared" ca="1" si="317"/>
        <v>0.53212194410041569</v>
      </c>
      <c r="AH694" s="304">
        <f t="shared" ca="1" si="318"/>
        <v>-9.2542313726497571</v>
      </c>
    </row>
    <row r="695" spans="1:34" x14ac:dyDescent="0.2">
      <c r="A695" s="347">
        <f t="shared" ca="1" si="296"/>
        <v>1E-4</v>
      </c>
      <c r="B695" s="304">
        <f t="shared" ca="1" si="297"/>
        <v>37.118600000000839</v>
      </c>
      <c r="D695" s="306">
        <f t="shared" ca="1" si="298"/>
        <v>-0.64215653964235198</v>
      </c>
      <c r="E695" s="307">
        <f t="shared" ca="1" si="299"/>
        <v>-0.57805620352939435</v>
      </c>
      <c r="F695" s="304">
        <f t="shared" ca="1" si="300"/>
        <v>0.86401041419895863</v>
      </c>
      <c r="G695" s="306">
        <f t="shared" ca="1" si="301"/>
        <v>7.2303755502730942</v>
      </c>
      <c r="H695" s="307">
        <f t="shared" ca="1" si="302"/>
        <v>-103.9482533343642</v>
      </c>
      <c r="I695" s="304">
        <f t="shared" ca="1" si="303"/>
        <v>104.19941315508041</v>
      </c>
      <c r="J695" s="306">
        <f t="shared" ca="1" si="304"/>
        <v>837.4075040097224</v>
      </c>
      <c r="K695" s="307">
        <f t="shared" ca="1" si="305"/>
        <v>-12.267537596522697</v>
      </c>
      <c r="L695" s="304">
        <f t="shared" ca="1" si="290"/>
        <v>837.49735536924254</v>
      </c>
      <c r="M695" s="306">
        <f t="shared" ca="1" si="306"/>
        <v>-1.5013507296729642</v>
      </c>
      <c r="N695" s="304">
        <f t="shared" ca="1" si="307"/>
        <v>-86.021060379147414</v>
      </c>
      <c r="P695" s="310">
        <f t="shared" ca="1" si="308"/>
        <v>23</v>
      </c>
      <c r="Q695" s="304">
        <f t="shared" ca="1" si="309"/>
        <v>0</v>
      </c>
      <c r="R695" s="306">
        <f t="shared" ca="1" si="310"/>
        <v>0</v>
      </c>
      <c r="S695" s="307">
        <f t="shared" ca="1" si="311"/>
        <v>2.9362999999999984</v>
      </c>
      <c r="T695" s="304">
        <f t="shared" ca="1" si="291"/>
        <v>28.805102999999985</v>
      </c>
      <c r="U695" s="311">
        <f t="shared" ca="1" si="292"/>
        <v>0</v>
      </c>
      <c r="V695" s="306">
        <f t="shared" ca="1" si="293"/>
        <v>1.2265036956877433</v>
      </c>
      <c r="W695" s="304">
        <f t="shared" ca="1" si="294"/>
        <v>27.173311577805535</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0.53210331733619043</v>
      </c>
      <c r="AH695" s="304">
        <f t="shared" ca="1" si="318"/>
        <v>-9.2542504441255282</v>
      </c>
    </row>
    <row r="696" spans="1:34" x14ac:dyDescent="0.2">
      <c r="A696" s="347">
        <f t="shared" ca="1" si="296"/>
        <v>1E-4</v>
      </c>
      <c r="B696" s="304">
        <f t="shared" ca="1" si="297"/>
        <v>37.118700000000842</v>
      </c>
      <c r="D696" s="306">
        <f t="shared" ca="1" si="298"/>
        <v>-0.6421518318874978</v>
      </c>
      <c r="E696" s="307">
        <f t="shared" ca="1" si="299"/>
        <v>-0.57803675880343697</v>
      </c>
      <c r="F696" s="304">
        <f t="shared" ca="1" si="300"/>
        <v>0.86399390606904869</v>
      </c>
      <c r="G696" s="306">
        <f t="shared" ca="1" si="301"/>
        <v>7.2303113350899055</v>
      </c>
      <c r="H696" s="307">
        <f t="shared" ca="1" si="302"/>
        <v>-103.94831113804008</v>
      </c>
      <c r="I696" s="304">
        <f t="shared" ca="1" si="303"/>
        <v>104.19946636357173</v>
      </c>
      <c r="J696" s="306">
        <f t="shared" ca="1" si="304"/>
        <v>837.4075040097224</v>
      </c>
      <c r="K696" s="307">
        <f t="shared" ca="1" si="305"/>
        <v>-12.277932424746318</v>
      </c>
      <c r="L696" s="304">
        <f t="shared" ca="1" si="290"/>
        <v>837.49750769564673</v>
      </c>
      <c r="M696" s="306">
        <f t="shared" ca="1" si="306"/>
        <v>-1.5013513829525618</v>
      </c>
      <c r="N696" s="304">
        <f t="shared" ca="1" si="307"/>
        <v>-86.0210978093112</v>
      </c>
      <c r="P696" s="310">
        <f t="shared" ca="1" si="308"/>
        <v>23</v>
      </c>
      <c r="Q696" s="304">
        <f t="shared" ca="1" si="309"/>
        <v>0</v>
      </c>
      <c r="R696" s="306">
        <f t="shared" ca="1" si="310"/>
        <v>0</v>
      </c>
      <c r="S696" s="307">
        <f t="shared" ca="1" si="311"/>
        <v>2.9362999999999984</v>
      </c>
      <c r="T696" s="304">
        <f t="shared" ca="1" si="291"/>
        <v>28.805102999999985</v>
      </c>
      <c r="U696" s="311">
        <f t="shared" ca="1" si="292"/>
        <v>0</v>
      </c>
      <c r="V696" s="306">
        <f t="shared" ca="1" si="293"/>
        <v>1.226504970618409</v>
      </c>
      <c r="W696" s="304">
        <f t="shared" ca="1" si="294"/>
        <v>27.173367575670746</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0.53208469085441301</v>
      </c>
      <c r="AH696" s="304">
        <f t="shared" ca="1" si="318"/>
        <v>-9.2542695153102716</v>
      </c>
    </row>
    <row r="697" spans="1:34" x14ac:dyDescent="0.2">
      <c r="A697" s="347">
        <f t="shared" ca="1" si="296"/>
        <v>1E-4</v>
      </c>
      <c r="B697" s="304">
        <f t="shared" ca="1" si="297"/>
        <v>37.118800000000846</v>
      </c>
      <c r="D697" s="306">
        <f t="shared" ca="1" si="298"/>
        <v>-0.64214712414703956</v>
      </c>
      <c r="E697" s="307">
        <f t="shared" ca="1" si="299"/>
        <v>-0.57801731437417381</v>
      </c>
      <c r="F697" s="304">
        <f t="shared" ca="1" si="300"/>
        <v>0.86397739829618569</v>
      </c>
      <c r="G697" s="306">
        <f t="shared" ca="1" si="301"/>
        <v>7.2302471203774905</v>
      </c>
      <c r="H697" s="307">
        <f t="shared" ca="1" si="302"/>
        <v>-103.94836893977153</v>
      </c>
      <c r="I697" s="304">
        <f t="shared" ca="1" si="303"/>
        <v>104.19951957020045</v>
      </c>
      <c r="J697" s="306">
        <f t="shared" ca="1" si="304"/>
        <v>837.4075040097224</v>
      </c>
      <c r="K697" s="307">
        <f t="shared" ca="1" si="305"/>
        <v>-12.288327258750208</v>
      </c>
      <c r="L697" s="304">
        <f t="shared" ca="1" si="290"/>
        <v>837.49766015112618</v>
      </c>
      <c r="M697" s="306">
        <f t="shared" ca="1" si="306"/>
        <v>-1.50135203622569</v>
      </c>
      <c r="N697" s="304">
        <f t="shared" ca="1" si="307"/>
        <v>-86.021135239104325</v>
      </c>
      <c r="P697" s="310">
        <f t="shared" ca="1" si="308"/>
        <v>23</v>
      </c>
      <c r="Q697" s="304">
        <f t="shared" ca="1" si="309"/>
        <v>0</v>
      </c>
      <c r="R697" s="306">
        <f t="shared" ca="1" si="310"/>
        <v>0</v>
      </c>
      <c r="S697" s="307">
        <f t="shared" ca="1" si="311"/>
        <v>2.9362999999999984</v>
      </c>
      <c r="T697" s="304">
        <f t="shared" ca="1" si="291"/>
        <v>28.805102999999985</v>
      </c>
      <c r="U697" s="311">
        <f t="shared" ca="1" si="292"/>
        <v>0</v>
      </c>
      <c r="V697" s="306">
        <f t="shared" ca="1" si="293"/>
        <v>1.22650624555111</v>
      </c>
      <c r="W697" s="304">
        <f t="shared" ca="1" si="294"/>
        <v>27.173423572681461</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0.53206606465508166</v>
      </c>
      <c r="AH697" s="304">
        <f t="shared" ca="1" si="318"/>
        <v>-9.2542885862039856</v>
      </c>
    </row>
    <row r="698" spans="1:34" x14ac:dyDescent="0.2">
      <c r="A698" s="347">
        <f t="shared" ca="1" si="296"/>
        <v>1E-4</v>
      </c>
      <c r="B698" s="304">
        <f t="shared" ca="1" si="297"/>
        <v>37.118900000000849</v>
      </c>
      <c r="D698" s="306">
        <f t="shared" ca="1" si="298"/>
        <v>-0.64214241642098158</v>
      </c>
      <c r="E698" s="307">
        <f t="shared" ca="1" si="299"/>
        <v>-0.57799787024158533</v>
      </c>
      <c r="F698" s="304">
        <f t="shared" ca="1" si="300"/>
        <v>0.86396089088036032</v>
      </c>
      <c r="G698" s="306">
        <f t="shared" ca="1" si="301"/>
        <v>7.2301829061358482</v>
      </c>
      <c r="H698" s="307">
        <f t="shared" ca="1" si="302"/>
        <v>-103.94842673955856</v>
      </c>
      <c r="I698" s="304">
        <f t="shared" ca="1" si="303"/>
        <v>104.19957277496655</v>
      </c>
      <c r="J698" s="306">
        <f t="shared" ca="1" si="304"/>
        <v>837.4075040097224</v>
      </c>
      <c r="K698" s="307">
        <f t="shared" ca="1" si="305"/>
        <v>-12.298722098534174</v>
      </c>
      <c r="L698" s="304">
        <f t="shared" ca="1" si="290"/>
        <v>837.49781273568124</v>
      </c>
      <c r="M698" s="306">
        <f t="shared" ca="1" si="306"/>
        <v>-1.5013526894923492</v>
      </c>
      <c r="N698" s="304">
        <f t="shared" ca="1" si="307"/>
        <v>-86.021172668526788</v>
      </c>
      <c r="P698" s="310">
        <f t="shared" ca="1" si="308"/>
        <v>23</v>
      </c>
      <c r="Q698" s="304">
        <f t="shared" ca="1" si="309"/>
        <v>0</v>
      </c>
      <c r="R698" s="306">
        <f t="shared" ca="1" si="310"/>
        <v>0</v>
      </c>
      <c r="S698" s="307">
        <f t="shared" ca="1" si="311"/>
        <v>2.9362999999999984</v>
      </c>
      <c r="T698" s="304">
        <f t="shared" ca="1" si="291"/>
        <v>28.805102999999985</v>
      </c>
      <c r="U698" s="311">
        <f t="shared" ca="1" si="292"/>
        <v>0</v>
      </c>
      <c r="V698" s="306">
        <f t="shared" ca="1" si="293"/>
        <v>1.2265075204858462</v>
      </c>
      <c r="W698" s="304">
        <f t="shared" ca="1" si="294"/>
        <v>27.173479568837649</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0.53204743873818572</v>
      </c>
      <c r="AH698" s="304">
        <f t="shared" ca="1" si="318"/>
        <v>-9.254307656806688</v>
      </c>
    </row>
    <row r="699" spans="1:34" x14ac:dyDescent="0.2">
      <c r="A699" s="347">
        <f t="shared" ca="1" si="296"/>
        <v>1E-4</v>
      </c>
      <c r="B699" s="304">
        <f t="shared" ca="1" si="297"/>
        <v>37.119000000000852</v>
      </c>
      <c r="D699" s="306">
        <f t="shared" ca="1" si="298"/>
        <v>-0.64213770870932185</v>
      </c>
      <c r="E699" s="307">
        <f t="shared" ca="1" si="299"/>
        <v>-0.5779784264056822</v>
      </c>
      <c r="F699" s="304">
        <f t="shared" ca="1" si="300"/>
        <v>0.86394438382157823</v>
      </c>
      <c r="G699" s="306">
        <f t="shared" ca="1" si="301"/>
        <v>7.230118692364977</v>
      </c>
      <c r="H699" s="307">
        <f t="shared" ca="1" si="302"/>
        <v>-103.9484845374012</v>
      </c>
      <c r="I699" s="304">
        <f t="shared" ca="1" si="303"/>
        <v>104.1996259778701</v>
      </c>
      <c r="J699" s="306">
        <f t="shared" ca="1" si="304"/>
        <v>837.4075040097224</v>
      </c>
      <c r="K699" s="307">
        <f t="shared" ca="1" si="305"/>
        <v>-12.309116944098022</v>
      </c>
      <c r="L699" s="304">
        <f t="shared" ca="1" si="290"/>
        <v>837.49796544931178</v>
      </c>
      <c r="M699" s="306">
        <f t="shared" ca="1" si="306"/>
        <v>-1.5013533427525394</v>
      </c>
      <c r="N699" s="304">
        <f t="shared" ca="1" si="307"/>
        <v>-86.021210097578603</v>
      </c>
      <c r="P699" s="310">
        <f t="shared" ca="1" si="308"/>
        <v>23</v>
      </c>
      <c r="Q699" s="304">
        <f t="shared" ca="1" si="309"/>
        <v>0</v>
      </c>
      <c r="R699" s="306">
        <f t="shared" ca="1" si="310"/>
        <v>0</v>
      </c>
      <c r="S699" s="307">
        <f t="shared" ca="1" si="311"/>
        <v>2.9362999999999984</v>
      </c>
      <c r="T699" s="304">
        <f t="shared" ca="1" si="291"/>
        <v>28.805102999999985</v>
      </c>
      <c r="U699" s="311">
        <f t="shared" ca="1" si="292"/>
        <v>0</v>
      </c>
      <c r="V699" s="306">
        <f t="shared" ca="1" si="293"/>
        <v>1.2265087954226173</v>
      </c>
      <c r="W699" s="304">
        <f t="shared" ca="1" si="294"/>
        <v>27.173535564139325</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0.53202881310372874</v>
      </c>
      <c r="AH699" s="304">
        <f t="shared" ca="1" si="318"/>
        <v>-9.254326727118368</v>
      </c>
    </row>
    <row r="700" spans="1:34" x14ac:dyDescent="0.2">
      <c r="A700" s="347">
        <f t="shared" ca="1" si="296"/>
        <v>1E-4</v>
      </c>
      <c r="B700" s="304">
        <f t="shared" ca="1" si="297"/>
        <v>37.119100000000856</v>
      </c>
      <c r="D700" s="306">
        <f t="shared" ca="1" si="298"/>
        <v>-0.64213300101206194</v>
      </c>
      <c r="E700" s="307">
        <f t="shared" ca="1" si="299"/>
        <v>-0.57795898286645908</v>
      </c>
      <c r="F700" s="304">
        <f t="shared" ca="1" si="300"/>
        <v>0.86392787711983732</v>
      </c>
      <c r="G700" s="306">
        <f t="shared" ca="1" si="301"/>
        <v>7.2300544790648757</v>
      </c>
      <c r="H700" s="307">
        <f t="shared" ca="1" si="302"/>
        <v>-103.94854233329949</v>
      </c>
      <c r="I700" s="304">
        <f t="shared" ca="1" si="303"/>
        <v>104.19967917891111</v>
      </c>
      <c r="J700" s="306">
        <f t="shared" ca="1" si="304"/>
        <v>837.4075040097224</v>
      </c>
      <c r="K700" s="307">
        <f t="shared" ca="1" si="305"/>
        <v>-12.319511795441558</v>
      </c>
      <c r="L700" s="304">
        <f t="shared" ca="1" si="290"/>
        <v>837.49811829201815</v>
      </c>
      <c r="M700" s="306">
        <f t="shared" ca="1" si="306"/>
        <v>-1.5013539960062607</v>
      </c>
      <c r="N700" s="304">
        <f t="shared" ca="1" si="307"/>
        <v>-86.021247526259799</v>
      </c>
      <c r="P700" s="310">
        <f t="shared" ca="1" si="308"/>
        <v>23</v>
      </c>
      <c r="Q700" s="304">
        <f t="shared" ca="1" si="309"/>
        <v>0</v>
      </c>
      <c r="R700" s="306">
        <f t="shared" ca="1" si="310"/>
        <v>0</v>
      </c>
      <c r="S700" s="307">
        <f t="shared" ca="1" si="311"/>
        <v>2.9362999999999984</v>
      </c>
      <c r="T700" s="304">
        <f t="shared" ca="1" si="291"/>
        <v>28.805102999999985</v>
      </c>
      <c r="U700" s="311">
        <f t="shared" ca="1" si="292"/>
        <v>0</v>
      </c>
      <c r="V700" s="306">
        <f t="shared" ca="1" si="293"/>
        <v>1.2265100703614233</v>
      </c>
      <c r="W700" s="304">
        <f t="shared" ca="1" si="294"/>
        <v>27.173591558586509</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0.53201018775170716</v>
      </c>
      <c r="AH700" s="304">
        <f t="shared" ca="1" si="318"/>
        <v>-9.2543457971390328</v>
      </c>
    </row>
    <row r="701" spans="1:34" x14ac:dyDescent="0.2">
      <c r="A701" s="347">
        <f t="shared" ca="1" si="296"/>
        <v>1E-4</v>
      </c>
      <c r="B701" s="304">
        <f t="shared" ca="1" si="297"/>
        <v>37.119200000000859</v>
      </c>
      <c r="D701" s="306">
        <f t="shared" ca="1" si="298"/>
        <v>-0.64212829332920107</v>
      </c>
      <c r="E701" s="307">
        <f t="shared" ca="1" si="299"/>
        <v>-0.57793953962390887</v>
      </c>
      <c r="F701" s="304">
        <f t="shared" ca="1" si="300"/>
        <v>0.86391137077513236</v>
      </c>
      <c r="G701" s="306">
        <f t="shared" ca="1" si="301"/>
        <v>7.2299902662355429</v>
      </c>
      <c r="H701" s="307">
        <f t="shared" ca="1" si="302"/>
        <v>-103.94860012725344</v>
      </c>
      <c r="I701" s="304">
        <f t="shared" ca="1" si="303"/>
        <v>104.19973237808961</v>
      </c>
      <c r="J701" s="306">
        <f t="shared" ca="1" si="304"/>
        <v>837.4075040097224</v>
      </c>
      <c r="K701" s="307">
        <f t="shared" ca="1" si="305"/>
        <v>-12.329906652564587</v>
      </c>
      <c r="L701" s="304">
        <f t="shared" ca="1" si="290"/>
        <v>837.49827126380035</v>
      </c>
      <c r="M701" s="306">
        <f t="shared" ca="1" si="306"/>
        <v>-1.501354649253513</v>
      </c>
      <c r="N701" s="304">
        <f t="shared" ca="1" si="307"/>
        <v>-86.021284954570334</v>
      </c>
      <c r="P701" s="310">
        <f t="shared" ca="1" si="308"/>
        <v>23</v>
      </c>
      <c r="Q701" s="304">
        <f t="shared" ca="1" si="309"/>
        <v>0</v>
      </c>
      <c r="R701" s="306">
        <f t="shared" ca="1" si="310"/>
        <v>0</v>
      </c>
      <c r="S701" s="307">
        <f t="shared" ca="1" si="311"/>
        <v>2.9362999999999984</v>
      </c>
      <c r="T701" s="304">
        <f t="shared" ca="1" si="291"/>
        <v>28.805102999999985</v>
      </c>
      <c r="U701" s="311">
        <f t="shared" ca="1" si="292"/>
        <v>0</v>
      </c>
      <c r="V701" s="306">
        <f t="shared" ca="1" si="293"/>
        <v>1.2265113453022642</v>
      </c>
      <c r="W701" s="304">
        <f t="shared" ca="1" si="294"/>
        <v>27.173647552179197</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0.53199156268211922</v>
      </c>
      <c r="AH701" s="304">
        <f t="shared" ca="1" si="318"/>
        <v>-9.254364866868686</v>
      </c>
    </row>
    <row r="702" spans="1:34" x14ac:dyDescent="0.2">
      <c r="A702" s="347">
        <f t="shared" ca="1" si="296"/>
        <v>1E-4</v>
      </c>
      <c r="B702" s="304">
        <f t="shared" ca="1" si="297"/>
        <v>37.119300000000862</v>
      </c>
      <c r="D702" s="306">
        <f t="shared" ca="1" si="298"/>
        <v>-0.64212358566074224</v>
      </c>
      <c r="E702" s="307">
        <f t="shared" ca="1" si="299"/>
        <v>-0.57792009667803335</v>
      </c>
      <c r="F702" s="304">
        <f t="shared" ca="1" si="300"/>
        <v>0.86389486478746713</v>
      </c>
      <c r="G702" s="306">
        <f t="shared" ca="1" si="301"/>
        <v>7.2299260538769765</v>
      </c>
      <c r="H702" s="307">
        <f t="shared" ca="1" si="302"/>
        <v>-103.94865791926311</v>
      </c>
      <c r="I702" s="304">
        <f t="shared" ca="1" si="303"/>
        <v>104.19978557540563</v>
      </c>
      <c r="J702" s="306">
        <f t="shared" ca="1" si="304"/>
        <v>837.4075040097224</v>
      </c>
      <c r="K702" s="307">
        <f t="shared" ca="1" si="305"/>
        <v>-12.340301515466912</v>
      </c>
      <c r="L702" s="304">
        <f t="shared" ca="1" si="290"/>
        <v>837.49842436465872</v>
      </c>
      <c r="M702" s="306">
        <f t="shared" ca="1" si="306"/>
        <v>-1.5013553024942969</v>
      </c>
      <c r="N702" s="304">
        <f t="shared" ca="1" si="307"/>
        <v>-86.021322382510249</v>
      </c>
      <c r="P702" s="310">
        <f t="shared" ca="1" si="308"/>
        <v>23</v>
      </c>
      <c r="Q702" s="304">
        <f t="shared" ca="1" si="309"/>
        <v>0</v>
      </c>
      <c r="R702" s="306">
        <f t="shared" ca="1" si="310"/>
        <v>0</v>
      </c>
      <c r="S702" s="307">
        <f t="shared" ca="1" si="311"/>
        <v>2.9362999999999984</v>
      </c>
      <c r="T702" s="304">
        <f t="shared" ca="1" si="291"/>
        <v>28.805102999999985</v>
      </c>
      <c r="U702" s="311">
        <f t="shared" ca="1" si="292"/>
        <v>0</v>
      </c>
      <c r="V702" s="306">
        <f t="shared" ca="1" si="293"/>
        <v>1.2265126202451397</v>
      </c>
      <c r="W702" s="304">
        <f t="shared" ca="1" si="294"/>
        <v>27.173703544917409</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0.53197293789496136</v>
      </c>
      <c r="AH702" s="304">
        <f t="shared" ca="1" si="318"/>
        <v>-9.2543839363073293</v>
      </c>
    </row>
    <row r="703" spans="1:34" x14ac:dyDescent="0.2">
      <c r="A703" s="347">
        <f t="shared" ca="1" si="296"/>
        <v>1E-4</v>
      </c>
      <c r="B703" s="304">
        <f t="shared" ca="1" si="297"/>
        <v>37.119400000000866</v>
      </c>
      <c r="D703" s="306">
        <f t="shared" ca="1" si="298"/>
        <v>-0.64211887800668066</v>
      </c>
      <c r="E703" s="307">
        <f t="shared" ca="1" si="299"/>
        <v>-0.57790065402882718</v>
      </c>
      <c r="F703" s="304">
        <f t="shared" ca="1" si="300"/>
        <v>0.86387835915683442</v>
      </c>
      <c r="G703" s="306">
        <f t="shared" ca="1" si="301"/>
        <v>7.2298618419891758</v>
      </c>
      <c r="H703" s="307">
        <f t="shared" ca="1" si="302"/>
        <v>-103.94871570932851</v>
      </c>
      <c r="I703" s="304">
        <f t="shared" ca="1" si="303"/>
        <v>104.1998387708592</v>
      </c>
      <c r="J703" s="306">
        <f t="shared" ca="1" si="304"/>
        <v>837.4075040097224</v>
      </c>
      <c r="K703" s="307">
        <f t="shared" ca="1" si="305"/>
        <v>-12.350696384148341</v>
      </c>
      <c r="L703" s="304">
        <f t="shared" ca="1" si="290"/>
        <v>837.49857759459314</v>
      </c>
      <c r="M703" s="306">
        <f t="shared" ca="1" si="306"/>
        <v>-1.5013559557286118</v>
      </c>
      <c r="N703" s="304">
        <f t="shared" ca="1" si="307"/>
        <v>-86.021359810079531</v>
      </c>
      <c r="P703" s="310">
        <f t="shared" ca="1" si="308"/>
        <v>23</v>
      </c>
      <c r="Q703" s="304">
        <f t="shared" ca="1" si="309"/>
        <v>0</v>
      </c>
      <c r="R703" s="306">
        <f t="shared" ca="1" si="310"/>
        <v>0</v>
      </c>
      <c r="S703" s="307">
        <f t="shared" ca="1" si="311"/>
        <v>2.9362999999999984</v>
      </c>
      <c r="T703" s="304">
        <f t="shared" ca="1" si="291"/>
        <v>28.805102999999985</v>
      </c>
      <c r="U703" s="311">
        <f t="shared" ca="1" si="292"/>
        <v>0</v>
      </c>
      <c r="V703" s="306">
        <f t="shared" ca="1" si="293"/>
        <v>1.2265138951900509</v>
      </c>
      <c r="W703" s="304">
        <f t="shared" ca="1" si="294"/>
        <v>27.173759536801178</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0.53195431339023003</v>
      </c>
      <c r="AH703" s="304">
        <f t="shared" ca="1" si="318"/>
        <v>-9.254403005454968</v>
      </c>
    </row>
    <row r="704" spans="1:34" x14ac:dyDescent="0.2">
      <c r="A704" s="347">
        <f t="shared" ca="1" si="296"/>
        <v>1E-4</v>
      </c>
      <c r="B704" s="304">
        <f t="shared" ca="1" si="297"/>
        <v>37.119500000000869</v>
      </c>
      <c r="D704" s="306">
        <f t="shared" ca="1" si="298"/>
        <v>-0.64211417036702423</v>
      </c>
      <c r="E704" s="307">
        <f t="shared" ca="1" si="299"/>
        <v>-0.57788121167627438</v>
      </c>
      <c r="F704" s="304">
        <f t="shared" ca="1" si="300"/>
        <v>0.86386185388322989</v>
      </c>
      <c r="G704" s="306">
        <f t="shared" ca="1" si="301"/>
        <v>7.229797630572139</v>
      </c>
      <c r="H704" s="307">
        <f t="shared" ca="1" si="302"/>
        <v>-103.94877349744968</v>
      </c>
      <c r="I704" s="304">
        <f t="shared" ca="1" si="303"/>
        <v>104.19989196445034</v>
      </c>
      <c r="J704" s="306">
        <f t="shared" ca="1" si="304"/>
        <v>837.4075040097224</v>
      </c>
      <c r="K704" s="307">
        <f t="shared" ca="1" si="305"/>
        <v>-12.361091258608679</v>
      </c>
      <c r="L704" s="304">
        <f t="shared" ca="1" si="290"/>
        <v>837.49873095360385</v>
      </c>
      <c r="M704" s="306">
        <f t="shared" ca="1" si="306"/>
        <v>-1.5013566089564583</v>
      </c>
      <c r="N704" s="304">
        <f t="shared" ca="1" si="307"/>
        <v>-86.021397237278194</v>
      </c>
      <c r="P704" s="310">
        <f t="shared" ca="1" si="308"/>
        <v>23</v>
      </c>
      <c r="Q704" s="304">
        <f t="shared" ca="1" si="309"/>
        <v>0</v>
      </c>
      <c r="R704" s="306">
        <f t="shared" ca="1" si="310"/>
        <v>0</v>
      </c>
      <c r="S704" s="307">
        <f t="shared" ca="1" si="311"/>
        <v>2.9362999999999984</v>
      </c>
      <c r="T704" s="304">
        <f t="shared" ca="1" si="291"/>
        <v>28.805102999999985</v>
      </c>
      <c r="U704" s="311">
        <f t="shared" ca="1" si="292"/>
        <v>0</v>
      </c>
      <c r="V704" s="306">
        <f t="shared" ca="1" si="293"/>
        <v>1.2265151701369963</v>
      </c>
      <c r="W704" s="304">
        <f t="shared" ca="1" si="294"/>
        <v>27.173815527830467</v>
      </c>
      <c r="Y704" s="314" t="str">
        <f t="shared" ca="1" si="312"/>
        <v/>
      </c>
      <c r="Z704" s="315" t="str">
        <f t="shared" ca="1" si="313"/>
        <v/>
      </c>
      <c r="AA704" s="316" t="str">
        <f t="shared" ca="1" si="314"/>
        <v/>
      </c>
      <c r="AC704" s="310" t="e">
        <f t="shared" ca="1" si="315"/>
        <v>#N/A</v>
      </c>
      <c r="AD704" s="323" t="e">
        <f t="shared" ca="1" si="316"/>
        <v>#N/A</v>
      </c>
      <c r="AE704" s="324" t="e">
        <f t="shared" ca="1" si="295"/>
        <v>#N/A</v>
      </c>
      <c r="AG704" s="306">
        <f t="shared" ca="1" si="317"/>
        <v>0.53193568916791101</v>
      </c>
      <c r="AH704" s="304">
        <f t="shared" ca="1" si="318"/>
        <v>-9.2544220743116146</v>
      </c>
    </row>
    <row r="705" spans="1:34" x14ac:dyDescent="0.2">
      <c r="A705" s="347">
        <f t="shared" ca="1" si="296"/>
        <v>1E-4</v>
      </c>
      <c r="B705" s="304">
        <f t="shared" ca="1" si="297"/>
        <v>37.119600000000872</v>
      </c>
      <c r="D705" s="306">
        <f t="shared" ca="1" si="298"/>
        <v>-0.64210946274176683</v>
      </c>
      <c r="E705" s="307">
        <f t="shared" ca="1" si="299"/>
        <v>-0.57786176962039093</v>
      </c>
      <c r="F705" s="304">
        <f t="shared" ca="1" si="300"/>
        <v>0.86384534896665977</v>
      </c>
      <c r="G705" s="306">
        <f t="shared" ca="1" si="301"/>
        <v>7.2297334196258651</v>
      </c>
      <c r="H705" s="307">
        <f t="shared" ca="1" si="302"/>
        <v>-103.94883128362665</v>
      </c>
      <c r="I705" s="304">
        <f t="shared" ca="1" si="303"/>
        <v>104.1999451561791</v>
      </c>
      <c r="J705" s="306">
        <f t="shared" ca="1" si="304"/>
        <v>837.4075040097224</v>
      </c>
      <c r="K705" s="307">
        <f t="shared" ca="1" si="305"/>
        <v>-12.371486138847732</v>
      </c>
      <c r="L705" s="304">
        <f t="shared" ca="1" si="290"/>
        <v>837.49888444169108</v>
      </c>
      <c r="M705" s="306">
        <f t="shared" ca="1" si="306"/>
        <v>-1.5013572621778364</v>
      </c>
      <c r="N705" s="304">
        <f t="shared" ca="1" si="307"/>
        <v>-86.021434664106238</v>
      </c>
      <c r="P705" s="310">
        <f t="shared" ca="1" si="308"/>
        <v>23</v>
      </c>
      <c r="Q705" s="304">
        <f t="shared" ca="1" si="309"/>
        <v>0</v>
      </c>
      <c r="R705" s="306">
        <f t="shared" ca="1" si="310"/>
        <v>0</v>
      </c>
      <c r="S705" s="307">
        <f t="shared" ca="1" si="311"/>
        <v>2.9362999999999984</v>
      </c>
      <c r="T705" s="304">
        <f t="shared" ca="1" si="291"/>
        <v>28.805102999999985</v>
      </c>
      <c r="U705" s="311">
        <f t="shared" ca="1" si="292"/>
        <v>0</v>
      </c>
      <c r="V705" s="306">
        <f t="shared" ca="1" si="293"/>
        <v>1.2265164450859769</v>
      </c>
      <c r="W705" s="304">
        <f t="shared" ca="1" si="294"/>
        <v>27.173871518005317</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0.53191706522801852</v>
      </c>
      <c r="AH705" s="304">
        <f t="shared" ca="1" si="318"/>
        <v>-9.2544411428772548</v>
      </c>
    </row>
    <row r="706" spans="1:34" x14ac:dyDescent="0.2">
      <c r="A706" s="347">
        <f t="shared" ca="1" si="296"/>
        <v>1E-4</v>
      </c>
      <c r="B706" s="304">
        <f t="shared" ca="1" si="297"/>
        <v>37.119700000000876</v>
      </c>
      <c r="D706" s="306">
        <f t="shared" ca="1" si="298"/>
        <v>-0.64210475513091025</v>
      </c>
      <c r="E706" s="307">
        <f t="shared" ca="1" si="299"/>
        <v>-0.57784232786116263</v>
      </c>
      <c r="F706" s="304">
        <f t="shared" ca="1" si="300"/>
        <v>0.86382884440711616</v>
      </c>
      <c r="G706" s="306">
        <f t="shared" ca="1" si="301"/>
        <v>7.2296692091503516</v>
      </c>
      <c r="H706" s="307">
        <f t="shared" ca="1" si="302"/>
        <v>-103.94888906785943</v>
      </c>
      <c r="I706" s="304">
        <f t="shared" ca="1" si="303"/>
        <v>104.19999834604548</v>
      </c>
      <c r="J706" s="306">
        <f t="shared" ca="1" si="304"/>
        <v>837.4075040097224</v>
      </c>
      <c r="K706" s="307">
        <f t="shared" ca="1" si="305"/>
        <v>-12.381881024865306</v>
      </c>
      <c r="L706" s="304">
        <f t="shared" ca="1" si="290"/>
        <v>837.49903805885481</v>
      </c>
      <c r="M706" s="306">
        <f t="shared" ca="1" si="306"/>
        <v>-1.5013579153927459</v>
      </c>
      <c r="N706" s="304">
        <f t="shared" ca="1" si="307"/>
        <v>-86.021472090563677</v>
      </c>
      <c r="P706" s="310">
        <f t="shared" ca="1" si="308"/>
        <v>23</v>
      </c>
      <c r="Q706" s="304">
        <f t="shared" ca="1" si="309"/>
        <v>0</v>
      </c>
      <c r="R706" s="306">
        <f t="shared" ca="1" si="310"/>
        <v>0</v>
      </c>
      <c r="S706" s="307">
        <f t="shared" ca="1" si="311"/>
        <v>2.9362999999999984</v>
      </c>
      <c r="T706" s="304">
        <f t="shared" ca="1" si="291"/>
        <v>28.805102999999985</v>
      </c>
      <c r="U706" s="311">
        <f t="shared" ca="1" si="292"/>
        <v>0</v>
      </c>
      <c r="V706" s="306">
        <f t="shared" ca="1" si="293"/>
        <v>1.2265177200369926</v>
      </c>
      <c r="W706" s="304">
        <f t="shared" ca="1" si="294"/>
        <v>27.173927507325732</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0.53189844157054011</v>
      </c>
      <c r="AH706" s="304">
        <f t="shared" ca="1" si="318"/>
        <v>-9.254460211151903</v>
      </c>
    </row>
    <row r="707" spans="1:34" x14ac:dyDescent="0.2">
      <c r="A707" s="347">
        <f t="shared" ca="1" si="296"/>
        <v>1E-4</v>
      </c>
      <c r="B707" s="304">
        <f t="shared" ca="1" si="297"/>
        <v>37.119800000000879</v>
      </c>
      <c r="D707" s="306">
        <f t="shared" ca="1" si="298"/>
        <v>-0.64210004753445782</v>
      </c>
      <c r="E707" s="307">
        <f t="shared" ca="1" si="299"/>
        <v>-0.57782288639858947</v>
      </c>
      <c r="F707" s="304">
        <f t="shared" ca="1" si="300"/>
        <v>0.86381234020460151</v>
      </c>
      <c r="G707" s="306">
        <f t="shared" ca="1" si="301"/>
        <v>7.2296049991455984</v>
      </c>
      <c r="H707" s="307">
        <f t="shared" ca="1" si="302"/>
        <v>-103.94894685014806</v>
      </c>
      <c r="I707" s="304">
        <f t="shared" ca="1" si="303"/>
        <v>104.20005153404954</v>
      </c>
      <c r="J707" s="306">
        <f t="shared" ca="1" si="304"/>
        <v>837.4075040097224</v>
      </c>
      <c r="K707" s="307">
        <f t="shared" ca="1" si="305"/>
        <v>-12.392275916661207</v>
      </c>
      <c r="L707" s="304">
        <f t="shared" ca="1" si="290"/>
        <v>837.49919180509539</v>
      </c>
      <c r="M707" s="306">
        <f t="shared" ca="1" si="306"/>
        <v>-1.501358568601187</v>
      </c>
      <c r="N707" s="304">
        <f t="shared" ca="1" si="307"/>
        <v>-86.021509516650497</v>
      </c>
      <c r="P707" s="310">
        <f t="shared" ca="1" si="308"/>
        <v>23</v>
      </c>
      <c r="Q707" s="304">
        <f t="shared" ca="1" si="309"/>
        <v>0</v>
      </c>
      <c r="R707" s="306">
        <f t="shared" ca="1" si="310"/>
        <v>0</v>
      </c>
      <c r="S707" s="307">
        <f t="shared" ca="1" si="311"/>
        <v>2.9362999999999984</v>
      </c>
      <c r="T707" s="304">
        <f t="shared" ca="1" si="291"/>
        <v>28.805102999999985</v>
      </c>
      <c r="U707" s="311">
        <f t="shared" ca="1" si="292"/>
        <v>0</v>
      </c>
      <c r="V707" s="306">
        <f t="shared" ca="1" si="293"/>
        <v>1.2265189949900426</v>
      </c>
      <c r="W707" s="304">
        <f t="shared" ca="1" si="294"/>
        <v>27.173983495791724</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0.53187981819547403</v>
      </c>
      <c r="AH707" s="304">
        <f t="shared" ca="1" si="318"/>
        <v>-9.2544792791355608</v>
      </c>
    </row>
    <row r="708" spans="1:34" x14ac:dyDescent="0.2">
      <c r="A708" s="347">
        <f t="shared" ca="1" si="296"/>
        <v>1E-4</v>
      </c>
      <c r="B708" s="304">
        <f t="shared" ca="1" si="297"/>
        <v>37.119900000000882</v>
      </c>
      <c r="D708" s="306">
        <f t="shared" ca="1" si="298"/>
        <v>-0.64209533995240864</v>
      </c>
      <c r="E708" s="307">
        <f t="shared" ca="1" si="299"/>
        <v>-0.57780344523266436</v>
      </c>
      <c r="F708" s="304">
        <f t="shared" ca="1" si="300"/>
        <v>0.86379583635911084</v>
      </c>
      <c r="G708" s="306">
        <f t="shared" ca="1" si="301"/>
        <v>7.2295407896116028</v>
      </c>
      <c r="H708" s="307">
        <f t="shared" ca="1" si="302"/>
        <v>-103.94900463049258</v>
      </c>
      <c r="I708" s="304">
        <f t="shared" ca="1" si="303"/>
        <v>104.20010472019128</v>
      </c>
      <c r="J708" s="306">
        <f t="shared" ca="1" si="304"/>
        <v>837.4075040097224</v>
      </c>
      <c r="K708" s="307">
        <f t="shared" ca="1" si="305"/>
        <v>-12.40267081423524</v>
      </c>
      <c r="L708" s="304">
        <f t="shared" ref="L708:L771" ca="1" si="319">SQRT(pos_x^2+pos_z^2)</f>
        <v>837.49934568041283</v>
      </c>
      <c r="M708" s="306">
        <f t="shared" ca="1" si="306"/>
        <v>-1.5013592218031599</v>
      </c>
      <c r="N708" s="304">
        <f t="shared" ca="1" si="307"/>
        <v>-86.021546942366712</v>
      </c>
      <c r="P708" s="310">
        <f t="shared" ca="1" si="308"/>
        <v>23</v>
      </c>
      <c r="Q708" s="304">
        <f t="shared" ca="1" si="309"/>
        <v>0</v>
      </c>
      <c r="R708" s="306">
        <f t="shared" ca="1" si="310"/>
        <v>0</v>
      </c>
      <c r="S708" s="307">
        <f t="shared" ca="1" si="311"/>
        <v>2.9362999999999984</v>
      </c>
      <c r="T708" s="304">
        <f t="shared" ref="T708:T771" ca="1" si="320">m*g</f>
        <v>28.805102999999985</v>
      </c>
      <c r="U708" s="311">
        <f t="shared" ref="U708:U771" ca="1" si="321">IF(pos_xz&lt;L_rampe,Poids*COS(Beta),0)</f>
        <v>0</v>
      </c>
      <c r="V708" s="306">
        <f t="shared" ref="V708:V771" ca="1" si="322">Rho_moyen*(20000-Alt_rampe-pos_z)/(20000+Alt_rampe+pos_z)</f>
        <v>1.2265202699451276</v>
      </c>
      <c r="W708" s="304">
        <f t="shared" ref="W708:W771" ca="1" si="323">1/2*Rho*Sref*Cx*vit_xz^2</f>
        <v>27.174039483403298</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0.53186119510281671</v>
      </c>
      <c r="AH708" s="304">
        <f t="shared" ca="1" si="318"/>
        <v>-9.2544983468282318</v>
      </c>
    </row>
    <row r="709" spans="1:34" x14ac:dyDescent="0.2">
      <c r="A709" s="347">
        <f t="shared" ref="A709:A772" ca="1" si="325">IF(B708+0.01&lt;=T_ini+ROUNDUP(Temps_fin_propu,0), 0.01, IF(K708&gt;0, 0.1, 0.0001))</f>
        <v>1E-4</v>
      </c>
      <c r="B709" s="304">
        <f t="shared" ref="B709:B772" ca="1" si="326">B708+pas</f>
        <v>37.120000000000886</v>
      </c>
      <c r="D709" s="306">
        <f t="shared" ref="D709:D772" ca="1" si="327">IF(AND(L708&lt;L_rampe,Poussee&lt;Poids*SIN(M708)),0,(-W708+Poussee)/m*COS(M708)-U708/m*SIN(M708))</f>
        <v>-0.64209063238476183</v>
      </c>
      <c r="E709" s="307">
        <f t="shared" ref="E709:E772" ca="1" si="328">IF(AND(L708&lt;L_rampe,Poussee&lt;Poids*SIN(M708)),0,(-W708+Poussee)/m*SIN(M708)+U708/m*COS(M708)-Poids/m)</f>
        <v>-0.57778400436338551</v>
      </c>
      <c r="F709" s="304">
        <f t="shared" ref="F709:F772" ca="1" si="329">SQRT(acc_x^2+acc_z^2)</f>
        <v>0.86377933287064235</v>
      </c>
      <c r="G709" s="306">
        <f t="shared" ref="G709:G772" ca="1" si="330">G708+acc_x*pas</f>
        <v>7.2294765805483641</v>
      </c>
      <c r="H709" s="307">
        <f t="shared" ref="H709:H772" ca="1" si="331">H708+acc_z*pas</f>
        <v>-103.94906240889301</v>
      </c>
      <c r="I709" s="304">
        <f t="shared" ref="I709:I772" ca="1" si="332">SQRT(vit_x^2+vit_z^2)</f>
        <v>104.20015790447071</v>
      </c>
      <c r="J709" s="306">
        <f t="shared" ref="J709:J772" ca="1" si="333">J708+0.5*(vit_x+G708)*pas*(K708&gt;=0)</f>
        <v>837.4075040097224</v>
      </c>
      <c r="K709" s="307">
        <f t="shared" ref="K709:K772" ca="1" si="334">K708+0.5*(vit_z+H708)*pas</f>
        <v>-12.413065717587209</v>
      </c>
      <c r="L709" s="304">
        <f t="shared" ca="1" si="319"/>
        <v>837.49949968480723</v>
      </c>
      <c r="M709" s="306">
        <f t="shared" ref="M709:M772" ca="1" si="335">IF(AND(L708&gt;L_rampe,G709&gt;0),ATAN2(G709,H709),$M$4)</f>
        <v>-1.5013598749986645</v>
      </c>
      <c r="N709" s="304">
        <f t="shared" ref="N709:N772" ca="1" si="336">DEGREES(Beta)</f>
        <v>-86.021584367712322</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2.9362999999999984</v>
      </c>
      <c r="T709" s="304">
        <f t="shared" ca="1" si="320"/>
        <v>28.805102999999985</v>
      </c>
      <c r="U709" s="311">
        <f t="shared" ca="1" si="321"/>
        <v>0</v>
      </c>
      <c r="V709" s="306">
        <f t="shared" ca="1" si="322"/>
        <v>1.226521544902248</v>
      </c>
      <c r="W709" s="304">
        <f t="shared" ca="1" si="323"/>
        <v>27.174095470160459</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0.53184257229256282</v>
      </c>
      <c r="AH709" s="304">
        <f t="shared" ref="AH709:AH772" ca="1" si="347">IF(AND(L708&lt;L_rampe,Poussee&lt;Poids*SIN(M708)), g*SIN(M708), (-W708+Poussee)/m)</f>
        <v>-9.2545174142299196</v>
      </c>
    </row>
    <row r="710" spans="1:34" x14ac:dyDescent="0.2">
      <c r="A710" s="347">
        <f t="shared" ca="1" si="325"/>
        <v>1E-4</v>
      </c>
      <c r="B710" s="304">
        <f t="shared" ca="1" si="326"/>
        <v>37.120100000000889</v>
      </c>
      <c r="D710" s="306">
        <f t="shared" ca="1" si="327"/>
        <v>-0.64208592483152027</v>
      </c>
      <c r="E710" s="307">
        <f t="shared" ca="1" si="328"/>
        <v>-0.57776456379075292</v>
      </c>
      <c r="F710" s="304">
        <f t="shared" ca="1" si="329"/>
        <v>0.8637628297391986</v>
      </c>
      <c r="G710" s="306">
        <f t="shared" ca="1" si="330"/>
        <v>7.2294123719558812</v>
      </c>
      <c r="H710" s="307">
        <f t="shared" ca="1" si="331"/>
        <v>-103.94912018534939</v>
      </c>
      <c r="I710" s="304">
        <f t="shared" ca="1" si="332"/>
        <v>104.20021108688792</v>
      </c>
      <c r="J710" s="306">
        <f t="shared" ca="1" si="333"/>
        <v>837.4075040097224</v>
      </c>
      <c r="K710" s="307">
        <f t="shared" ca="1" si="334"/>
        <v>-12.423460626716921</v>
      </c>
      <c r="L710" s="304">
        <f t="shared" ca="1" si="319"/>
        <v>837.49965381827872</v>
      </c>
      <c r="M710" s="306">
        <f t="shared" ca="1" si="335"/>
        <v>-1.5013605281877012</v>
      </c>
      <c r="N710" s="304">
        <f t="shared" ca="1" si="336"/>
        <v>-86.021621792687341</v>
      </c>
      <c r="P710" s="310">
        <f t="shared" ca="1" si="337"/>
        <v>23</v>
      </c>
      <c r="Q710" s="304">
        <f t="shared" ca="1" si="338"/>
        <v>0</v>
      </c>
      <c r="R710" s="306">
        <f t="shared" ca="1" si="339"/>
        <v>0</v>
      </c>
      <c r="S710" s="307">
        <f t="shared" ca="1" si="340"/>
        <v>2.9362999999999984</v>
      </c>
      <c r="T710" s="304">
        <f t="shared" ca="1" si="320"/>
        <v>28.805102999999985</v>
      </c>
      <c r="U710" s="311">
        <f t="shared" ca="1" si="321"/>
        <v>0</v>
      </c>
      <c r="V710" s="306">
        <f t="shared" ca="1" si="322"/>
        <v>1.2265228198614024</v>
      </c>
      <c r="W710" s="304">
        <f t="shared" ca="1" si="323"/>
        <v>27.174151456063225</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0.53182394976471592</v>
      </c>
      <c r="AH710" s="304">
        <f t="shared" ca="1" si="347"/>
        <v>-9.2545364813406241</v>
      </c>
    </row>
    <row r="711" spans="1:34" x14ac:dyDescent="0.2">
      <c r="A711" s="347">
        <f t="shared" ca="1" si="325"/>
        <v>1E-4</v>
      </c>
      <c r="B711" s="304">
        <f t="shared" ca="1" si="326"/>
        <v>37.120200000000892</v>
      </c>
      <c r="D711" s="306">
        <f t="shared" ca="1" si="327"/>
        <v>-0.64208121729268131</v>
      </c>
      <c r="E711" s="307">
        <f t="shared" ca="1" si="328"/>
        <v>-0.57774512351476126</v>
      </c>
      <c r="F711" s="304">
        <f t="shared" ca="1" si="329"/>
        <v>0.86374632696477394</v>
      </c>
      <c r="G711" s="306">
        <f t="shared" ca="1" si="330"/>
        <v>7.2293481638341515</v>
      </c>
      <c r="H711" s="307">
        <f t="shared" ca="1" si="331"/>
        <v>-103.94917795986174</v>
      </c>
      <c r="I711" s="304">
        <f t="shared" ca="1" si="332"/>
        <v>104.2002642674429</v>
      </c>
      <c r="J711" s="306">
        <f t="shared" ca="1" si="333"/>
        <v>837.4075040097224</v>
      </c>
      <c r="K711" s="307">
        <f t="shared" ca="1" si="334"/>
        <v>-12.433855541624181</v>
      </c>
      <c r="L711" s="304">
        <f t="shared" ca="1" si="319"/>
        <v>837.49980808082773</v>
      </c>
      <c r="M711" s="306">
        <f t="shared" ca="1" si="335"/>
        <v>-1.5013611813702696</v>
      </c>
      <c r="N711" s="304">
        <f t="shared" ca="1" si="336"/>
        <v>-86.02165921729177</v>
      </c>
      <c r="P711" s="310">
        <f t="shared" ca="1" si="337"/>
        <v>23</v>
      </c>
      <c r="Q711" s="304">
        <f t="shared" ca="1" si="338"/>
        <v>0</v>
      </c>
      <c r="R711" s="306">
        <f t="shared" ca="1" si="339"/>
        <v>0</v>
      </c>
      <c r="S711" s="307">
        <f t="shared" ca="1" si="340"/>
        <v>2.9362999999999984</v>
      </c>
      <c r="T711" s="304">
        <f t="shared" ca="1" si="320"/>
        <v>28.805102999999985</v>
      </c>
      <c r="U711" s="311">
        <f t="shared" ca="1" si="321"/>
        <v>0</v>
      </c>
      <c r="V711" s="306">
        <f t="shared" ca="1" si="322"/>
        <v>1.2265240948225919</v>
      </c>
      <c r="W711" s="304">
        <f t="shared" ca="1" si="323"/>
        <v>27.174207441111623</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0.53180532751926712</v>
      </c>
      <c r="AH711" s="304">
        <f t="shared" ca="1" si="347"/>
        <v>-9.2545555481603508</v>
      </c>
    </row>
    <row r="712" spans="1:34" x14ac:dyDescent="0.2">
      <c r="A712" s="347">
        <f t="shared" ca="1" si="325"/>
        <v>1E-4</v>
      </c>
      <c r="B712" s="304">
        <f t="shared" ca="1" si="326"/>
        <v>37.120300000000896</v>
      </c>
      <c r="D712" s="306">
        <f t="shared" ca="1" si="327"/>
        <v>-0.64207650976824882</v>
      </c>
      <c r="E712" s="307">
        <f t="shared" ca="1" si="328"/>
        <v>-0.5777256835353981</v>
      </c>
      <c r="F712" s="304">
        <f t="shared" ca="1" si="329"/>
        <v>0.86372982454736336</v>
      </c>
      <c r="G712" s="306">
        <f t="shared" ca="1" si="330"/>
        <v>7.229283956183175</v>
      </c>
      <c r="H712" s="307">
        <f t="shared" ca="1" si="331"/>
        <v>-103.9492357324301</v>
      </c>
      <c r="I712" s="304">
        <f t="shared" ca="1" si="332"/>
        <v>104.20031744613568</v>
      </c>
      <c r="J712" s="306">
        <f t="shared" ca="1" si="333"/>
        <v>837.4075040097224</v>
      </c>
      <c r="K712" s="307">
        <f t="shared" ca="1" si="334"/>
        <v>-12.444250462308796</v>
      </c>
      <c r="L712" s="304">
        <f t="shared" ca="1" si="319"/>
        <v>837.49996247245406</v>
      </c>
      <c r="M712" s="306">
        <f t="shared" ca="1" si="335"/>
        <v>-1.5013618345463702</v>
      </c>
      <c r="N712" s="304">
        <f t="shared" ca="1" si="336"/>
        <v>-86.021696641525608</v>
      </c>
      <c r="P712" s="310">
        <f t="shared" ca="1" si="337"/>
        <v>23</v>
      </c>
      <c r="Q712" s="304">
        <f t="shared" ca="1" si="338"/>
        <v>0</v>
      </c>
      <c r="R712" s="306">
        <f t="shared" ca="1" si="339"/>
        <v>0</v>
      </c>
      <c r="S712" s="307">
        <f t="shared" ca="1" si="340"/>
        <v>2.9362999999999984</v>
      </c>
      <c r="T712" s="304">
        <f t="shared" ca="1" si="320"/>
        <v>28.805102999999985</v>
      </c>
      <c r="U712" s="311">
        <f t="shared" ca="1" si="321"/>
        <v>0</v>
      </c>
      <c r="V712" s="306">
        <f t="shared" ca="1" si="322"/>
        <v>1.2265253697858158</v>
      </c>
      <c r="W712" s="304">
        <f t="shared" ca="1" si="323"/>
        <v>27.174263425305615</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0.53178670555620755</v>
      </c>
      <c r="AH712" s="304">
        <f t="shared" ca="1" si="347"/>
        <v>-9.2545746146891119</v>
      </c>
    </row>
    <row r="713" spans="1:34" x14ac:dyDescent="0.2">
      <c r="A713" s="347">
        <f t="shared" ca="1" si="325"/>
        <v>1E-4</v>
      </c>
      <c r="B713" s="304">
        <f t="shared" ca="1" si="326"/>
        <v>37.120400000000899</v>
      </c>
      <c r="D713" s="306">
        <f t="shared" ca="1" si="327"/>
        <v>-0.64207180225822047</v>
      </c>
      <c r="E713" s="307">
        <f t="shared" ca="1" si="328"/>
        <v>-0.57770624385267766</v>
      </c>
      <c r="F713" s="304">
        <f t="shared" ca="1" si="329"/>
        <v>0.86371332248697474</v>
      </c>
      <c r="G713" s="306">
        <f t="shared" ca="1" si="330"/>
        <v>7.2292197490029491</v>
      </c>
      <c r="H713" s="307">
        <f t="shared" ca="1" si="331"/>
        <v>-103.94929350305448</v>
      </c>
      <c r="I713" s="304">
        <f t="shared" ca="1" si="332"/>
        <v>104.2003706229663</v>
      </c>
      <c r="J713" s="306">
        <f t="shared" ca="1" si="333"/>
        <v>837.4075040097224</v>
      </c>
      <c r="K713" s="307">
        <f t="shared" ca="1" si="334"/>
        <v>-12.454645388770571</v>
      </c>
      <c r="L713" s="304">
        <f t="shared" ca="1" si="319"/>
        <v>837.50011699315792</v>
      </c>
      <c r="M713" s="306">
        <f t="shared" ca="1" si="335"/>
        <v>-1.501362487716003</v>
      </c>
      <c r="N713" s="304">
        <f t="shared" ca="1" si="336"/>
        <v>-86.02173406538887</v>
      </c>
      <c r="P713" s="310">
        <f t="shared" ca="1" si="337"/>
        <v>23</v>
      </c>
      <c r="Q713" s="304">
        <f t="shared" ca="1" si="338"/>
        <v>0</v>
      </c>
      <c r="R713" s="306">
        <f t="shared" ca="1" si="339"/>
        <v>0</v>
      </c>
      <c r="S713" s="307">
        <f t="shared" ca="1" si="340"/>
        <v>2.9362999999999984</v>
      </c>
      <c r="T713" s="304">
        <f t="shared" ca="1" si="320"/>
        <v>28.805102999999985</v>
      </c>
      <c r="U713" s="311">
        <f t="shared" ca="1" si="321"/>
        <v>0</v>
      </c>
      <c r="V713" s="306">
        <f t="shared" ca="1" si="322"/>
        <v>1.226526644751075</v>
      </c>
      <c r="W713" s="304">
        <f t="shared" ca="1" si="323"/>
        <v>27.174319408645275</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0.53176808387555141</v>
      </c>
      <c r="AH713" s="304">
        <f t="shared" ca="1" si="347"/>
        <v>-9.2545936809268916</v>
      </c>
    </row>
    <row r="714" spans="1:34" x14ac:dyDescent="0.2">
      <c r="A714" s="347">
        <f t="shared" ca="1" si="325"/>
        <v>1E-4</v>
      </c>
      <c r="B714" s="304">
        <f t="shared" ca="1" si="326"/>
        <v>37.120500000000902</v>
      </c>
      <c r="D714" s="306">
        <f t="shared" ca="1" si="327"/>
        <v>-0.64206709476259705</v>
      </c>
      <c r="E714" s="307">
        <f t="shared" ca="1" si="328"/>
        <v>-0.57768680446657861</v>
      </c>
      <c r="F714" s="304">
        <f t="shared" ca="1" si="329"/>
        <v>0.86369682078359467</v>
      </c>
      <c r="G714" s="306">
        <f t="shared" ca="1" si="330"/>
        <v>7.2291555422934728</v>
      </c>
      <c r="H714" s="307">
        <f t="shared" ca="1" si="331"/>
        <v>-103.94935127173493</v>
      </c>
      <c r="I714" s="304">
        <f t="shared" ca="1" si="332"/>
        <v>104.20042379793477</v>
      </c>
      <c r="J714" s="306">
        <f t="shared" ca="1" si="333"/>
        <v>837.4075040097224</v>
      </c>
      <c r="K714" s="307">
        <f t="shared" ca="1" si="334"/>
        <v>-12.46504032100931</v>
      </c>
      <c r="L714" s="304">
        <f t="shared" ca="1" si="319"/>
        <v>837.50027164293965</v>
      </c>
      <c r="M714" s="306">
        <f t="shared" ca="1" si="335"/>
        <v>-1.5013631408791679</v>
      </c>
      <c r="N714" s="304">
        <f t="shared" ca="1" si="336"/>
        <v>-86.021771488881555</v>
      </c>
      <c r="P714" s="310">
        <f t="shared" ca="1" si="337"/>
        <v>23</v>
      </c>
      <c r="Q714" s="304">
        <f t="shared" ca="1" si="338"/>
        <v>0</v>
      </c>
      <c r="R714" s="306">
        <f t="shared" ca="1" si="339"/>
        <v>0</v>
      </c>
      <c r="S714" s="307">
        <f t="shared" ca="1" si="340"/>
        <v>2.9362999999999984</v>
      </c>
      <c r="T714" s="304">
        <f t="shared" ca="1" si="320"/>
        <v>28.805102999999985</v>
      </c>
      <c r="U714" s="311">
        <f t="shared" ca="1" si="321"/>
        <v>0</v>
      </c>
      <c r="V714" s="306">
        <f t="shared" ca="1" si="322"/>
        <v>1.2265279197183687</v>
      </c>
      <c r="W714" s="304">
        <f t="shared" ca="1" si="323"/>
        <v>27.174375391130557</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0.53174946247727384</v>
      </c>
      <c r="AH714" s="304">
        <f t="shared" ca="1" si="347"/>
        <v>-9.2546127468737147</v>
      </c>
    </row>
    <row r="715" spans="1:34" x14ac:dyDescent="0.2">
      <c r="A715" s="347">
        <f t="shared" ca="1" si="325"/>
        <v>1E-4</v>
      </c>
      <c r="B715" s="304">
        <f t="shared" ca="1" si="326"/>
        <v>37.120600000000906</v>
      </c>
      <c r="D715" s="306">
        <f t="shared" ca="1" si="327"/>
        <v>-0.64206238728138043</v>
      </c>
      <c r="E715" s="307">
        <f t="shared" ca="1" si="328"/>
        <v>-0.57766736537710806</v>
      </c>
      <c r="F715" s="304">
        <f t="shared" ca="1" si="329"/>
        <v>0.86368031943722945</v>
      </c>
      <c r="G715" s="306">
        <f t="shared" ca="1" si="330"/>
        <v>7.2290913360547444</v>
      </c>
      <c r="H715" s="307">
        <f t="shared" ca="1" si="331"/>
        <v>-103.94940903847146</v>
      </c>
      <c r="I715" s="304">
        <f t="shared" ca="1" si="332"/>
        <v>104.20047697104114</v>
      </c>
      <c r="J715" s="306">
        <f t="shared" ca="1" si="333"/>
        <v>837.4075040097224</v>
      </c>
      <c r="K715" s="307">
        <f t="shared" ca="1" si="334"/>
        <v>-12.47543525902482</v>
      </c>
      <c r="L715" s="304">
        <f t="shared" ca="1" si="319"/>
        <v>837.50042642179915</v>
      </c>
      <c r="M715" s="306">
        <f t="shared" ca="1" si="335"/>
        <v>-1.5013637940358651</v>
      </c>
      <c r="N715" s="304">
        <f t="shared" ca="1" si="336"/>
        <v>-86.021808912003664</v>
      </c>
      <c r="P715" s="310">
        <f t="shared" ca="1" si="337"/>
        <v>23</v>
      </c>
      <c r="Q715" s="304">
        <f t="shared" ca="1" si="338"/>
        <v>0</v>
      </c>
      <c r="R715" s="306">
        <f t="shared" ca="1" si="339"/>
        <v>0</v>
      </c>
      <c r="S715" s="307">
        <f t="shared" ca="1" si="340"/>
        <v>2.9362999999999984</v>
      </c>
      <c r="T715" s="304">
        <f t="shared" ca="1" si="320"/>
        <v>28.805102999999985</v>
      </c>
      <c r="U715" s="311">
        <f t="shared" ca="1" si="321"/>
        <v>0</v>
      </c>
      <c r="V715" s="306">
        <f t="shared" ca="1" si="322"/>
        <v>1.2265291946876968</v>
      </c>
      <c r="W715" s="304">
        <f t="shared" ca="1" si="323"/>
        <v>27.1744313727615</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0.53173084136139082</v>
      </c>
      <c r="AH715" s="304">
        <f t="shared" ca="1" si="347"/>
        <v>-9.2546318125295688</v>
      </c>
    </row>
    <row r="716" spans="1:34" x14ac:dyDescent="0.2">
      <c r="A716" s="347">
        <f t="shared" ca="1" si="325"/>
        <v>1E-4</v>
      </c>
      <c r="B716" s="304">
        <f t="shared" ca="1" si="326"/>
        <v>37.120700000000909</v>
      </c>
      <c r="D716" s="306">
        <f t="shared" ca="1" si="327"/>
        <v>-0.64205767981457063</v>
      </c>
      <c r="E716" s="307">
        <f t="shared" ca="1" si="328"/>
        <v>-0.57764792658426067</v>
      </c>
      <c r="F716" s="304">
        <f t="shared" ca="1" si="329"/>
        <v>0.86366381844787565</v>
      </c>
      <c r="G716" s="306">
        <f t="shared" ca="1" si="330"/>
        <v>7.229027130286763</v>
      </c>
      <c r="H716" s="307">
        <f t="shared" ca="1" si="331"/>
        <v>-103.94946680326412</v>
      </c>
      <c r="I716" s="304">
        <f t="shared" ca="1" si="332"/>
        <v>104.2005301422854</v>
      </c>
      <c r="J716" s="306">
        <f t="shared" ca="1" si="333"/>
        <v>837.4075040097224</v>
      </c>
      <c r="K716" s="307">
        <f t="shared" ca="1" si="334"/>
        <v>-12.485830202816906</v>
      </c>
      <c r="L716" s="304">
        <f t="shared" ca="1" si="319"/>
        <v>837.50058132973663</v>
      </c>
      <c r="M716" s="306">
        <f t="shared" ca="1" si="335"/>
        <v>-1.5013644471860945</v>
      </c>
      <c r="N716" s="304">
        <f t="shared" ca="1" si="336"/>
        <v>-86.021846334755196</v>
      </c>
      <c r="P716" s="310">
        <f t="shared" ca="1" si="337"/>
        <v>23</v>
      </c>
      <c r="Q716" s="304">
        <f t="shared" ca="1" si="338"/>
        <v>0</v>
      </c>
      <c r="R716" s="306">
        <f t="shared" ca="1" si="339"/>
        <v>0</v>
      </c>
      <c r="S716" s="307">
        <f t="shared" ca="1" si="340"/>
        <v>2.9362999999999984</v>
      </c>
      <c r="T716" s="304">
        <f t="shared" ca="1" si="320"/>
        <v>28.805102999999985</v>
      </c>
      <c r="U716" s="311">
        <f t="shared" ca="1" si="321"/>
        <v>0</v>
      </c>
      <c r="V716" s="306">
        <f t="shared" ca="1" si="322"/>
        <v>1.2265304696590595</v>
      </c>
      <c r="W716" s="304">
        <f t="shared" ca="1" si="323"/>
        <v>27.174487353538083</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0.53171222052788814</v>
      </c>
      <c r="AH716" s="304">
        <f t="shared" ca="1" si="347"/>
        <v>-9.2546508778944645</v>
      </c>
    </row>
    <row r="717" spans="1:34" x14ac:dyDescent="0.2">
      <c r="A717" s="347">
        <f t="shared" ca="1" si="325"/>
        <v>1E-4</v>
      </c>
      <c r="B717" s="304">
        <f t="shared" ca="1" si="326"/>
        <v>37.120800000000912</v>
      </c>
      <c r="D717" s="306">
        <f t="shared" ca="1" si="327"/>
        <v>-0.64205297236216763</v>
      </c>
      <c r="E717" s="307">
        <f t="shared" ca="1" si="328"/>
        <v>-0.57762848808804002</v>
      </c>
      <c r="F717" s="304">
        <f t="shared" ca="1" si="329"/>
        <v>0.86364731781553594</v>
      </c>
      <c r="G717" s="306">
        <f t="shared" ca="1" si="330"/>
        <v>7.2289629249895269</v>
      </c>
      <c r="H717" s="307">
        <f t="shared" ca="1" si="331"/>
        <v>-103.94952456611293</v>
      </c>
      <c r="I717" s="304">
        <f t="shared" ca="1" si="332"/>
        <v>104.20058331166763</v>
      </c>
      <c r="J717" s="306">
        <f t="shared" ca="1" si="333"/>
        <v>837.4075040097224</v>
      </c>
      <c r="K717" s="307">
        <f t="shared" ca="1" si="334"/>
        <v>-12.496225152385374</v>
      </c>
      <c r="L717" s="304">
        <f t="shared" ca="1" si="319"/>
        <v>837.50073636675222</v>
      </c>
      <c r="M717" s="306">
        <f t="shared" ca="1" si="335"/>
        <v>-1.5013651003298565</v>
      </c>
      <c r="N717" s="304">
        <f t="shared" ca="1" si="336"/>
        <v>-86.02188375713618</v>
      </c>
      <c r="P717" s="310">
        <f t="shared" ca="1" si="337"/>
        <v>23</v>
      </c>
      <c r="Q717" s="304">
        <f t="shared" ca="1" si="338"/>
        <v>0</v>
      </c>
      <c r="R717" s="306">
        <f t="shared" ca="1" si="339"/>
        <v>0</v>
      </c>
      <c r="S717" s="307">
        <f t="shared" ca="1" si="340"/>
        <v>2.9362999999999984</v>
      </c>
      <c r="T717" s="304">
        <f t="shared" ca="1" si="320"/>
        <v>28.805102999999985</v>
      </c>
      <c r="U717" s="311">
        <f t="shared" ca="1" si="321"/>
        <v>0</v>
      </c>
      <c r="V717" s="306">
        <f t="shared" ca="1" si="322"/>
        <v>1.2265317446324575</v>
      </c>
      <c r="W717" s="304">
        <f t="shared" ca="1" si="323"/>
        <v>27.174543333460377</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0.5316935999767729</v>
      </c>
      <c r="AH717" s="304">
        <f t="shared" ca="1" si="347"/>
        <v>-9.2546699429683947</v>
      </c>
    </row>
    <row r="718" spans="1:34" x14ac:dyDescent="0.2">
      <c r="A718" s="347">
        <f t="shared" ca="1" si="325"/>
        <v>1E-4</v>
      </c>
      <c r="B718" s="304">
        <f t="shared" ca="1" si="326"/>
        <v>37.120900000000915</v>
      </c>
      <c r="D718" s="306">
        <f t="shared" ca="1" si="327"/>
        <v>-0.64204826492417255</v>
      </c>
      <c r="E718" s="307">
        <f t="shared" ca="1" si="328"/>
        <v>-0.57760904988842121</v>
      </c>
      <c r="F718" s="304">
        <f t="shared" ca="1" si="329"/>
        <v>0.86363081754019477</v>
      </c>
      <c r="G718" s="306">
        <f t="shared" ca="1" si="330"/>
        <v>7.2288987201630341</v>
      </c>
      <c r="H718" s="307">
        <f t="shared" ca="1" si="331"/>
        <v>-103.94958232701792</v>
      </c>
      <c r="I718" s="304">
        <f t="shared" ca="1" si="332"/>
        <v>104.20063647918784</v>
      </c>
      <c r="J718" s="306">
        <f t="shared" ca="1" si="333"/>
        <v>837.4075040097224</v>
      </c>
      <c r="K718" s="307">
        <f t="shared" ca="1" si="334"/>
        <v>-12.506620107730031</v>
      </c>
      <c r="L718" s="304">
        <f t="shared" ca="1" si="319"/>
        <v>837.50089153284625</v>
      </c>
      <c r="M718" s="306">
        <f t="shared" ca="1" si="335"/>
        <v>-1.501365753467151</v>
      </c>
      <c r="N718" s="304">
        <f t="shared" ca="1" si="336"/>
        <v>-86.021921179146588</v>
      </c>
      <c r="P718" s="310">
        <f t="shared" ca="1" si="337"/>
        <v>23</v>
      </c>
      <c r="Q718" s="304">
        <f t="shared" ca="1" si="338"/>
        <v>0</v>
      </c>
      <c r="R718" s="306">
        <f t="shared" ca="1" si="339"/>
        <v>0</v>
      </c>
      <c r="S718" s="307">
        <f t="shared" ca="1" si="340"/>
        <v>2.9362999999999984</v>
      </c>
      <c r="T718" s="304">
        <f t="shared" ca="1" si="320"/>
        <v>28.805102999999985</v>
      </c>
      <c r="U718" s="311">
        <f t="shared" ca="1" si="321"/>
        <v>0</v>
      </c>
      <c r="V718" s="306">
        <f t="shared" ca="1" si="322"/>
        <v>1.2265330196078899</v>
      </c>
      <c r="W718" s="304">
        <f t="shared" ca="1" si="323"/>
        <v>27.174599312528343</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0.53167497970802202</v>
      </c>
      <c r="AH718" s="304">
        <f t="shared" ca="1" si="347"/>
        <v>-9.2546890077513861</v>
      </c>
    </row>
    <row r="719" spans="1:34" x14ac:dyDescent="0.2">
      <c r="A719" s="347">
        <f t="shared" ca="1" si="325"/>
        <v>1E-4</v>
      </c>
      <c r="B719" s="304">
        <f t="shared" ca="1" si="326"/>
        <v>37.121000000000919</v>
      </c>
      <c r="D719" s="306">
        <f t="shared" ca="1" si="327"/>
        <v>-0.64204355750058506</v>
      </c>
      <c r="E719" s="307">
        <f t="shared" ca="1" si="328"/>
        <v>-0.57758961198542025</v>
      </c>
      <c r="F719" s="304">
        <f t="shared" ca="1" si="329"/>
        <v>0.86361431762186258</v>
      </c>
      <c r="G719" s="306">
        <f t="shared" ca="1" si="330"/>
        <v>7.228834515807284</v>
      </c>
      <c r="H719" s="307">
        <f t="shared" ca="1" si="331"/>
        <v>-103.94964008597913</v>
      </c>
      <c r="I719" s="304">
        <f t="shared" ca="1" si="332"/>
        <v>104.20068964484605</v>
      </c>
      <c r="J719" s="306">
        <f t="shared" ca="1" si="333"/>
        <v>837.4075040097224</v>
      </c>
      <c r="K719" s="307">
        <f t="shared" ca="1" si="334"/>
        <v>-12.51701506885068</v>
      </c>
      <c r="L719" s="304">
        <f t="shared" ca="1" si="319"/>
        <v>837.50104682801862</v>
      </c>
      <c r="M719" s="306">
        <f t="shared" ca="1" si="335"/>
        <v>-1.5013664065979782</v>
      </c>
      <c r="N719" s="304">
        <f t="shared" ca="1" si="336"/>
        <v>-86.021958600786462</v>
      </c>
      <c r="P719" s="310">
        <f t="shared" ca="1" si="337"/>
        <v>23</v>
      </c>
      <c r="Q719" s="304">
        <f t="shared" ca="1" si="338"/>
        <v>0</v>
      </c>
      <c r="R719" s="306">
        <f t="shared" ca="1" si="339"/>
        <v>0</v>
      </c>
      <c r="S719" s="307">
        <f t="shared" ca="1" si="340"/>
        <v>2.9362999999999984</v>
      </c>
      <c r="T719" s="304">
        <f t="shared" ca="1" si="320"/>
        <v>28.805102999999985</v>
      </c>
      <c r="U719" s="311">
        <f t="shared" ca="1" si="321"/>
        <v>0</v>
      </c>
      <c r="V719" s="306">
        <f t="shared" ca="1" si="322"/>
        <v>1.2265342945853566</v>
      </c>
      <c r="W719" s="304">
        <f t="shared" ca="1" si="323"/>
        <v>27.174655290742002</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0.53165635972164971</v>
      </c>
      <c r="AH719" s="304">
        <f t="shared" ca="1" si="347"/>
        <v>-9.254708072243421</v>
      </c>
    </row>
    <row r="720" spans="1:34" x14ac:dyDescent="0.2">
      <c r="A720" s="347">
        <f t="shared" ca="1" si="325"/>
        <v>1E-4</v>
      </c>
      <c r="B720" s="304">
        <f t="shared" ca="1" si="326"/>
        <v>37.121100000000922</v>
      </c>
      <c r="D720" s="306">
        <f t="shared" ca="1" si="327"/>
        <v>-0.64203885009140482</v>
      </c>
      <c r="E720" s="307">
        <f t="shared" ca="1" si="328"/>
        <v>-0.57757017437902647</v>
      </c>
      <c r="F720" s="304">
        <f t="shared" ca="1" si="329"/>
        <v>0.86359781806053237</v>
      </c>
      <c r="G720" s="306">
        <f t="shared" ca="1" si="330"/>
        <v>7.2287703119222746</v>
      </c>
      <c r="H720" s="307">
        <f t="shared" ca="1" si="331"/>
        <v>-103.94969784299657</v>
      </c>
      <c r="I720" s="304">
        <f t="shared" ca="1" si="332"/>
        <v>104.20074280864227</v>
      </c>
      <c r="J720" s="306">
        <f t="shared" ca="1" si="333"/>
        <v>837.4075040097224</v>
      </c>
      <c r="K720" s="307">
        <f t="shared" ca="1" si="334"/>
        <v>-12.527410035747129</v>
      </c>
      <c r="L720" s="304">
        <f t="shared" ca="1" si="319"/>
        <v>837.50120225226954</v>
      </c>
      <c r="M720" s="306">
        <f t="shared" ca="1" si="335"/>
        <v>-1.5013670597223379</v>
      </c>
      <c r="N720" s="304">
        <f t="shared" ca="1" si="336"/>
        <v>-86.021996022055774</v>
      </c>
      <c r="P720" s="310">
        <f t="shared" ca="1" si="337"/>
        <v>23</v>
      </c>
      <c r="Q720" s="304">
        <f t="shared" ca="1" si="338"/>
        <v>0</v>
      </c>
      <c r="R720" s="306">
        <f t="shared" ca="1" si="339"/>
        <v>0</v>
      </c>
      <c r="S720" s="307">
        <f t="shared" ca="1" si="340"/>
        <v>2.9362999999999984</v>
      </c>
      <c r="T720" s="304">
        <f t="shared" ca="1" si="320"/>
        <v>28.805102999999985</v>
      </c>
      <c r="U720" s="311">
        <f t="shared" ca="1" si="321"/>
        <v>0</v>
      </c>
      <c r="V720" s="306">
        <f t="shared" ca="1" si="322"/>
        <v>1.2265355695648579</v>
      </c>
      <c r="W720" s="304">
        <f t="shared" ca="1" si="323"/>
        <v>27.174711268101358</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0.5316377400176453</v>
      </c>
      <c r="AH720" s="304">
        <f t="shared" ca="1" si="347"/>
        <v>-9.2547271364445116</v>
      </c>
    </row>
    <row r="721" spans="1:34" x14ac:dyDescent="0.2">
      <c r="A721" s="347">
        <f t="shared" ca="1" si="325"/>
        <v>1E-4</v>
      </c>
      <c r="B721" s="304">
        <f t="shared" ca="1" si="326"/>
        <v>37.121200000000925</v>
      </c>
      <c r="D721" s="306">
        <f t="shared" ca="1" si="327"/>
        <v>-0.6420341426966345</v>
      </c>
      <c r="E721" s="307">
        <f t="shared" ca="1" si="328"/>
        <v>-0.57755073706924165</v>
      </c>
      <c r="F721" s="304">
        <f t="shared" ca="1" si="329"/>
        <v>0.86358131885620748</v>
      </c>
      <c r="G721" s="306">
        <f t="shared" ca="1" si="330"/>
        <v>7.2287061085080051</v>
      </c>
      <c r="H721" s="307">
        <f t="shared" ca="1" si="331"/>
        <v>-103.94975559807028</v>
      </c>
      <c r="I721" s="304">
        <f t="shared" ca="1" si="332"/>
        <v>104.20079597057656</v>
      </c>
      <c r="J721" s="306">
        <f t="shared" ca="1" si="333"/>
        <v>837.4075040097224</v>
      </c>
      <c r="K721" s="307">
        <f t="shared" ca="1" si="334"/>
        <v>-12.537805008419182</v>
      </c>
      <c r="L721" s="304">
        <f t="shared" ca="1" si="319"/>
        <v>837.50135780559924</v>
      </c>
      <c r="M721" s="306">
        <f t="shared" ca="1" si="335"/>
        <v>-1.5013677128402303</v>
      </c>
      <c r="N721" s="304">
        <f t="shared" ca="1" si="336"/>
        <v>-86.022033442954537</v>
      </c>
      <c r="P721" s="310">
        <f t="shared" ca="1" si="337"/>
        <v>23</v>
      </c>
      <c r="Q721" s="304">
        <f t="shared" ca="1" si="338"/>
        <v>0</v>
      </c>
      <c r="R721" s="306">
        <f t="shared" ca="1" si="339"/>
        <v>0</v>
      </c>
      <c r="S721" s="307">
        <f t="shared" ca="1" si="340"/>
        <v>2.9362999999999984</v>
      </c>
      <c r="T721" s="304">
        <f t="shared" ca="1" si="320"/>
        <v>28.805102999999985</v>
      </c>
      <c r="U721" s="311">
        <f t="shared" ca="1" si="321"/>
        <v>0</v>
      </c>
      <c r="V721" s="306">
        <f t="shared" ca="1" si="322"/>
        <v>1.2265368445463938</v>
      </c>
      <c r="W721" s="304">
        <f t="shared" ca="1" si="323"/>
        <v>27.174767244606432</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0.53161912059601413</v>
      </c>
      <c r="AH721" s="304">
        <f t="shared" ca="1" si="347"/>
        <v>-9.2547462003546546</v>
      </c>
    </row>
    <row r="722" spans="1:34" x14ac:dyDescent="0.2">
      <c r="A722" s="347">
        <f t="shared" ca="1" si="325"/>
        <v>1E-4</v>
      </c>
      <c r="B722" s="304">
        <f t="shared" ca="1" si="326"/>
        <v>37.121300000000929</v>
      </c>
      <c r="D722" s="306">
        <f t="shared" ca="1" si="327"/>
        <v>-0.64202943531627377</v>
      </c>
      <c r="E722" s="307">
        <f t="shared" ca="1" si="328"/>
        <v>-0.57753130005605513</v>
      </c>
      <c r="F722" s="304">
        <f t="shared" ca="1" si="329"/>
        <v>0.86356482000888068</v>
      </c>
      <c r="G722" s="306">
        <f t="shared" ca="1" si="330"/>
        <v>7.2286419055644737</v>
      </c>
      <c r="H722" s="307">
        <f t="shared" ca="1" si="331"/>
        <v>-103.94981335120029</v>
      </c>
      <c r="I722" s="304">
        <f t="shared" ca="1" si="332"/>
        <v>104.20084913064893</v>
      </c>
      <c r="J722" s="306">
        <f t="shared" ca="1" si="333"/>
        <v>837.4075040097224</v>
      </c>
      <c r="K722" s="307">
        <f t="shared" ca="1" si="334"/>
        <v>-12.548199986866646</v>
      </c>
      <c r="L722" s="304">
        <f t="shared" ca="1" si="319"/>
        <v>837.50151348800773</v>
      </c>
      <c r="M722" s="306">
        <f t="shared" ca="1" si="335"/>
        <v>-1.5013683659516557</v>
      </c>
      <c r="N722" s="304">
        <f t="shared" ca="1" si="336"/>
        <v>-86.022070863482753</v>
      </c>
      <c r="P722" s="310">
        <f t="shared" ca="1" si="337"/>
        <v>23</v>
      </c>
      <c r="Q722" s="304">
        <f t="shared" ca="1" si="338"/>
        <v>0</v>
      </c>
      <c r="R722" s="306">
        <f t="shared" ca="1" si="339"/>
        <v>0</v>
      </c>
      <c r="S722" s="307">
        <f t="shared" ca="1" si="340"/>
        <v>2.9362999999999984</v>
      </c>
      <c r="T722" s="304">
        <f t="shared" ca="1" si="320"/>
        <v>28.805102999999985</v>
      </c>
      <c r="U722" s="311">
        <f t="shared" ca="1" si="321"/>
        <v>0</v>
      </c>
      <c r="V722" s="306">
        <f t="shared" ca="1" si="322"/>
        <v>1.2265381195299647</v>
      </c>
      <c r="W722" s="304">
        <f t="shared" ca="1" si="323"/>
        <v>27.174823220257235</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0.53160050145674198</v>
      </c>
      <c r="AH722" s="304">
        <f t="shared" ca="1" si="347"/>
        <v>-9.2547652639738605</v>
      </c>
    </row>
    <row r="723" spans="1:34" x14ac:dyDescent="0.2">
      <c r="A723" s="347">
        <f t="shared" ca="1" si="325"/>
        <v>1E-4</v>
      </c>
      <c r="B723" s="304">
        <f t="shared" ca="1" si="326"/>
        <v>37.121400000000932</v>
      </c>
      <c r="D723" s="306">
        <f t="shared" ca="1" si="327"/>
        <v>-0.64202472795032195</v>
      </c>
      <c r="E723" s="307">
        <f t="shared" ca="1" si="328"/>
        <v>-0.57751186333946869</v>
      </c>
      <c r="F723" s="304">
        <f t="shared" ca="1" si="329"/>
        <v>0.86354832151855287</v>
      </c>
      <c r="G723" s="306">
        <f t="shared" ca="1" si="330"/>
        <v>7.2285777030916787</v>
      </c>
      <c r="H723" s="307">
        <f t="shared" ca="1" si="331"/>
        <v>-103.94987110238662</v>
      </c>
      <c r="I723" s="304">
        <f t="shared" ca="1" si="332"/>
        <v>104.20090228885941</v>
      </c>
      <c r="J723" s="306">
        <f t="shared" ca="1" si="333"/>
        <v>837.4075040097224</v>
      </c>
      <c r="K723" s="307">
        <f t="shared" ca="1" si="334"/>
        <v>-12.558594971089326</v>
      </c>
      <c r="L723" s="304">
        <f t="shared" ca="1" si="319"/>
        <v>837.50166929949523</v>
      </c>
      <c r="M723" s="306">
        <f t="shared" ca="1" si="335"/>
        <v>-1.5013690190566138</v>
      </c>
      <c r="N723" s="304">
        <f t="shared" ca="1" si="336"/>
        <v>-86.022108283640435</v>
      </c>
      <c r="P723" s="310">
        <f t="shared" ca="1" si="337"/>
        <v>23</v>
      </c>
      <c r="Q723" s="304">
        <f t="shared" ca="1" si="338"/>
        <v>0</v>
      </c>
      <c r="R723" s="306">
        <f t="shared" ca="1" si="339"/>
        <v>0</v>
      </c>
      <c r="S723" s="307">
        <f t="shared" ca="1" si="340"/>
        <v>2.9362999999999984</v>
      </c>
      <c r="T723" s="304">
        <f t="shared" ca="1" si="320"/>
        <v>28.805102999999985</v>
      </c>
      <c r="U723" s="311">
        <f t="shared" ca="1" si="321"/>
        <v>0</v>
      </c>
      <c r="V723" s="306">
        <f t="shared" ca="1" si="322"/>
        <v>1.2265393945155694</v>
      </c>
      <c r="W723" s="304">
        <f t="shared" ca="1" si="323"/>
        <v>27.174879195053748</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0.53158188259983064</v>
      </c>
      <c r="AH723" s="304">
        <f t="shared" ca="1" si="347"/>
        <v>-9.2547843273021311</v>
      </c>
    </row>
    <row r="724" spans="1:34" x14ac:dyDescent="0.2">
      <c r="A724" s="347">
        <f t="shared" ca="1" si="325"/>
        <v>1E-4</v>
      </c>
      <c r="B724" s="304">
        <f t="shared" ca="1" si="326"/>
        <v>37.121500000000935</v>
      </c>
      <c r="D724" s="306">
        <f t="shared" ca="1" si="327"/>
        <v>-0.64202002059878138</v>
      </c>
      <c r="E724" s="307">
        <f t="shared" ca="1" si="328"/>
        <v>-0.57749242691948055</v>
      </c>
      <c r="F724" s="304">
        <f t="shared" ca="1" si="329"/>
        <v>0.86353182338522494</v>
      </c>
      <c r="G724" s="306">
        <f t="shared" ca="1" si="330"/>
        <v>7.2285135010896191</v>
      </c>
      <c r="H724" s="307">
        <f t="shared" ca="1" si="331"/>
        <v>-103.94992885162931</v>
      </c>
      <c r="I724" s="304">
        <f t="shared" ca="1" si="332"/>
        <v>104.20095544520804</v>
      </c>
      <c r="J724" s="306">
        <f t="shared" ca="1" si="333"/>
        <v>837.4075040097224</v>
      </c>
      <c r="K724" s="307">
        <f t="shared" ca="1" si="334"/>
        <v>-12.568989961087027</v>
      </c>
      <c r="L724" s="304">
        <f t="shared" ca="1" si="319"/>
        <v>837.50182524006186</v>
      </c>
      <c r="M724" s="306">
        <f t="shared" ca="1" si="335"/>
        <v>-1.5013696721551051</v>
      </c>
      <c r="N724" s="304">
        <f t="shared" ca="1" si="336"/>
        <v>-86.022145703427597</v>
      </c>
      <c r="P724" s="310">
        <f t="shared" ca="1" si="337"/>
        <v>23</v>
      </c>
      <c r="Q724" s="304">
        <f t="shared" ca="1" si="338"/>
        <v>0</v>
      </c>
      <c r="R724" s="306">
        <f t="shared" ca="1" si="339"/>
        <v>0</v>
      </c>
      <c r="S724" s="307">
        <f t="shared" ca="1" si="340"/>
        <v>2.9362999999999984</v>
      </c>
      <c r="T724" s="304">
        <f t="shared" ca="1" si="320"/>
        <v>28.805102999999985</v>
      </c>
      <c r="U724" s="311">
        <f t="shared" ca="1" si="321"/>
        <v>0</v>
      </c>
      <c r="V724" s="306">
        <f t="shared" ca="1" si="322"/>
        <v>1.2265406695032093</v>
      </c>
      <c r="W724" s="304">
        <f t="shared" ca="1" si="323"/>
        <v>27.174935168996033</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0.53156326402528009</v>
      </c>
      <c r="AH724" s="304">
        <f t="shared" ca="1" si="347"/>
        <v>-9.2548033903394629</v>
      </c>
    </row>
    <row r="725" spans="1:34" x14ac:dyDescent="0.2">
      <c r="A725" s="347">
        <f t="shared" ca="1" si="325"/>
        <v>1E-4</v>
      </c>
      <c r="B725" s="304">
        <f t="shared" ca="1" si="326"/>
        <v>37.121600000000939</v>
      </c>
      <c r="D725" s="306">
        <f t="shared" ca="1" si="327"/>
        <v>-0.64201531326165029</v>
      </c>
      <c r="E725" s="307">
        <f t="shared" ca="1" si="328"/>
        <v>-0.5774729907960765</v>
      </c>
      <c r="F725" s="304">
        <f t="shared" ca="1" si="329"/>
        <v>0.863515325608886</v>
      </c>
      <c r="G725" s="306">
        <f t="shared" ca="1" si="330"/>
        <v>7.2284492995582932</v>
      </c>
      <c r="H725" s="307">
        <f t="shared" ca="1" si="331"/>
        <v>-103.94998659892839</v>
      </c>
      <c r="I725" s="304">
        <f t="shared" ca="1" si="332"/>
        <v>104.20100859969483</v>
      </c>
      <c r="J725" s="306">
        <f t="shared" ca="1" si="333"/>
        <v>837.4075040097224</v>
      </c>
      <c r="K725" s="307">
        <f t="shared" ca="1" si="334"/>
        <v>-12.579384956859554</v>
      </c>
      <c r="L725" s="304">
        <f t="shared" ca="1" si="319"/>
        <v>837.50198130970773</v>
      </c>
      <c r="M725" s="306">
        <f t="shared" ca="1" si="335"/>
        <v>-1.5013703252471293</v>
      </c>
      <c r="N725" s="304">
        <f t="shared" ca="1" si="336"/>
        <v>-86.022183122844211</v>
      </c>
      <c r="P725" s="310">
        <f t="shared" ca="1" si="337"/>
        <v>23</v>
      </c>
      <c r="Q725" s="304">
        <f t="shared" ca="1" si="338"/>
        <v>0</v>
      </c>
      <c r="R725" s="306">
        <f t="shared" ca="1" si="339"/>
        <v>0</v>
      </c>
      <c r="S725" s="307">
        <f t="shared" ca="1" si="340"/>
        <v>2.9362999999999984</v>
      </c>
      <c r="T725" s="304">
        <f t="shared" ca="1" si="320"/>
        <v>28.805102999999985</v>
      </c>
      <c r="U725" s="311">
        <f t="shared" ca="1" si="321"/>
        <v>0</v>
      </c>
      <c r="V725" s="306">
        <f t="shared" ca="1" si="322"/>
        <v>1.2265419444928831</v>
      </c>
      <c r="W725" s="304">
        <f t="shared" ca="1" si="323"/>
        <v>27.17499114208405</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0.53154464573308147</v>
      </c>
      <c r="AH725" s="304">
        <f t="shared" ca="1" si="347"/>
        <v>-9.2548224530858718</v>
      </c>
    </row>
    <row r="726" spans="1:34" x14ac:dyDescent="0.2">
      <c r="A726" s="347">
        <f t="shared" ca="1" si="325"/>
        <v>1E-4</v>
      </c>
      <c r="B726" s="304">
        <f t="shared" ca="1" si="326"/>
        <v>37.121700000000942</v>
      </c>
      <c r="D726" s="306">
        <f t="shared" ca="1" si="327"/>
        <v>-0.642010605938931</v>
      </c>
      <c r="E726" s="307">
        <f t="shared" ca="1" si="328"/>
        <v>-0.5774535549692672</v>
      </c>
      <c r="F726" s="304">
        <f t="shared" ca="1" si="329"/>
        <v>0.86349882818954526</v>
      </c>
      <c r="G726" s="306">
        <f t="shared" ca="1" si="330"/>
        <v>7.2283850984976992</v>
      </c>
      <c r="H726" s="307">
        <f t="shared" ca="1" si="331"/>
        <v>-103.95004434428388</v>
      </c>
      <c r="I726" s="304">
        <f t="shared" ca="1" si="332"/>
        <v>104.20106175231982</v>
      </c>
      <c r="J726" s="306">
        <f t="shared" ca="1" si="333"/>
        <v>837.4075040097224</v>
      </c>
      <c r="K726" s="307">
        <f t="shared" ca="1" si="334"/>
        <v>-12.589779958406716</v>
      </c>
      <c r="L726" s="304">
        <f t="shared" ca="1" si="319"/>
        <v>837.50213750843307</v>
      </c>
      <c r="M726" s="306">
        <f t="shared" ca="1" si="335"/>
        <v>-1.5013709783326867</v>
      </c>
      <c r="N726" s="304">
        <f t="shared" ca="1" si="336"/>
        <v>-86.02222054189032</v>
      </c>
      <c r="P726" s="310">
        <f t="shared" ca="1" si="337"/>
        <v>23</v>
      </c>
      <c r="Q726" s="304">
        <f t="shared" ca="1" si="338"/>
        <v>0</v>
      </c>
      <c r="R726" s="306">
        <f t="shared" ca="1" si="339"/>
        <v>0</v>
      </c>
      <c r="S726" s="307">
        <f t="shared" ca="1" si="340"/>
        <v>2.9362999999999984</v>
      </c>
      <c r="T726" s="304">
        <f t="shared" ca="1" si="320"/>
        <v>28.805102999999985</v>
      </c>
      <c r="U726" s="311">
        <f t="shared" ca="1" si="321"/>
        <v>0</v>
      </c>
      <c r="V726" s="306">
        <f t="shared" ca="1" si="322"/>
        <v>1.2265432194845916</v>
      </c>
      <c r="W726" s="304">
        <f t="shared" ca="1" si="323"/>
        <v>27.175047114317827</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0.53152602772323654</v>
      </c>
      <c r="AH726" s="304">
        <f t="shared" ca="1" si="347"/>
        <v>-9.254841515541349</v>
      </c>
    </row>
    <row r="727" spans="1:34" x14ac:dyDescent="0.2">
      <c r="A727" s="347">
        <f t="shared" ca="1" si="325"/>
        <v>1E-4</v>
      </c>
      <c r="B727" s="304">
        <f t="shared" ca="1" si="326"/>
        <v>37.121800000000945</v>
      </c>
      <c r="D727" s="306">
        <f t="shared" ca="1" si="327"/>
        <v>-0.64200589863062285</v>
      </c>
      <c r="E727" s="307">
        <f t="shared" ca="1" si="328"/>
        <v>-0.57743411943904199</v>
      </c>
      <c r="F727" s="304">
        <f t="shared" ca="1" si="329"/>
        <v>0.8634823311271953</v>
      </c>
      <c r="G727" s="306">
        <f t="shared" ca="1" si="330"/>
        <v>7.2283208979078362</v>
      </c>
      <c r="H727" s="307">
        <f t="shared" ca="1" si="331"/>
        <v>-103.95010208769583</v>
      </c>
      <c r="I727" s="304">
        <f t="shared" ca="1" si="332"/>
        <v>104.20111490308304</v>
      </c>
      <c r="J727" s="306">
        <f t="shared" ca="1" si="333"/>
        <v>837.4075040097224</v>
      </c>
      <c r="K727" s="307">
        <f t="shared" ca="1" si="334"/>
        <v>-12.600174965728314</v>
      </c>
      <c r="L727" s="304">
        <f t="shared" ca="1" si="319"/>
        <v>837.50229383623798</v>
      </c>
      <c r="M727" s="306">
        <f t="shared" ca="1" si="335"/>
        <v>-1.5013716314117773</v>
      </c>
      <c r="N727" s="304">
        <f t="shared" ca="1" si="336"/>
        <v>-86.022257960565895</v>
      </c>
      <c r="P727" s="310">
        <f t="shared" ca="1" si="337"/>
        <v>23</v>
      </c>
      <c r="Q727" s="304">
        <f t="shared" ca="1" si="338"/>
        <v>0</v>
      </c>
      <c r="R727" s="306">
        <f t="shared" ca="1" si="339"/>
        <v>0</v>
      </c>
      <c r="S727" s="307">
        <f t="shared" ca="1" si="340"/>
        <v>2.9362999999999984</v>
      </c>
      <c r="T727" s="304">
        <f t="shared" ca="1" si="320"/>
        <v>28.805102999999985</v>
      </c>
      <c r="U727" s="311">
        <f t="shared" ca="1" si="321"/>
        <v>0</v>
      </c>
      <c r="V727" s="306">
        <f t="shared" ca="1" si="322"/>
        <v>1.226544494478335</v>
      </c>
      <c r="W727" s="304">
        <f t="shared" ca="1" si="323"/>
        <v>27.175103085697401</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0.53150740999573998</v>
      </c>
      <c r="AH727" s="304">
        <f t="shared" ca="1" si="347"/>
        <v>-9.2548605777059034</v>
      </c>
    </row>
    <row r="728" spans="1:34" x14ac:dyDescent="0.2">
      <c r="A728" s="347">
        <f t="shared" ca="1" si="325"/>
        <v>1E-4</v>
      </c>
      <c r="B728" s="304">
        <f t="shared" ca="1" si="326"/>
        <v>37.121900000000949</v>
      </c>
      <c r="D728" s="306">
        <f t="shared" ca="1" si="327"/>
        <v>-0.64200119133672773</v>
      </c>
      <c r="E728" s="307">
        <f t="shared" ca="1" si="328"/>
        <v>-0.57741468420539377</v>
      </c>
      <c r="F728" s="304">
        <f t="shared" ca="1" si="329"/>
        <v>0.863465834421833</v>
      </c>
      <c r="G728" s="306">
        <f t="shared" ca="1" si="330"/>
        <v>7.2282566977887024</v>
      </c>
      <c r="H728" s="307">
        <f t="shared" ca="1" si="331"/>
        <v>-103.95015982916425</v>
      </c>
      <c r="I728" s="304">
        <f t="shared" ca="1" si="332"/>
        <v>104.20116805198452</v>
      </c>
      <c r="J728" s="306">
        <f t="shared" ca="1" si="333"/>
        <v>837.4075040097224</v>
      </c>
      <c r="K728" s="307">
        <f t="shared" ca="1" si="334"/>
        <v>-12.610569978824158</v>
      </c>
      <c r="L728" s="304">
        <f t="shared" ca="1" si="319"/>
        <v>837.50245029312248</v>
      </c>
      <c r="M728" s="306">
        <f t="shared" ca="1" si="335"/>
        <v>-1.5013722844844013</v>
      </c>
      <c r="N728" s="304">
        <f t="shared" ca="1" si="336"/>
        <v>-86.022295378870965</v>
      </c>
      <c r="P728" s="310">
        <f t="shared" ca="1" si="337"/>
        <v>23</v>
      </c>
      <c r="Q728" s="304">
        <f t="shared" ca="1" si="338"/>
        <v>0</v>
      </c>
      <c r="R728" s="306">
        <f t="shared" ca="1" si="339"/>
        <v>0</v>
      </c>
      <c r="S728" s="307">
        <f t="shared" ca="1" si="340"/>
        <v>2.9362999999999984</v>
      </c>
      <c r="T728" s="304">
        <f t="shared" ca="1" si="320"/>
        <v>28.805102999999985</v>
      </c>
      <c r="U728" s="311">
        <f t="shared" ca="1" si="321"/>
        <v>0</v>
      </c>
      <c r="V728" s="306">
        <f t="shared" ca="1" si="322"/>
        <v>1.2265457694741122</v>
      </c>
      <c r="W728" s="304">
        <f t="shared" ca="1" si="323"/>
        <v>27.175159056222743</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0.53148879255058468</v>
      </c>
      <c r="AH728" s="304">
        <f t="shared" ca="1" si="347"/>
        <v>-9.2548796395795438</v>
      </c>
    </row>
    <row r="729" spans="1:34" x14ac:dyDescent="0.2">
      <c r="A729" s="347">
        <f t="shared" ca="1" si="325"/>
        <v>1E-4</v>
      </c>
      <c r="B729" s="304">
        <f t="shared" ca="1" si="326"/>
        <v>37.122000000000952</v>
      </c>
      <c r="D729" s="306">
        <f t="shared" ca="1" si="327"/>
        <v>-0.64199648405724374</v>
      </c>
      <c r="E729" s="307">
        <f t="shared" ca="1" si="328"/>
        <v>-0.57739524926832431</v>
      </c>
      <c r="F729" s="304">
        <f t="shared" ca="1" si="329"/>
        <v>0.86344933807345825</v>
      </c>
      <c r="G729" s="306">
        <f t="shared" ca="1" si="330"/>
        <v>7.228192498140297</v>
      </c>
      <c r="H729" s="307">
        <f t="shared" ca="1" si="331"/>
        <v>-103.95021756868918</v>
      </c>
      <c r="I729" s="304">
        <f t="shared" ca="1" si="332"/>
        <v>104.20122119902429</v>
      </c>
      <c r="J729" s="306">
        <f t="shared" ca="1" si="333"/>
        <v>837.4075040097224</v>
      </c>
      <c r="K729" s="307">
        <f t="shared" ca="1" si="334"/>
        <v>-12.620964997694051</v>
      </c>
      <c r="L729" s="304">
        <f t="shared" ca="1" si="319"/>
        <v>837.50260687908678</v>
      </c>
      <c r="M729" s="306">
        <f t="shared" ca="1" si="335"/>
        <v>-1.5013729375505587</v>
      </c>
      <c r="N729" s="304">
        <f t="shared" ca="1" si="336"/>
        <v>-86.022332796805529</v>
      </c>
      <c r="P729" s="310">
        <f t="shared" ca="1" si="337"/>
        <v>23</v>
      </c>
      <c r="Q729" s="304">
        <f t="shared" ca="1" si="338"/>
        <v>0</v>
      </c>
      <c r="R729" s="306">
        <f t="shared" ca="1" si="339"/>
        <v>0</v>
      </c>
      <c r="S729" s="307">
        <f t="shared" ca="1" si="340"/>
        <v>2.9362999999999984</v>
      </c>
      <c r="T729" s="304">
        <f t="shared" ca="1" si="320"/>
        <v>28.805102999999985</v>
      </c>
      <c r="U729" s="311">
        <f t="shared" ca="1" si="321"/>
        <v>0</v>
      </c>
      <c r="V729" s="306">
        <f t="shared" ca="1" si="322"/>
        <v>1.2265470444719242</v>
      </c>
      <c r="W729" s="304">
        <f t="shared" ca="1" si="323"/>
        <v>27.175215025893888</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0.53147017538777064</v>
      </c>
      <c r="AH729" s="304">
        <f t="shared" ca="1" si="347"/>
        <v>-9.254898701162265</v>
      </c>
    </row>
    <row r="730" spans="1:34" x14ac:dyDescent="0.2">
      <c r="A730" s="347">
        <f t="shared" ca="1" si="325"/>
        <v>1E-4</v>
      </c>
      <c r="B730" s="304">
        <f t="shared" ca="1" si="326"/>
        <v>37.122100000000955</v>
      </c>
      <c r="D730" s="306">
        <f t="shared" ca="1" si="327"/>
        <v>-0.6419917767921729</v>
      </c>
      <c r="E730" s="307">
        <f t="shared" ca="1" si="328"/>
        <v>-0.5773758146278265</v>
      </c>
      <c r="F730" s="304">
        <f t="shared" ca="1" si="329"/>
        <v>0.86343284208206805</v>
      </c>
      <c r="G730" s="306">
        <f t="shared" ca="1" si="330"/>
        <v>7.2281282989626181</v>
      </c>
      <c r="H730" s="307">
        <f t="shared" ca="1" si="331"/>
        <v>-103.95027530627064</v>
      </c>
      <c r="I730" s="304">
        <f t="shared" ca="1" si="332"/>
        <v>104.20127434420235</v>
      </c>
      <c r="J730" s="306">
        <f t="shared" ca="1" si="333"/>
        <v>837.4075040097224</v>
      </c>
      <c r="K730" s="307">
        <f t="shared" ca="1" si="334"/>
        <v>-12.631360022337798</v>
      </c>
      <c r="L730" s="304">
        <f t="shared" ca="1" si="319"/>
        <v>837.50276359413112</v>
      </c>
      <c r="M730" s="306">
        <f t="shared" ca="1" si="335"/>
        <v>-1.5013735906102494</v>
      </c>
      <c r="N730" s="304">
        <f t="shared" ca="1" si="336"/>
        <v>-86.022370214369573</v>
      </c>
      <c r="P730" s="310">
        <f t="shared" ca="1" si="337"/>
        <v>23</v>
      </c>
      <c r="Q730" s="304">
        <f t="shared" ca="1" si="338"/>
        <v>0</v>
      </c>
      <c r="R730" s="306">
        <f t="shared" ca="1" si="339"/>
        <v>0</v>
      </c>
      <c r="S730" s="307">
        <f t="shared" ca="1" si="340"/>
        <v>2.9362999999999984</v>
      </c>
      <c r="T730" s="304">
        <f t="shared" ca="1" si="320"/>
        <v>28.805102999999985</v>
      </c>
      <c r="U730" s="311">
        <f t="shared" ca="1" si="321"/>
        <v>0</v>
      </c>
      <c r="V730" s="306">
        <f t="shared" ca="1" si="322"/>
        <v>1.2265483194717703</v>
      </c>
      <c r="W730" s="304">
        <f t="shared" ca="1" si="323"/>
        <v>27.175270994710825</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0.53145155850729431</v>
      </c>
      <c r="AH730" s="304">
        <f t="shared" ca="1" si="347"/>
        <v>-9.2549177624540757</v>
      </c>
    </row>
    <row r="731" spans="1:34" x14ac:dyDescent="0.2">
      <c r="A731" s="347">
        <f t="shared" ca="1" si="325"/>
        <v>1E-4</v>
      </c>
      <c r="B731" s="304">
        <f t="shared" ca="1" si="326"/>
        <v>37.122200000000959</v>
      </c>
      <c r="D731" s="306">
        <f t="shared" ca="1" si="327"/>
        <v>-0.64198706954151574</v>
      </c>
      <c r="E731" s="307">
        <f t="shared" ca="1" si="328"/>
        <v>-0.5773563802839039</v>
      </c>
      <c r="F731" s="304">
        <f t="shared" ca="1" si="329"/>
        <v>0.86341634644766529</v>
      </c>
      <c r="G731" s="306">
        <f t="shared" ca="1" si="330"/>
        <v>7.228064100255664</v>
      </c>
      <c r="H731" s="307">
        <f t="shared" ca="1" si="331"/>
        <v>-103.95033304190866</v>
      </c>
      <c r="I731" s="304">
        <f t="shared" ca="1" si="332"/>
        <v>104.20132748751875</v>
      </c>
      <c r="J731" s="306">
        <f t="shared" ca="1" si="333"/>
        <v>837.4075040097224</v>
      </c>
      <c r="K731" s="307">
        <f t="shared" ca="1" si="334"/>
        <v>-12.641755052755206</v>
      </c>
      <c r="L731" s="304">
        <f t="shared" ca="1" si="319"/>
        <v>837.50292043825561</v>
      </c>
      <c r="M731" s="306">
        <f t="shared" ca="1" si="335"/>
        <v>-1.5013742436634736</v>
      </c>
      <c r="N731" s="304">
        <f t="shared" ca="1" si="336"/>
        <v>-86.022407631563112</v>
      </c>
      <c r="P731" s="310">
        <f t="shared" ca="1" si="337"/>
        <v>23</v>
      </c>
      <c r="Q731" s="304">
        <f t="shared" ca="1" si="338"/>
        <v>0</v>
      </c>
      <c r="R731" s="306">
        <f t="shared" ca="1" si="339"/>
        <v>0</v>
      </c>
      <c r="S731" s="307">
        <f t="shared" ca="1" si="340"/>
        <v>2.9362999999999984</v>
      </c>
      <c r="T731" s="304">
        <f t="shared" ca="1" si="320"/>
        <v>28.805102999999985</v>
      </c>
      <c r="U731" s="311">
        <f t="shared" ca="1" si="321"/>
        <v>0</v>
      </c>
      <c r="V731" s="306">
        <f t="shared" ca="1" si="322"/>
        <v>1.2265495944736509</v>
      </c>
      <c r="W731" s="304">
        <f t="shared" ca="1" si="323"/>
        <v>27.175326962673569</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0.53143294190915746</v>
      </c>
      <c r="AH731" s="304">
        <f t="shared" ca="1" si="347"/>
        <v>-9.2549368234549743</v>
      </c>
    </row>
    <row r="732" spans="1:34" x14ac:dyDescent="0.2">
      <c r="A732" s="347">
        <f t="shared" ca="1" si="325"/>
        <v>1E-4</v>
      </c>
      <c r="B732" s="304">
        <f t="shared" ca="1" si="326"/>
        <v>37.122300000000962</v>
      </c>
      <c r="D732" s="306">
        <f t="shared" ca="1" si="327"/>
        <v>-0.6419823623052735</v>
      </c>
      <c r="E732" s="307">
        <f t="shared" ca="1" si="328"/>
        <v>-0.57733694623654941</v>
      </c>
      <c r="F732" s="304">
        <f t="shared" ca="1" si="329"/>
        <v>0.86339985117024654</v>
      </c>
      <c r="G732" s="306">
        <f t="shared" ca="1" si="330"/>
        <v>7.2279999020194339</v>
      </c>
      <c r="H732" s="307">
        <f t="shared" ca="1" si="331"/>
        <v>-103.95039077560328</v>
      </c>
      <c r="I732" s="304">
        <f t="shared" ca="1" si="332"/>
        <v>104.20138062897354</v>
      </c>
      <c r="J732" s="306">
        <f t="shared" ca="1" si="333"/>
        <v>837.4075040097224</v>
      </c>
      <c r="K732" s="307">
        <f t="shared" ca="1" si="334"/>
        <v>-12.652150088946081</v>
      </c>
      <c r="L732" s="304">
        <f t="shared" ca="1" si="319"/>
        <v>837.50307741146025</v>
      </c>
      <c r="M732" s="306">
        <f t="shared" ca="1" si="335"/>
        <v>-1.5013748967102316</v>
      </c>
      <c r="N732" s="304">
        <f t="shared" ca="1" si="336"/>
        <v>-86.022445048386174</v>
      </c>
      <c r="P732" s="310">
        <f t="shared" ca="1" si="337"/>
        <v>23</v>
      </c>
      <c r="Q732" s="304">
        <f t="shared" ca="1" si="338"/>
        <v>0</v>
      </c>
      <c r="R732" s="306">
        <f t="shared" ca="1" si="339"/>
        <v>0</v>
      </c>
      <c r="S732" s="307">
        <f t="shared" ca="1" si="340"/>
        <v>2.9362999999999984</v>
      </c>
      <c r="T732" s="304">
        <f t="shared" ca="1" si="320"/>
        <v>28.805102999999985</v>
      </c>
      <c r="U732" s="311">
        <f t="shared" ca="1" si="321"/>
        <v>0</v>
      </c>
      <c r="V732" s="306">
        <f t="shared" ca="1" si="322"/>
        <v>1.226550869477566</v>
      </c>
      <c r="W732" s="304">
        <f t="shared" ca="1" si="323"/>
        <v>27.17538292978216</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0.531414325593353</v>
      </c>
      <c r="AH732" s="304">
        <f t="shared" ca="1" si="347"/>
        <v>-9.2549558841649642</v>
      </c>
    </row>
    <row r="733" spans="1:34" x14ac:dyDescent="0.2">
      <c r="A733" s="347">
        <f t="shared" ca="1" si="325"/>
        <v>1E-4</v>
      </c>
      <c r="B733" s="304">
        <f t="shared" ca="1" si="326"/>
        <v>37.122400000000965</v>
      </c>
      <c r="D733" s="306">
        <f t="shared" ca="1" si="327"/>
        <v>-0.64197765508344418</v>
      </c>
      <c r="E733" s="307">
        <f t="shared" ca="1" si="328"/>
        <v>-0.57731751248575236</v>
      </c>
      <c r="F733" s="304">
        <f t="shared" ca="1" si="329"/>
        <v>0.86338335624980311</v>
      </c>
      <c r="G733" s="306">
        <f t="shared" ca="1" si="330"/>
        <v>7.2279357042539258</v>
      </c>
      <c r="H733" s="307">
        <f t="shared" ca="1" si="331"/>
        <v>-103.95044850735454</v>
      </c>
      <c r="I733" s="304">
        <f t="shared" ca="1" si="332"/>
        <v>104.20143376856672</v>
      </c>
      <c r="J733" s="306">
        <f t="shared" ca="1" si="333"/>
        <v>837.4075040097224</v>
      </c>
      <c r="K733" s="307">
        <f t="shared" ca="1" si="334"/>
        <v>-12.66254513091023</v>
      </c>
      <c r="L733" s="304">
        <f t="shared" ca="1" si="319"/>
        <v>837.50323451374538</v>
      </c>
      <c r="M733" s="306">
        <f t="shared" ca="1" si="335"/>
        <v>-1.5013755497505232</v>
      </c>
      <c r="N733" s="304">
        <f t="shared" ca="1" si="336"/>
        <v>-86.022482464838745</v>
      </c>
      <c r="P733" s="310">
        <f t="shared" ca="1" si="337"/>
        <v>23</v>
      </c>
      <c r="Q733" s="304">
        <f t="shared" ca="1" si="338"/>
        <v>0</v>
      </c>
      <c r="R733" s="306">
        <f t="shared" ca="1" si="339"/>
        <v>0</v>
      </c>
      <c r="S733" s="307">
        <f t="shared" ca="1" si="340"/>
        <v>2.9362999999999984</v>
      </c>
      <c r="T733" s="304">
        <f t="shared" ca="1" si="320"/>
        <v>28.805102999999985</v>
      </c>
      <c r="U733" s="311">
        <f t="shared" ca="1" si="321"/>
        <v>0</v>
      </c>
      <c r="V733" s="306">
        <f t="shared" ca="1" si="322"/>
        <v>1.2265521444835155</v>
      </c>
      <c r="W733" s="304">
        <f t="shared" ca="1" si="323"/>
        <v>27.175438896036578</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0.53139570955986848</v>
      </c>
      <c r="AH733" s="304">
        <f t="shared" ca="1" si="347"/>
        <v>-9.2549749445840597</v>
      </c>
    </row>
    <row r="734" spans="1:34" x14ac:dyDescent="0.2">
      <c r="A734" s="347">
        <f t="shared" ca="1" si="325"/>
        <v>1E-4</v>
      </c>
      <c r="B734" s="304">
        <f t="shared" ca="1" si="326"/>
        <v>37.122500000000969</v>
      </c>
      <c r="D734" s="306">
        <f t="shared" ca="1" si="327"/>
        <v>-0.64197294787602999</v>
      </c>
      <c r="E734" s="307">
        <f t="shared" ca="1" si="328"/>
        <v>-0.57729807903151631</v>
      </c>
      <c r="F734" s="304">
        <f t="shared" ca="1" si="329"/>
        <v>0.86336686168633936</v>
      </c>
      <c r="G734" s="306">
        <f t="shared" ca="1" si="330"/>
        <v>7.2278715069591382</v>
      </c>
      <c r="H734" s="307">
        <f t="shared" ca="1" si="331"/>
        <v>-103.95050623716244</v>
      </c>
      <c r="I734" s="304">
        <f t="shared" ca="1" si="332"/>
        <v>104.20148690629831</v>
      </c>
      <c r="J734" s="306">
        <f t="shared" ca="1" si="333"/>
        <v>837.4075040097224</v>
      </c>
      <c r="K734" s="307">
        <f t="shared" ca="1" si="334"/>
        <v>-12.672940178647456</v>
      </c>
      <c r="L734" s="304">
        <f t="shared" ca="1" si="319"/>
        <v>837.503391745111</v>
      </c>
      <c r="M734" s="306">
        <f t="shared" ca="1" si="335"/>
        <v>-1.5013762027843485</v>
      </c>
      <c r="N734" s="304">
        <f t="shared" ca="1" si="336"/>
        <v>-86.022519880920811</v>
      </c>
      <c r="P734" s="310">
        <f t="shared" ca="1" si="337"/>
        <v>23</v>
      </c>
      <c r="Q734" s="304">
        <f t="shared" ca="1" si="338"/>
        <v>0</v>
      </c>
      <c r="R734" s="306">
        <f t="shared" ca="1" si="339"/>
        <v>0</v>
      </c>
      <c r="S734" s="307">
        <f t="shared" ca="1" si="340"/>
        <v>2.9362999999999984</v>
      </c>
      <c r="T734" s="304">
        <f t="shared" ca="1" si="320"/>
        <v>28.805102999999985</v>
      </c>
      <c r="U734" s="311">
        <f t="shared" ca="1" si="321"/>
        <v>0</v>
      </c>
      <c r="V734" s="306">
        <f t="shared" ca="1" si="322"/>
        <v>1.2265534194914987</v>
      </c>
      <c r="W734" s="304">
        <f t="shared" ca="1" si="323"/>
        <v>27.175494861436821</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0.53137709380871101</v>
      </c>
      <c r="AH734" s="304">
        <f t="shared" ca="1" si="347"/>
        <v>-9.2549940047122554</v>
      </c>
    </row>
    <row r="735" spans="1:34" x14ac:dyDescent="0.2">
      <c r="A735" s="347">
        <f t="shared" ca="1" si="325"/>
        <v>1E-4</v>
      </c>
      <c r="B735" s="304">
        <f t="shared" ca="1" si="326"/>
        <v>37.122600000000972</v>
      </c>
      <c r="D735" s="306">
        <f t="shared" ca="1" si="327"/>
        <v>-0.64196824068303215</v>
      </c>
      <c r="E735" s="307">
        <f t="shared" ca="1" si="328"/>
        <v>-0.57727864587384303</v>
      </c>
      <c r="F735" s="304">
        <f t="shared" ca="1" si="329"/>
        <v>0.86335036747985772</v>
      </c>
      <c r="G735" s="306">
        <f t="shared" ca="1" si="330"/>
        <v>7.2278073101350699</v>
      </c>
      <c r="H735" s="307">
        <f t="shared" ca="1" si="331"/>
        <v>-103.95056396502703</v>
      </c>
      <c r="I735" s="304">
        <f t="shared" ca="1" si="332"/>
        <v>104.20154004216836</v>
      </c>
      <c r="J735" s="306">
        <f t="shared" ca="1" si="333"/>
        <v>837.4075040097224</v>
      </c>
      <c r="K735" s="307">
        <f t="shared" ca="1" si="334"/>
        <v>-12.683335232157566</v>
      </c>
      <c r="L735" s="304">
        <f t="shared" ca="1" si="319"/>
        <v>837.50354910555723</v>
      </c>
      <c r="M735" s="306">
        <f t="shared" ca="1" si="335"/>
        <v>-1.5013768558117078</v>
      </c>
      <c r="N735" s="304">
        <f t="shared" ca="1" si="336"/>
        <v>-86.022557296632399</v>
      </c>
      <c r="P735" s="310">
        <f t="shared" ca="1" si="337"/>
        <v>23</v>
      </c>
      <c r="Q735" s="304">
        <f t="shared" ca="1" si="338"/>
        <v>0</v>
      </c>
      <c r="R735" s="306">
        <f t="shared" ca="1" si="339"/>
        <v>0</v>
      </c>
      <c r="S735" s="307">
        <f t="shared" ca="1" si="340"/>
        <v>2.9362999999999984</v>
      </c>
      <c r="T735" s="304">
        <f t="shared" ca="1" si="320"/>
        <v>28.805102999999985</v>
      </c>
      <c r="U735" s="311">
        <f t="shared" ca="1" si="321"/>
        <v>0</v>
      </c>
      <c r="V735" s="306">
        <f t="shared" ca="1" si="322"/>
        <v>1.2265546945015169</v>
      </c>
      <c r="W735" s="304">
        <f t="shared" ca="1" si="323"/>
        <v>27.175550825982928</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0.53135847833988414</v>
      </c>
      <c r="AH735" s="304">
        <f t="shared" ca="1" si="347"/>
        <v>-9.2550130645495479</v>
      </c>
    </row>
    <row r="736" spans="1:34" x14ac:dyDescent="0.2">
      <c r="A736" s="347">
        <f t="shared" ca="1" si="325"/>
        <v>1E-4</v>
      </c>
      <c r="B736" s="304">
        <f t="shared" ca="1" si="326"/>
        <v>37.122700000000975</v>
      </c>
      <c r="D736" s="306">
        <f t="shared" ca="1" si="327"/>
        <v>-0.64196353350444813</v>
      </c>
      <c r="E736" s="307">
        <f t="shared" ca="1" si="328"/>
        <v>-0.5772592130127201</v>
      </c>
      <c r="F736" s="304">
        <f t="shared" ca="1" si="329"/>
        <v>0.86333387363034797</v>
      </c>
      <c r="G736" s="306">
        <f t="shared" ca="1" si="330"/>
        <v>7.2277431137817194</v>
      </c>
      <c r="H736" s="307">
        <f t="shared" ca="1" si="331"/>
        <v>-103.95062169094832</v>
      </c>
      <c r="I736" s="304">
        <f t="shared" ca="1" si="332"/>
        <v>104.2015931761769</v>
      </c>
      <c r="J736" s="306">
        <f t="shared" ca="1" si="333"/>
        <v>837.4075040097224</v>
      </c>
      <c r="K736" s="307">
        <f t="shared" ca="1" si="334"/>
        <v>-12.693730291440364</v>
      </c>
      <c r="L736" s="304">
        <f t="shared" ca="1" si="319"/>
        <v>837.50370659508428</v>
      </c>
      <c r="M736" s="306">
        <f t="shared" ca="1" si="335"/>
        <v>-1.5013775088326009</v>
      </c>
      <c r="N736" s="304">
        <f t="shared" ca="1" si="336"/>
        <v>-86.022594711973511</v>
      </c>
      <c r="P736" s="310">
        <f t="shared" ca="1" si="337"/>
        <v>23</v>
      </c>
      <c r="Q736" s="304">
        <f t="shared" ca="1" si="338"/>
        <v>0</v>
      </c>
      <c r="R736" s="306">
        <f t="shared" ca="1" si="339"/>
        <v>0</v>
      </c>
      <c r="S736" s="307">
        <f t="shared" ca="1" si="340"/>
        <v>2.9362999999999984</v>
      </c>
      <c r="T736" s="304">
        <f t="shared" ca="1" si="320"/>
        <v>28.805102999999985</v>
      </c>
      <c r="U736" s="311">
        <f t="shared" ca="1" si="321"/>
        <v>0</v>
      </c>
      <c r="V736" s="306">
        <f t="shared" ca="1" si="322"/>
        <v>1.226555969513569</v>
      </c>
      <c r="W736" s="304">
        <f t="shared" ca="1" si="323"/>
        <v>27.175606789674902</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0.53133986315337189</v>
      </c>
      <c r="AH736" s="304">
        <f t="shared" ca="1" si="347"/>
        <v>-9.2550321240959512</v>
      </c>
    </row>
    <row r="737" spans="1:34" x14ac:dyDescent="0.2">
      <c r="A737" s="347">
        <f t="shared" ca="1" si="325"/>
        <v>1E-4</v>
      </c>
      <c r="B737" s="304">
        <f t="shared" ca="1" si="326"/>
        <v>37.122800000000979</v>
      </c>
      <c r="D737" s="306">
        <f t="shared" ca="1" si="327"/>
        <v>-0.64195882634028134</v>
      </c>
      <c r="E737" s="307">
        <f t="shared" ca="1" si="328"/>
        <v>-0.57723978044814395</v>
      </c>
      <c r="F737" s="304">
        <f t="shared" ca="1" si="329"/>
        <v>0.86331738013781056</v>
      </c>
      <c r="G737" s="306">
        <f t="shared" ca="1" si="330"/>
        <v>7.2276789178990857</v>
      </c>
      <c r="H737" s="307">
        <f t="shared" ca="1" si="331"/>
        <v>-103.95067941492637</v>
      </c>
      <c r="I737" s="304">
        <f t="shared" ca="1" si="332"/>
        <v>104.20164630832393</v>
      </c>
      <c r="J737" s="306">
        <f t="shared" ca="1" si="333"/>
        <v>837.4075040097224</v>
      </c>
      <c r="K737" s="307">
        <f t="shared" ca="1" si="334"/>
        <v>-12.704125356495657</v>
      </c>
      <c r="L737" s="304">
        <f t="shared" ca="1" si="319"/>
        <v>837.5038642136924</v>
      </c>
      <c r="M737" s="306">
        <f t="shared" ca="1" si="335"/>
        <v>-1.5013781618470281</v>
      </c>
      <c r="N737" s="304">
        <f t="shared" ca="1" si="336"/>
        <v>-86.022632126944146</v>
      </c>
      <c r="P737" s="310">
        <f t="shared" ca="1" si="337"/>
        <v>23</v>
      </c>
      <c r="Q737" s="304">
        <f t="shared" ca="1" si="338"/>
        <v>0</v>
      </c>
      <c r="R737" s="306">
        <f t="shared" ca="1" si="339"/>
        <v>0</v>
      </c>
      <c r="S737" s="307">
        <f t="shared" ca="1" si="340"/>
        <v>2.9362999999999984</v>
      </c>
      <c r="T737" s="304">
        <f t="shared" ca="1" si="320"/>
        <v>28.805102999999985</v>
      </c>
      <c r="U737" s="311">
        <f t="shared" ca="1" si="321"/>
        <v>0</v>
      </c>
      <c r="V737" s="306">
        <f t="shared" ca="1" si="322"/>
        <v>1.2265572445276556</v>
      </c>
      <c r="W737" s="304">
        <f t="shared" ca="1" si="323"/>
        <v>27.175662752512732</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0.53132124824917248</v>
      </c>
      <c r="AH737" s="304">
        <f t="shared" ca="1" si="347"/>
        <v>-9.255051183351469</v>
      </c>
    </row>
    <row r="738" spans="1:34" x14ac:dyDescent="0.2">
      <c r="A738" s="347">
        <f t="shared" ca="1" si="325"/>
        <v>1E-4</v>
      </c>
      <c r="B738" s="304">
        <f t="shared" ca="1" si="326"/>
        <v>37.122900000000982</v>
      </c>
      <c r="D738" s="306">
        <f t="shared" ca="1" si="327"/>
        <v>-0.64195411919053014</v>
      </c>
      <c r="E738" s="307">
        <f t="shared" ca="1" si="328"/>
        <v>-0.57722034818012169</v>
      </c>
      <c r="F738" s="304">
        <f t="shared" ca="1" si="329"/>
        <v>0.86330088700224927</v>
      </c>
      <c r="G738" s="306">
        <f t="shared" ca="1" si="330"/>
        <v>7.227614722487167</v>
      </c>
      <c r="H738" s="307">
        <f t="shared" ca="1" si="331"/>
        <v>-103.95073713696119</v>
      </c>
      <c r="I738" s="304">
        <f t="shared" ca="1" si="332"/>
        <v>104.20169943860952</v>
      </c>
      <c r="J738" s="306">
        <f t="shared" ca="1" si="333"/>
        <v>837.4075040097224</v>
      </c>
      <c r="K738" s="307">
        <f t="shared" ca="1" si="334"/>
        <v>-12.714520427323251</v>
      </c>
      <c r="L738" s="304">
        <f t="shared" ca="1" si="319"/>
        <v>837.50402196138145</v>
      </c>
      <c r="M738" s="306">
        <f t="shared" ca="1" si="335"/>
        <v>-1.5013788148549894</v>
      </c>
      <c r="N738" s="304">
        <f t="shared" ca="1" si="336"/>
        <v>-86.022669541544317</v>
      </c>
      <c r="P738" s="310">
        <f t="shared" ca="1" si="337"/>
        <v>23</v>
      </c>
      <c r="Q738" s="304">
        <f t="shared" ca="1" si="338"/>
        <v>0</v>
      </c>
      <c r="R738" s="306">
        <f t="shared" ca="1" si="339"/>
        <v>0</v>
      </c>
      <c r="S738" s="307">
        <f t="shared" ca="1" si="340"/>
        <v>2.9362999999999984</v>
      </c>
      <c r="T738" s="304">
        <f t="shared" ca="1" si="320"/>
        <v>28.805102999999985</v>
      </c>
      <c r="U738" s="311">
        <f t="shared" ca="1" si="321"/>
        <v>0</v>
      </c>
      <c r="V738" s="306">
        <f t="shared" ca="1" si="322"/>
        <v>1.2265585195437758</v>
      </c>
      <c r="W738" s="304">
        <f t="shared" ca="1" si="323"/>
        <v>27.175718714496462</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0.53130263362729302</v>
      </c>
      <c r="AH738" s="304">
        <f t="shared" ca="1" si="347"/>
        <v>-9.2550702423160942</v>
      </c>
    </row>
    <row r="739" spans="1:34" x14ac:dyDescent="0.2">
      <c r="A739" s="347">
        <f t="shared" ca="1" si="325"/>
        <v>1E-4</v>
      </c>
      <c r="B739" s="304">
        <f t="shared" ca="1" si="326"/>
        <v>37.123000000000985</v>
      </c>
      <c r="D739" s="306">
        <f t="shared" ca="1" si="327"/>
        <v>-0.64194941205519651</v>
      </c>
      <c r="E739" s="307">
        <f t="shared" ca="1" si="328"/>
        <v>-0.57720091620863734</v>
      </c>
      <c r="F739" s="304">
        <f t="shared" ca="1" si="329"/>
        <v>0.86328439422365488</v>
      </c>
      <c r="G739" s="306">
        <f t="shared" ca="1" si="330"/>
        <v>7.2275505275459615</v>
      </c>
      <c r="H739" s="307">
        <f t="shared" ca="1" si="331"/>
        <v>-103.95079485705281</v>
      </c>
      <c r="I739" s="304">
        <f t="shared" ca="1" si="332"/>
        <v>104.20175256703367</v>
      </c>
      <c r="J739" s="306">
        <f t="shared" ca="1" si="333"/>
        <v>837.4075040097224</v>
      </c>
      <c r="K739" s="307">
        <f t="shared" ca="1" si="334"/>
        <v>-12.724915503922951</v>
      </c>
      <c r="L739" s="304">
        <f t="shared" ca="1" si="319"/>
        <v>837.5041798381518</v>
      </c>
      <c r="M739" s="306">
        <f t="shared" ca="1" si="335"/>
        <v>-1.5013794678564849</v>
      </c>
      <c r="N739" s="304">
        <f t="shared" ca="1" si="336"/>
        <v>-86.022706955774026</v>
      </c>
      <c r="P739" s="310">
        <f t="shared" ca="1" si="337"/>
        <v>23</v>
      </c>
      <c r="Q739" s="304">
        <f t="shared" ca="1" si="338"/>
        <v>0</v>
      </c>
      <c r="R739" s="306">
        <f t="shared" ca="1" si="339"/>
        <v>0</v>
      </c>
      <c r="S739" s="307">
        <f t="shared" ca="1" si="340"/>
        <v>2.9362999999999984</v>
      </c>
      <c r="T739" s="304">
        <f t="shared" ca="1" si="320"/>
        <v>28.805102999999985</v>
      </c>
      <c r="U739" s="311">
        <f t="shared" ca="1" si="321"/>
        <v>0</v>
      </c>
      <c r="V739" s="306">
        <f t="shared" ca="1" si="322"/>
        <v>1.2265597945619311</v>
      </c>
      <c r="W739" s="304">
        <f t="shared" ca="1" si="323"/>
        <v>27.175774675626087</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0.53128401928771574</v>
      </c>
      <c r="AH739" s="304">
        <f t="shared" ca="1" si="347"/>
        <v>-9.2550893009898427</v>
      </c>
    </row>
    <row r="740" spans="1:34" x14ac:dyDescent="0.2">
      <c r="A740" s="347">
        <f t="shared" ca="1" si="325"/>
        <v>1E-4</v>
      </c>
      <c r="B740" s="304">
        <f t="shared" ca="1" si="326"/>
        <v>37.123100000000989</v>
      </c>
      <c r="D740" s="306">
        <f t="shared" ca="1" si="327"/>
        <v>-0.64194470493427946</v>
      </c>
      <c r="E740" s="307">
        <f t="shared" ca="1" si="328"/>
        <v>-0.57718148453368912</v>
      </c>
      <c r="F740" s="304">
        <f t="shared" ca="1" si="329"/>
        <v>0.86326790180202595</v>
      </c>
      <c r="G740" s="306">
        <f t="shared" ca="1" si="330"/>
        <v>7.2274863330754684</v>
      </c>
      <c r="H740" s="307">
        <f t="shared" ca="1" si="331"/>
        <v>-103.95085257520127</v>
      </c>
      <c r="I740" s="304">
        <f t="shared" ca="1" si="332"/>
        <v>104.2018056935964</v>
      </c>
      <c r="J740" s="306">
        <f t="shared" ca="1" si="333"/>
        <v>837.4075040097224</v>
      </c>
      <c r="K740" s="307">
        <f t="shared" ca="1" si="334"/>
        <v>-12.735310586294563</v>
      </c>
      <c r="L740" s="304">
        <f t="shared" ca="1" si="319"/>
        <v>837.50433784400343</v>
      </c>
      <c r="M740" s="306">
        <f t="shared" ca="1" si="335"/>
        <v>-1.5013801208515145</v>
      </c>
      <c r="N740" s="304">
        <f t="shared" ca="1" si="336"/>
        <v>-86.022744369633273</v>
      </c>
      <c r="P740" s="310">
        <f t="shared" ca="1" si="337"/>
        <v>23</v>
      </c>
      <c r="Q740" s="304">
        <f t="shared" ca="1" si="338"/>
        <v>0</v>
      </c>
      <c r="R740" s="306">
        <f t="shared" ca="1" si="339"/>
        <v>0</v>
      </c>
      <c r="S740" s="307">
        <f t="shared" ca="1" si="340"/>
        <v>2.9362999999999984</v>
      </c>
      <c r="T740" s="304">
        <f t="shared" ca="1" si="320"/>
        <v>28.805102999999985</v>
      </c>
      <c r="U740" s="311">
        <f t="shared" ca="1" si="321"/>
        <v>0</v>
      </c>
      <c r="V740" s="306">
        <f t="shared" ca="1" si="322"/>
        <v>1.2265610695821199</v>
      </c>
      <c r="W740" s="304">
        <f t="shared" ca="1" si="323"/>
        <v>27.17583063590159</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0.53126540523044419</v>
      </c>
      <c r="AH740" s="304">
        <f t="shared" ca="1" si="347"/>
        <v>-9.2551083593727146</v>
      </c>
    </row>
    <row r="741" spans="1:34" x14ac:dyDescent="0.2">
      <c r="A741" s="347">
        <f t="shared" ca="1" si="325"/>
        <v>1E-4</v>
      </c>
      <c r="B741" s="304">
        <f t="shared" ca="1" si="326"/>
        <v>37.123200000000992</v>
      </c>
      <c r="D741" s="306">
        <f t="shared" ca="1" si="327"/>
        <v>-0.64193999782778144</v>
      </c>
      <c r="E741" s="307">
        <f t="shared" ca="1" si="328"/>
        <v>-0.5771620531552859</v>
      </c>
      <c r="F741" s="304">
        <f t="shared" ca="1" si="329"/>
        <v>0.86325140973737025</v>
      </c>
      <c r="G741" s="306">
        <f t="shared" ca="1" si="330"/>
        <v>7.2274221390756859</v>
      </c>
      <c r="H741" s="307">
        <f t="shared" ca="1" si="331"/>
        <v>-103.95091029140659</v>
      </c>
      <c r="I741" s="304">
        <f t="shared" ca="1" si="332"/>
        <v>104.20185881829778</v>
      </c>
      <c r="J741" s="306">
        <f t="shared" ca="1" si="333"/>
        <v>837.4075040097224</v>
      </c>
      <c r="K741" s="307">
        <f t="shared" ca="1" si="334"/>
        <v>-12.745705674437893</v>
      </c>
      <c r="L741" s="304">
        <f t="shared" ca="1" si="319"/>
        <v>837.50449597893657</v>
      </c>
      <c r="M741" s="306">
        <f t="shared" ca="1" si="335"/>
        <v>-1.5013807738400784</v>
      </c>
      <c r="N741" s="304">
        <f t="shared" ca="1" si="336"/>
        <v>-86.022781783122042</v>
      </c>
      <c r="P741" s="310">
        <f t="shared" ca="1" si="337"/>
        <v>23</v>
      </c>
      <c r="Q741" s="304">
        <f t="shared" ca="1" si="338"/>
        <v>0</v>
      </c>
      <c r="R741" s="306">
        <f t="shared" ca="1" si="339"/>
        <v>0</v>
      </c>
      <c r="S741" s="307">
        <f t="shared" ca="1" si="340"/>
        <v>2.9362999999999984</v>
      </c>
      <c r="T741" s="304">
        <f t="shared" ca="1" si="320"/>
        <v>28.805102999999985</v>
      </c>
      <c r="U741" s="311">
        <f t="shared" ca="1" si="321"/>
        <v>0</v>
      </c>
      <c r="V741" s="306">
        <f t="shared" ca="1" si="322"/>
        <v>1.2265623446043432</v>
      </c>
      <c r="W741" s="304">
        <f t="shared" ca="1" si="323"/>
        <v>27.175886595323043</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0.5312467914554837</v>
      </c>
      <c r="AH741" s="304">
        <f t="shared" ca="1" si="347"/>
        <v>-9.2551274174647027</v>
      </c>
    </row>
    <row r="742" spans="1:34" x14ac:dyDescent="0.2">
      <c r="A742" s="347">
        <f t="shared" ca="1" si="325"/>
        <v>1E-4</v>
      </c>
      <c r="B742" s="304">
        <f t="shared" ca="1" si="326"/>
        <v>37.123300000000995</v>
      </c>
      <c r="D742" s="306">
        <f t="shared" ca="1" si="327"/>
        <v>-0.64193529073570299</v>
      </c>
      <c r="E742" s="307">
        <f t="shared" ca="1" si="328"/>
        <v>-0.57714262207340283</v>
      </c>
      <c r="F742" s="304">
        <f t="shared" ca="1" si="329"/>
        <v>0.86323491802967189</v>
      </c>
      <c r="G742" s="306">
        <f t="shared" ca="1" si="330"/>
        <v>7.2273579455466122</v>
      </c>
      <c r="H742" s="307">
        <f t="shared" ca="1" si="331"/>
        <v>-103.9509680056688</v>
      </c>
      <c r="I742" s="304">
        <f t="shared" ca="1" si="332"/>
        <v>104.20191194113779</v>
      </c>
      <c r="J742" s="306">
        <f t="shared" ca="1" si="333"/>
        <v>837.4075040097224</v>
      </c>
      <c r="K742" s="307">
        <f t="shared" ca="1" si="334"/>
        <v>-12.756100768352747</v>
      </c>
      <c r="L742" s="304">
        <f t="shared" ca="1" si="319"/>
        <v>837.50465424295135</v>
      </c>
      <c r="M742" s="306">
        <f t="shared" ca="1" si="335"/>
        <v>-1.5013814268221768</v>
      </c>
      <c r="N742" s="304">
        <f t="shared" ca="1" si="336"/>
        <v>-86.022819196240377</v>
      </c>
      <c r="P742" s="310">
        <f t="shared" ca="1" si="337"/>
        <v>23</v>
      </c>
      <c r="Q742" s="304">
        <f t="shared" ca="1" si="338"/>
        <v>0</v>
      </c>
      <c r="R742" s="306">
        <f t="shared" ca="1" si="339"/>
        <v>0</v>
      </c>
      <c r="S742" s="307">
        <f t="shared" ca="1" si="340"/>
        <v>2.9362999999999984</v>
      </c>
      <c r="T742" s="304">
        <f t="shared" ca="1" si="320"/>
        <v>28.805102999999985</v>
      </c>
      <c r="U742" s="311">
        <f t="shared" ca="1" si="321"/>
        <v>0</v>
      </c>
      <c r="V742" s="306">
        <f t="shared" ca="1" si="322"/>
        <v>1.2265636196286007</v>
      </c>
      <c r="W742" s="304">
        <f t="shared" ca="1" si="323"/>
        <v>27.175942553890398</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0.53122817796281119</v>
      </c>
      <c r="AH742" s="304">
        <f t="shared" ca="1" si="347"/>
        <v>-9.2551464752658301</v>
      </c>
    </row>
    <row r="743" spans="1:34" x14ac:dyDescent="0.2">
      <c r="A743" s="347">
        <f t="shared" ca="1" si="325"/>
        <v>1E-4</v>
      </c>
      <c r="B743" s="304">
        <f t="shared" ca="1" si="326"/>
        <v>37.123400000000998</v>
      </c>
      <c r="D743" s="306">
        <f t="shared" ca="1" si="327"/>
        <v>-0.6419305836580419</v>
      </c>
      <c r="E743" s="307">
        <f t="shared" ca="1" si="328"/>
        <v>-0.57712319128805767</v>
      </c>
      <c r="F743" s="304">
        <f t="shared" ca="1" si="329"/>
        <v>0.86321842667894111</v>
      </c>
      <c r="G743" s="306">
        <f t="shared" ca="1" si="330"/>
        <v>7.2272937524882463</v>
      </c>
      <c r="H743" s="307">
        <f t="shared" ca="1" si="331"/>
        <v>-103.95102571798793</v>
      </c>
      <c r="I743" s="304">
        <f t="shared" ca="1" si="332"/>
        <v>104.20196506211649</v>
      </c>
      <c r="J743" s="306">
        <f t="shared" ca="1" si="333"/>
        <v>837.4075040097224</v>
      </c>
      <c r="K743" s="307">
        <f t="shared" ca="1" si="334"/>
        <v>-12.76649586803893</v>
      </c>
      <c r="L743" s="304">
        <f t="shared" ca="1" si="319"/>
        <v>837.50481263604809</v>
      </c>
      <c r="M743" s="306">
        <f t="shared" ca="1" si="335"/>
        <v>-1.5013820797978097</v>
      </c>
      <c r="N743" s="304">
        <f t="shared" ca="1" si="336"/>
        <v>-86.022856608988278</v>
      </c>
      <c r="P743" s="310">
        <f t="shared" ca="1" si="337"/>
        <v>23</v>
      </c>
      <c r="Q743" s="304">
        <f t="shared" ca="1" si="338"/>
        <v>0</v>
      </c>
      <c r="R743" s="306">
        <f t="shared" ca="1" si="339"/>
        <v>0</v>
      </c>
      <c r="S743" s="307">
        <f t="shared" ca="1" si="340"/>
        <v>2.9362999999999984</v>
      </c>
      <c r="T743" s="304">
        <f t="shared" ca="1" si="320"/>
        <v>28.805102999999985</v>
      </c>
      <c r="U743" s="311">
        <f t="shared" ca="1" si="321"/>
        <v>0</v>
      </c>
      <c r="V743" s="306">
        <f t="shared" ca="1" si="322"/>
        <v>1.2265648946548922</v>
      </c>
      <c r="W743" s="304">
        <f t="shared" ca="1" si="323"/>
        <v>27.175998511603684</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0.53120956475244085</v>
      </c>
      <c r="AH743" s="304">
        <f t="shared" ca="1" si="347"/>
        <v>-9.2551655327760827</v>
      </c>
    </row>
    <row r="744" spans="1:34" x14ac:dyDescent="0.2">
      <c r="A744" s="347">
        <f t="shared" ca="1" si="325"/>
        <v>1E-4</v>
      </c>
      <c r="B744" s="304">
        <f t="shared" ca="1" si="326"/>
        <v>37.123500000001002</v>
      </c>
      <c r="D744" s="306">
        <f t="shared" ca="1" si="327"/>
        <v>-0.64192587659480005</v>
      </c>
      <c r="E744" s="307">
        <f t="shared" ca="1" si="328"/>
        <v>-0.57710376079923442</v>
      </c>
      <c r="F744" s="304">
        <f t="shared" ca="1" si="329"/>
        <v>0.8632019356851689</v>
      </c>
      <c r="G744" s="306">
        <f t="shared" ca="1" si="330"/>
        <v>7.2272295599005867</v>
      </c>
      <c r="H744" s="307">
        <f t="shared" ca="1" si="331"/>
        <v>-103.95108342836402</v>
      </c>
      <c r="I744" s="304">
        <f t="shared" ca="1" si="332"/>
        <v>104.20201818123388</v>
      </c>
      <c r="J744" s="306">
        <f t="shared" ca="1" si="333"/>
        <v>837.4075040097224</v>
      </c>
      <c r="K744" s="307">
        <f t="shared" ca="1" si="334"/>
        <v>-12.776890973496249</v>
      </c>
      <c r="L744" s="304">
        <f t="shared" ca="1" si="319"/>
        <v>837.50497115822657</v>
      </c>
      <c r="M744" s="306">
        <f t="shared" ca="1" si="335"/>
        <v>-1.5013827327669773</v>
      </c>
      <c r="N744" s="304">
        <f t="shared" ca="1" si="336"/>
        <v>-86.02289402136573</v>
      </c>
      <c r="P744" s="310">
        <f t="shared" ca="1" si="337"/>
        <v>23</v>
      </c>
      <c r="Q744" s="304">
        <f t="shared" ca="1" si="338"/>
        <v>0</v>
      </c>
      <c r="R744" s="306">
        <f t="shared" ca="1" si="339"/>
        <v>0</v>
      </c>
      <c r="S744" s="307">
        <f t="shared" ca="1" si="340"/>
        <v>2.9362999999999984</v>
      </c>
      <c r="T744" s="304">
        <f t="shared" ca="1" si="320"/>
        <v>28.805102999999985</v>
      </c>
      <c r="U744" s="311">
        <f t="shared" ca="1" si="321"/>
        <v>0</v>
      </c>
      <c r="V744" s="306">
        <f t="shared" ca="1" si="322"/>
        <v>1.2265661696832177</v>
      </c>
      <c r="W744" s="304">
        <f t="shared" ca="1" si="323"/>
        <v>27.176054468462919</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0.53119095182436382</v>
      </c>
      <c r="AH744" s="304">
        <f t="shared" ca="1" si="347"/>
        <v>-9.255184589995471</v>
      </c>
    </row>
    <row r="745" spans="1:34" x14ac:dyDescent="0.2">
      <c r="A745" s="347">
        <f t="shared" ca="1" si="325"/>
        <v>1E-4</v>
      </c>
      <c r="B745" s="304">
        <f t="shared" ca="1" si="326"/>
        <v>37.123600000001005</v>
      </c>
      <c r="D745" s="306">
        <f t="shared" ca="1" si="327"/>
        <v>-0.64192116954597633</v>
      </c>
      <c r="E745" s="307">
        <f t="shared" ca="1" si="328"/>
        <v>-0.57708433060693665</v>
      </c>
      <c r="F745" s="304">
        <f t="shared" ca="1" si="329"/>
        <v>0.86318544504835715</v>
      </c>
      <c r="G745" s="306">
        <f t="shared" ca="1" si="330"/>
        <v>7.2271653677836323</v>
      </c>
      <c r="H745" s="307">
        <f t="shared" ca="1" si="331"/>
        <v>-103.95114113679708</v>
      </c>
      <c r="I745" s="304">
        <f t="shared" ca="1" si="332"/>
        <v>104.20207129849001</v>
      </c>
      <c r="J745" s="306">
        <f t="shared" ca="1" si="333"/>
        <v>837.4075040097224</v>
      </c>
      <c r="K745" s="307">
        <f t="shared" ca="1" si="334"/>
        <v>-12.787286084724506</v>
      </c>
      <c r="L745" s="304">
        <f t="shared" ca="1" si="319"/>
        <v>837.50512980948713</v>
      </c>
      <c r="M745" s="306">
        <f t="shared" ca="1" si="335"/>
        <v>-1.5013833857296792</v>
      </c>
      <c r="N745" s="304">
        <f t="shared" ca="1" si="336"/>
        <v>-86.022931433372733</v>
      </c>
      <c r="P745" s="310">
        <f t="shared" ca="1" si="337"/>
        <v>23</v>
      </c>
      <c r="Q745" s="304">
        <f t="shared" ca="1" si="338"/>
        <v>0</v>
      </c>
      <c r="R745" s="306">
        <f t="shared" ca="1" si="339"/>
        <v>0</v>
      </c>
      <c r="S745" s="307">
        <f t="shared" ca="1" si="340"/>
        <v>2.9362999999999984</v>
      </c>
      <c r="T745" s="304">
        <f t="shared" ca="1" si="320"/>
        <v>28.805102999999985</v>
      </c>
      <c r="U745" s="311">
        <f t="shared" ca="1" si="321"/>
        <v>0</v>
      </c>
      <c r="V745" s="306">
        <f t="shared" ca="1" si="322"/>
        <v>1.2265674447135775</v>
      </c>
      <c r="W745" s="304">
        <f t="shared" ca="1" si="323"/>
        <v>27.176110424468099</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0.53117233917857654</v>
      </c>
      <c r="AH745" s="304">
        <f t="shared" ca="1" si="347"/>
        <v>-9.2552036469239969</v>
      </c>
    </row>
    <row r="746" spans="1:34" x14ac:dyDescent="0.2">
      <c r="A746" s="347">
        <f t="shared" ca="1" si="325"/>
        <v>1E-4</v>
      </c>
      <c r="B746" s="304">
        <f t="shared" ca="1" si="326"/>
        <v>37.123700000001008</v>
      </c>
      <c r="D746" s="306">
        <f t="shared" ca="1" si="327"/>
        <v>-0.64191646251157608</v>
      </c>
      <c r="E746" s="307">
        <f t="shared" ca="1" si="328"/>
        <v>-0.57706490071115724</v>
      </c>
      <c r="F746" s="304">
        <f t="shared" ca="1" si="329"/>
        <v>0.86316895476850497</v>
      </c>
      <c r="G746" s="306">
        <f t="shared" ca="1" si="330"/>
        <v>7.2271011761373813</v>
      </c>
      <c r="H746" s="307">
        <f t="shared" ca="1" si="331"/>
        <v>-103.95119884328714</v>
      </c>
      <c r="I746" s="304">
        <f t="shared" ca="1" si="332"/>
        <v>104.2021244138849</v>
      </c>
      <c r="J746" s="306">
        <f t="shared" ca="1" si="333"/>
        <v>837.4075040097224</v>
      </c>
      <c r="K746" s="307">
        <f t="shared" ca="1" si="334"/>
        <v>-12.797681201723512</v>
      </c>
      <c r="L746" s="304">
        <f t="shared" ca="1" si="319"/>
        <v>837.50528858982977</v>
      </c>
      <c r="M746" s="306">
        <f t="shared" ca="1" si="335"/>
        <v>-1.5013840386859161</v>
      </c>
      <c r="N746" s="304">
        <f t="shared" ca="1" si="336"/>
        <v>-86.022968845009302</v>
      </c>
      <c r="P746" s="310">
        <f t="shared" ca="1" si="337"/>
        <v>23</v>
      </c>
      <c r="Q746" s="304">
        <f t="shared" ca="1" si="338"/>
        <v>0</v>
      </c>
      <c r="R746" s="306">
        <f t="shared" ca="1" si="339"/>
        <v>0</v>
      </c>
      <c r="S746" s="307">
        <f t="shared" ca="1" si="340"/>
        <v>2.9362999999999984</v>
      </c>
      <c r="T746" s="304">
        <f t="shared" ca="1" si="320"/>
        <v>28.805102999999985</v>
      </c>
      <c r="U746" s="311">
        <f t="shared" ca="1" si="321"/>
        <v>0</v>
      </c>
      <c r="V746" s="306">
        <f t="shared" ca="1" si="322"/>
        <v>1.2265687197459711</v>
      </c>
      <c r="W746" s="304">
        <f t="shared" ca="1" si="323"/>
        <v>27.176166379619236</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0.53115372681507722</v>
      </c>
      <c r="AH746" s="304">
        <f t="shared" ca="1" si="347"/>
        <v>-9.2552227035616639</v>
      </c>
    </row>
    <row r="747" spans="1:34" x14ac:dyDescent="0.2">
      <c r="A747" s="347">
        <f t="shared" ca="1" si="325"/>
        <v>1E-4</v>
      </c>
      <c r="B747" s="304">
        <f t="shared" ca="1" si="326"/>
        <v>37.123800000001012</v>
      </c>
      <c r="D747" s="306">
        <f t="shared" ca="1" si="327"/>
        <v>-0.64191175549159407</v>
      </c>
      <c r="E747" s="307">
        <f t="shared" ca="1" si="328"/>
        <v>-0.57704547111189264</v>
      </c>
      <c r="F747" s="304">
        <f t="shared" ca="1" si="329"/>
        <v>0.86315246484560659</v>
      </c>
      <c r="G747" s="306">
        <f t="shared" ca="1" si="330"/>
        <v>7.2270369849618321</v>
      </c>
      <c r="H747" s="307">
        <f t="shared" ca="1" si="331"/>
        <v>-103.95125654783426</v>
      </c>
      <c r="I747" s="304">
        <f t="shared" ca="1" si="332"/>
        <v>104.2021775274186</v>
      </c>
      <c r="J747" s="306">
        <f t="shared" ca="1" si="333"/>
        <v>837.4075040097224</v>
      </c>
      <c r="K747" s="307">
        <f t="shared" ca="1" si="334"/>
        <v>-12.808076324493067</v>
      </c>
      <c r="L747" s="304">
        <f t="shared" ca="1" si="319"/>
        <v>837.50544749925496</v>
      </c>
      <c r="M747" s="306">
        <f t="shared" ca="1" si="335"/>
        <v>-1.5013846916356877</v>
      </c>
      <c r="N747" s="304">
        <f t="shared" ca="1" si="336"/>
        <v>-86.023006256275451</v>
      </c>
      <c r="P747" s="310">
        <f t="shared" ca="1" si="337"/>
        <v>23</v>
      </c>
      <c r="Q747" s="304">
        <f t="shared" ca="1" si="338"/>
        <v>0</v>
      </c>
      <c r="R747" s="306">
        <f t="shared" ca="1" si="339"/>
        <v>0</v>
      </c>
      <c r="S747" s="307">
        <f t="shared" ca="1" si="340"/>
        <v>2.9362999999999984</v>
      </c>
      <c r="T747" s="304">
        <f t="shared" ca="1" si="320"/>
        <v>28.805102999999985</v>
      </c>
      <c r="U747" s="311">
        <f t="shared" ca="1" si="321"/>
        <v>0</v>
      </c>
      <c r="V747" s="306">
        <f t="shared" ca="1" si="322"/>
        <v>1.2265699947803994</v>
      </c>
      <c r="W747" s="304">
        <f t="shared" ca="1" si="323"/>
        <v>27.176222333916371</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0.5311351147338641</v>
      </c>
      <c r="AH747" s="304">
        <f t="shared" ca="1" si="347"/>
        <v>-9.2552417599084738</v>
      </c>
    </row>
    <row r="748" spans="1:34" x14ac:dyDescent="0.2">
      <c r="A748" s="347">
        <f t="shared" ca="1" si="325"/>
        <v>1E-4</v>
      </c>
      <c r="B748" s="304">
        <f t="shared" ca="1" si="326"/>
        <v>37.123900000001015</v>
      </c>
      <c r="D748" s="306">
        <f t="shared" ca="1" si="327"/>
        <v>-0.64190704848603453</v>
      </c>
      <c r="E748" s="307">
        <f t="shared" ca="1" si="328"/>
        <v>-0.57702604180913397</v>
      </c>
      <c r="F748" s="304">
        <f t="shared" ca="1" si="329"/>
        <v>0.86313597527965935</v>
      </c>
      <c r="G748" s="306">
        <f t="shared" ca="1" si="330"/>
        <v>7.2269727942569837</v>
      </c>
      <c r="H748" s="307">
        <f t="shared" ca="1" si="331"/>
        <v>-103.95131425043844</v>
      </c>
      <c r="I748" s="304">
        <f t="shared" ca="1" si="332"/>
        <v>104.2022306390911</v>
      </c>
      <c r="J748" s="306">
        <f t="shared" ca="1" si="333"/>
        <v>837.4075040097224</v>
      </c>
      <c r="K748" s="307">
        <f t="shared" ca="1" si="334"/>
        <v>-12.818471453032981</v>
      </c>
      <c r="L748" s="304">
        <f t="shared" ca="1" si="319"/>
        <v>837.50560653776256</v>
      </c>
      <c r="M748" s="306">
        <f t="shared" ca="1" si="335"/>
        <v>-1.5013853445789942</v>
      </c>
      <c r="N748" s="304">
        <f t="shared" ca="1" si="336"/>
        <v>-86.02304366717118</v>
      </c>
      <c r="P748" s="310">
        <f t="shared" ca="1" si="337"/>
        <v>23</v>
      </c>
      <c r="Q748" s="304">
        <f t="shared" ca="1" si="338"/>
        <v>0</v>
      </c>
      <c r="R748" s="306">
        <f t="shared" ca="1" si="339"/>
        <v>0</v>
      </c>
      <c r="S748" s="307">
        <f t="shared" ca="1" si="340"/>
        <v>2.9362999999999984</v>
      </c>
      <c r="T748" s="304">
        <f t="shared" ca="1" si="320"/>
        <v>28.805102999999985</v>
      </c>
      <c r="U748" s="311">
        <f t="shared" ca="1" si="321"/>
        <v>0</v>
      </c>
      <c r="V748" s="306">
        <f t="shared" ca="1" si="322"/>
        <v>1.2265712698168612</v>
      </c>
      <c r="W748" s="304">
        <f t="shared" ca="1" si="323"/>
        <v>27.176278287359459</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0.53111650293492119</v>
      </c>
      <c r="AH748" s="304">
        <f t="shared" ca="1" si="347"/>
        <v>-9.2552608159644407</v>
      </c>
    </row>
    <row r="749" spans="1:34" x14ac:dyDescent="0.2">
      <c r="A749" s="347">
        <f t="shared" ca="1" si="325"/>
        <v>1E-4</v>
      </c>
      <c r="B749" s="304">
        <f t="shared" ca="1" si="326"/>
        <v>37.124000000001018</v>
      </c>
      <c r="D749" s="306">
        <f t="shared" ca="1" si="327"/>
        <v>-0.641902341494895</v>
      </c>
      <c r="E749" s="307">
        <f t="shared" ca="1" si="328"/>
        <v>-0.57700661280289367</v>
      </c>
      <c r="F749" s="304">
        <f t="shared" ca="1" si="329"/>
        <v>0.86311948607066979</v>
      </c>
      <c r="G749" s="306">
        <f t="shared" ca="1" si="330"/>
        <v>7.2269086040228343</v>
      </c>
      <c r="H749" s="307">
        <f t="shared" ca="1" si="331"/>
        <v>-103.95137195109973</v>
      </c>
      <c r="I749" s="304">
        <f t="shared" ca="1" si="332"/>
        <v>104.20228374890246</v>
      </c>
      <c r="J749" s="306">
        <f t="shared" ca="1" si="333"/>
        <v>837.4075040097224</v>
      </c>
      <c r="K749" s="307">
        <f t="shared" ca="1" si="334"/>
        <v>-12.828866587343057</v>
      </c>
      <c r="L749" s="304">
        <f t="shared" ca="1" si="319"/>
        <v>837.50576570535259</v>
      </c>
      <c r="M749" s="306">
        <f t="shared" ca="1" si="335"/>
        <v>-1.5013859975158357</v>
      </c>
      <c r="N749" s="304">
        <f t="shared" ca="1" si="336"/>
        <v>-86.023081077696489</v>
      </c>
      <c r="P749" s="310">
        <f t="shared" ca="1" si="337"/>
        <v>23</v>
      </c>
      <c r="Q749" s="304">
        <f t="shared" ca="1" si="338"/>
        <v>0</v>
      </c>
      <c r="R749" s="306">
        <f t="shared" ca="1" si="339"/>
        <v>0</v>
      </c>
      <c r="S749" s="307">
        <f t="shared" ca="1" si="340"/>
        <v>2.9362999999999984</v>
      </c>
      <c r="T749" s="304">
        <f t="shared" ca="1" si="320"/>
        <v>28.805102999999985</v>
      </c>
      <c r="U749" s="311">
        <f t="shared" ca="1" si="321"/>
        <v>0</v>
      </c>
      <c r="V749" s="306">
        <f t="shared" ca="1" si="322"/>
        <v>1.2265725448553573</v>
      </c>
      <c r="W749" s="304">
        <f t="shared" ca="1" si="323"/>
        <v>27.176334239948567</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0.53109789141826624</v>
      </c>
      <c r="AH749" s="304">
        <f t="shared" ca="1" si="347"/>
        <v>-9.2552798717295488</v>
      </c>
    </row>
    <row r="750" spans="1:34" x14ac:dyDescent="0.2">
      <c r="A750" s="347">
        <f t="shared" ca="1" si="325"/>
        <v>1E-4</v>
      </c>
      <c r="B750" s="304">
        <f t="shared" ca="1" si="326"/>
        <v>37.124100000001022</v>
      </c>
      <c r="D750" s="306">
        <f t="shared" ca="1" si="327"/>
        <v>-0.64189763451817827</v>
      </c>
      <c r="E750" s="307">
        <f t="shared" ca="1" si="328"/>
        <v>-0.57698718409314864</v>
      </c>
      <c r="F750" s="304">
        <f t="shared" ca="1" si="329"/>
        <v>0.86310299721862505</v>
      </c>
      <c r="G750" s="306">
        <f t="shared" ca="1" si="330"/>
        <v>7.2268444142593822</v>
      </c>
      <c r="H750" s="307">
        <f t="shared" ca="1" si="331"/>
        <v>-103.95142964981814</v>
      </c>
      <c r="I750" s="304">
        <f t="shared" ca="1" si="332"/>
        <v>104.2023368568527</v>
      </c>
      <c r="J750" s="306">
        <f t="shared" ca="1" si="333"/>
        <v>837.4075040097224</v>
      </c>
      <c r="K750" s="307">
        <f t="shared" ca="1" si="334"/>
        <v>-12.839261727423104</v>
      </c>
      <c r="L750" s="304">
        <f t="shared" ca="1" si="319"/>
        <v>837.50592500202561</v>
      </c>
      <c r="M750" s="306">
        <f t="shared" ca="1" si="335"/>
        <v>-1.5013866504462121</v>
      </c>
      <c r="N750" s="304">
        <f t="shared" ca="1" si="336"/>
        <v>-86.023118487851377</v>
      </c>
      <c r="P750" s="310">
        <f t="shared" ca="1" si="337"/>
        <v>23</v>
      </c>
      <c r="Q750" s="304">
        <f t="shared" ca="1" si="338"/>
        <v>0</v>
      </c>
      <c r="R750" s="306">
        <f t="shared" ca="1" si="339"/>
        <v>0</v>
      </c>
      <c r="S750" s="307">
        <f t="shared" ca="1" si="340"/>
        <v>2.9362999999999984</v>
      </c>
      <c r="T750" s="304">
        <f t="shared" ca="1" si="320"/>
        <v>28.805102999999985</v>
      </c>
      <c r="U750" s="311">
        <f t="shared" ca="1" si="321"/>
        <v>0</v>
      </c>
      <c r="V750" s="306">
        <f t="shared" ca="1" si="322"/>
        <v>1.2265738198958871</v>
      </c>
      <c r="W750" s="304">
        <f t="shared" ca="1" si="323"/>
        <v>27.176390191683662</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0.53107928018387796</v>
      </c>
      <c r="AH750" s="304">
        <f t="shared" ca="1" si="347"/>
        <v>-9.2552989272038211</v>
      </c>
    </row>
    <row r="751" spans="1:34" x14ac:dyDescent="0.2">
      <c r="A751" s="347">
        <f t="shared" ca="1" si="325"/>
        <v>1E-4</v>
      </c>
      <c r="B751" s="304">
        <f t="shared" ca="1" si="326"/>
        <v>37.124200000001025</v>
      </c>
      <c r="D751" s="306">
        <f t="shared" ca="1" si="327"/>
        <v>-0.64189292755588456</v>
      </c>
      <c r="E751" s="307">
        <f t="shared" ca="1" si="328"/>
        <v>-0.57696775567990777</v>
      </c>
      <c r="F751" s="304">
        <f t="shared" ca="1" si="329"/>
        <v>0.86308650872353099</v>
      </c>
      <c r="G751" s="306">
        <f t="shared" ca="1" si="330"/>
        <v>7.2267802249666264</v>
      </c>
      <c r="H751" s="307">
        <f t="shared" ca="1" si="331"/>
        <v>-103.95148734659371</v>
      </c>
      <c r="I751" s="304">
        <f t="shared" ca="1" si="332"/>
        <v>104.20238996294182</v>
      </c>
      <c r="J751" s="306">
        <f t="shared" ca="1" si="333"/>
        <v>837.4075040097224</v>
      </c>
      <c r="K751" s="307">
        <f t="shared" ca="1" si="334"/>
        <v>-12.849656873272924</v>
      </c>
      <c r="L751" s="304">
        <f t="shared" ca="1" si="319"/>
        <v>837.50608442778139</v>
      </c>
      <c r="M751" s="306">
        <f t="shared" ca="1" si="335"/>
        <v>-1.5013873033701235</v>
      </c>
      <c r="N751" s="304">
        <f t="shared" ca="1" si="336"/>
        <v>-86.023155897635831</v>
      </c>
      <c r="P751" s="310">
        <f t="shared" ca="1" si="337"/>
        <v>23</v>
      </c>
      <c r="Q751" s="304">
        <f t="shared" ca="1" si="338"/>
        <v>0</v>
      </c>
      <c r="R751" s="306">
        <f t="shared" ca="1" si="339"/>
        <v>0</v>
      </c>
      <c r="S751" s="307">
        <f t="shared" ca="1" si="340"/>
        <v>2.9362999999999984</v>
      </c>
      <c r="T751" s="304">
        <f t="shared" ca="1" si="320"/>
        <v>28.805102999999985</v>
      </c>
      <c r="U751" s="311">
        <f t="shared" ca="1" si="321"/>
        <v>0</v>
      </c>
      <c r="V751" s="306">
        <f t="shared" ca="1" si="322"/>
        <v>1.2265750949384511</v>
      </c>
      <c r="W751" s="304">
        <f t="shared" ca="1" si="323"/>
        <v>27.176446142564764</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0.53106066923176165</v>
      </c>
      <c r="AH751" s="304">
        <f t="shared" ca="1" si="347"/>
        <v>-9.2553179823872487</v>
      </c>
    </row>
    <row r="752" spans="1:34" x14ac:dyDescent="0.2">
      <c r="A752" s="347">
        <f t="shared" ca="1" si="325"/>
        <v>1E-4</v>
      </c>
      <c r="B752" s="304">
        <f t="shared" ca="1" si="326"/>
        <v>37.124300000001028</v>
      </c>
      <c r="D752" s="306">
        <f t="shared" ca="1" si="327"/>
        <v>-0.64188822060801498</v>
      </c>
      <c r="E752" s="307">
        <f t="shared" ca="1" si="328"/>
        <v>-0.57694832756316927</v>
      </c>
      <c r="F752" s="304">
        <f t="shared" ca="1" si="329"/>
        <v>0.86307002058538784</v>
      </c>
      <c r="G752" s="306">
        <f t="shared" ca="1" si="330"/>
        <v>7.2267160361445653</v>
      </c>
      <c r="H752" s="307">
        <f t="shared" ca="1" si="331"/>
        <v>-103.95154504142647</v>
      </c>
      <c r="I752" s="304">
        <f t="shared" ca="1" si="332"/>
        <v>104.20244306716991</v>
      </c>
      <c r="J752" s="306">
        <f t="shared" ca="1" si="333"/>
        <v>837.4075040097224</v>
      </c>
      <c r="K752" s="307">
        <f t="shared" ca="1" si="334"/>
        <v>-12.860052024892324</v>
      </c>
      <c r="L752" s="304">
        <f t="shared" ca="1" si="319"/>
        <v>837.50624398262016</v>
      </c>
      <c r="M752" s="306">
        <f t="shared" ca="1" si="335"/>
        <v>-1.5013879562875703</v>
      </c>
      <c r="N752" s="304">
        <f t="shared" ca="1" si="336"/>
        <v>-86.023193307049908</v>
      </c>
      <c r="P752" s="310">
        <f t="shared" ca="1" si="337"/>
        <v>23</v>
      </c>
      <c r="Q752" s="304">
        <f t="shared" ca="1" si="338"/>
        <v>0</v>
      </c>
      <c r="R752" s="306">
        <f t="shared" ca="1" si="339"/>
        <v>0</v>
      </c>
      <c r="S752" s="307">
        <f t="shared" ca="1" si="340"/>
        <v>2.9362999999999984</v>
      </c>
      <c r="T752" s="304">
        <f t="shared" ca="1" si="320"/>
        <v>28.805102999999985</v>
      </c>
      <c r="U752" s="311">
        <f t="shared" ca="1" si="321"/>
        <v>0</v>
      </c>
      <c r="V752" s="306">
        <f t="shared" ca="1" si="322"/>
        <v>1.226576369983049</v>
      </c>
      <c r="W752" s="304">
        <f t="shared" ca="1" si="323"/>
        <v>27.176502092591903</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0.53104205856191733</v>
      </c>
      <c r="AH752" s="304">
        <f t="shared" ca="1" si="347"/>
        <v>-9.2553370372798351</v>
      </c>
    </row>
    <row r="753" spans="1:34" x14ac:dyDescent="0.2">
      <c r="A753" s="347">
        <f t="shared" ca="1" si="325"/>
        <v>1E-4</v>
      </c>
      <c r="B753" s="304">
        <f t="shared" ca="1" si="326"/>
        <v>37.124400000001032</v>
      </c>
      <c r="D753" s="306">
        <f t="shared" ca="1" si="327"/>
        <v>-0.6418835136745672</v>
      </c>
      <c r="E753" s="307">
        <f t="shared" ca="1" si="328"/>
        <v>-0.5769288997429225</v>
      </c>
      <c r="F753" s="304">
        <f t="shared" ca="1" si="329"/>
        <v>0.86305353280418673</v>
      </c>
      <c r="G753" s="306">
        <f t="shared" ca="1" si="330"/>
        <v>7.2266518477931978</v>
      </c>
      <c r="H753" s="307">
        <f t="shared" ca="1" si="331"/>
        <v>-103.95160273431644</v>
      </c>
      <c r="I753" s="304">
        <f t="shared" ca="1" si="332"/>
        <v>104.20249616953693</v>
      </c>
      <c r="J753" s="306">
        <f t="shared" ca="1" si="333"/>
        <v>837.4075040097224</v>
      </c>
      <c r="K753" s="307">
        <f t="shared" ca="1" si="334"/>
        <v>-12.870447182281112</v>
      </c>
      <c r="L753" s="304">
        <f t="shared" ca="1" si="319"/>
        <v>837.50640366654216</v>
      </c>
      <c r="M753" s="306">
        <f t="shared" ca="1" si="335"/>
        <v>-1.5013886091985524</v>
      </c>
      <c r="N753" s="304">
        <f t="shared" ca="1" si="336"/>
        <v>-86.023230716093579</v>
      </c>
      <c r="P753" s="310">
        <f t="shared" ca="1" si="337"/>
        <v>23</v>
      </c>
      <c r="Q753" s="304">
        <f t="shared" ca="1" si="338"/>
        <v>0</v>
      </c>
      <c r="R753" s="306">
        <f t="shared" ca="1" si="339"/>
        <v>0</v>
      </c>
      <c r="S753" s="307">
        <f t="shared" ca="1" si="340"/>
        <v>2.9362999999999984</v>
      </c>
      <c r="T753" s="304">
        <f t="shared" ca="1" si="320"/>
        <v>28.805102999999985</v>
      </c>
      <c r="U753" s="311">
        <f t="shared" ca="1" si="321"/>
        <v>0</v>
      </c>
      <c r="V753" s="306">
        <f t="shared" ca="1" si="322"/>
        <v>1.226577645029681</v>
      </c>
      <c r="W753" s="304">
        <f t="shared" ca="1" si="323"/>
        <v>27.176558041765063</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0.53102344817433078</v>
      </c>
      <c r="AH753" s="304">
        <f t="shared" ca="1" si="347"/>
        <v>-9.2553560918815911</v>
      </c>
    </row>
    <row r="754" spans="1:34" x14ac:dyDescent="0.2">
      <c r="A754" s="347">
        <f t="shared" ca="1" si="325"/>
        <v>1E-4</v>
      </c>
      <c r="B754" s="304">
        <f t="shared" ca="1" si="326"/>
        <v>37.124500000001035</v>
      </c>
      <c r="D754" s="306">
        <f t="shared" ca="1" si="327"/>
        <v>-0.64187880675554199</v>
      </c>
      <c r="E754" s="307">
        <f t="shared" ca="1" si="328"/>
        <v>-0.57690947221916566</v>
      </c>
      <c r="F754" s="304">
        <f t="shared" ca="1" si="329"/>
        <v>0.86303704537992731</v>
      </c>
      <c r="G754" s="306">
        <f t="shared" ca="1" si="330"/>
        <v>7.2265876599125223</v>
      </c>
      <c r="H754" s="307">
        <f t="shared" ca="1" si="331"/>
        <v>-103.95166042526365</v>
      </c>
      <c r="I754" s="304">
        <f t="shared" ca="1" si="332"/>
        <v>104.20254927004294</v>
      </c>
      <c r="J754" s="306">
        <f t="shared" ca="1" si="333"/>
        <v>837.4075040097224</v>
      </c>
      <c r="K754" s="307">
        <f t="shared" ca="1" si="334"/>
        <v>-12.88084234543909</v>
      </c>
      <c r="L754" s="304">
        <f t="shared" ca="1" si="319"/>
        <v>837.50656347954748</v>
      </c>
      <c r="M754" s="306">
        <f t="shared" ca="1" si="335"/>
        <v>-1.5013892621030698</v>
      </c>
      <c r="N754" s="304">
        <f t="shared" ca="1" si="336"/>
        <v>-86.023268124766858</v>
      </c>
      <c r="P754" s="310">
        <f t="shared" ca="1" si="337"/>
        <v>23</v>
      </c>
      <c r="Q754" s="304">
        <f t="shared" ca="1" si="338"/>
        <v>0</v>
      </c>
      <c r="R754" s="306">
        <f t="shared" ca="1" si="339"/>
        <v>0</v>
      </c>
      <c r="S754" s="307">
        <f t="shared" ca="1" si="340"/>
        <v>2.9362999999999984</v>
      </c>
      <c r="T754" s="304">
        <f t="shared" ca="1" si="320"/>
        <v>28.805102999999985</v>
      </c>
      <c r="U754" s="311">
        <f t="shared" ca="1" si="321"/>
        <v>0</v>
      </c>
      <c r="V754" s="306">
        <f t="shared" ca="1" si="322"/>
        <v>1.2265789200783466</v>
      </c>
      <c r="W754" s="304">
        <f t="shared" ca="1" si="323"/>
        <v>27.176613990084256</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0.53100483806901089</v>
      </c>
      <c r="AH754" s="304">
        <f t="shared" ca="1" si="347"/>
        <v>-9.2553751461925131</v>
      </c>
    </row>
    <row r="755" spans="1:34" x14ac:dyDescent="0.2">
      <c r="A755" s="347">
        <f t="shared" ca="1" si="325"/>
        <v>1E-4</v>
      </c>
      <c r="B755" s="304">
        <f t="shared" ca="1" si="326"/>
        <v>37.124600000001038</v>
      </c>
      <c r="D755" s="306">
        <f t="shared" ca="1" si="327"/>
        <v>-0.64187409985094235</v>
      </c>
      <c r="E755" s="307">
        <f t="shared" ca="1" si="328"/>
        <v>-0.57689004499190055</v>
      </c>
      <c r="F755" s="304">
        <f t="shared" ca="1" si="329"/>
        <v>0.86302055831261315</v>
      </c>
      <c r="G755" s="306">
        <f t="shared" ca="1" si="330"/>
        <v>7.2265234725025369</v>
      </c>
      <c r="H755" s="307">
        <f t="shared" ca="1" si="331"/>
        <v>-103.95171811426815</v>
      </c>
      <c r="I755" s="304">
        <f t="shared" ca="1" si="332"/>
        <v>104.20260236868796</v>
      </c>
      <c r="J755" s="306">
        <f t="shared" ca="1" si="333"/>
        <v>837.4075040097224</v>
      </c>
      <c r="K755" s="307">
        <f t="shared" ca="1" si="334"/>
        <v>-12.891237514366066</v>
      </c>
      <c r="L755" s="304">
        <f t="shared" ca="1" si="319"/>
        <v>837.50672342163625</v>
      </c>
      <c r="M755" s="306">
        <f t="shared" ca="1" si="335"/>
        <v>-1.5013899150011225</v>
      </c>
      <c r="N755" s="304">
        <f t="shared" ca="1" si="336"/>
        <v>-86.023305533069731</v>
      </c>
      <c r="P755" s="310">
        <f t="shared" ca="1" si="337"/>
        <v>23</v>
      </c>
      <c r="Q755" s="304">
        <f t="shared" ca="1" si="338"/>
        <v>0</v>
      </c>
      <c r="R755" s="306">
        <f t="shared" ca="1" si="339"/>
        <v>0</v>
      </c>
      <c r="S755" s="307">
        <f t="shared" ca="1" si="340"/>
        <v>2.9362999999999984</v>
      </c>
      <c r="T755" s="304">
        <f t="shared" ca="1" si="320"/>
        <v>28.805102999999985</v>
      </c>
      <c r="U755" s="311">
        <f t="shared" ca="1" si="321"/>
        <v>0</v>
      </c>
      <c r="V755" s="306">
        <f t="shared" ca="1" si="322"/>
        <v>1.2265801951290465</v>
      </c>
      <c r="W755" s="304">
        <f t="shared" ca="1" si="323"/>
        <v>27.176669937549512</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0.53098622824595054</v>
      </c>
      <c r="AH755" s="304">
        <f t="shared" ca="1" si="347"/>
        <v>-9.2553942002126046</v>
      </c>
    </row>
    <row r="756" spans="1:34" x14ac:dyDescent="0.2">
      <c r="A756" s="347">
        <f t="shared" ca="1" si="325"/>
        <v>1E-4</v>
      </c>
      <c r="B756" s="304">
        <f t="shared" ca="1" si="326"/>
        <v>37.124700000001042</v>
      </c>
      <c r="D756" s="306">
        <f t="shared" ca="1" si="327"/>
        <v>-0.64186939296076817</v>
      </c>
      <c r="E756" s="307">
        <f t="shared" ca="1" si="328"/>
        <v>-0.57687061806111828</v>
      </c>
      <c r="F756" s="304">
        <f t="shared" ca="1" si="329"/>
        <v>0.86300407160223858</v>
      </c>
      <c r="G756" s="306">
        <f t="shared" ca="1" si="330"/>
        <v>7.2264592855632408</v>
      </c>
      <c r="H756" s="307">
        <f t="shared" ca="1" si="331"/>
        <v>-103.95177580132996</v>
      </c>
      <c r="I756" s="304">
        <f t="shared" ca="1" si="332"/>
        <v>104.20265546547205</v>
      </c>
      <c r="J756" s="306">
        <f t="shared" ca="1" si="333"/>
        <v>837.4075040097224</v>
      </c>
      <c r="K756" s="307">
        <f t="shared" ca="1" si="334"/>
        <v>-12.901632689061847</v>
      </c>
      <c r="L756" s="304">
        <f t="shared" ca="1" si="319"/>
        <v>837.50688349280847</v>
      </c>
      <c r="M756" s="306">
        <f t="shared" ca="1" si="335"/>
        <v>-1.5013905678927109</v>
      </c>
      <c r="N756" s="304">
        <f t="shared" ca="1" si="336"/>
        <v>-86.023342941002213</v>
      </c>
      <c r="P756" s="310">
        <f t="shared" ca="1" si="337"/>
        <v>23</v>
      </c>
      <c r="Q756" s="304">
        <f t="shared" ca="1" si="338"/>
        <v>0</v>
      </c>
      <c r="R756" s="306">
        <f t="shared" ca="1" si="339"/>
        <v>0</v>
      </c>
      <c r="S756" s="307">
        <f t="shared" ca="1" si="340"/>
        <v>2.9362999999999984</v>
      </c>
      <c r="T756" s="304">
        <f t="shared" ca="1" si="320"/>
        <v>28.805102999999985</v>
      </c>
      <c r="U756" s="311">
        <f t="shared" ca="1" si="321"/>
        <v>0</v>
      </c>
      <c r="V756" s="306">
        <f t="shared" ca="1" si="322"/>
        <v>1.2265814701817801</v>
      </c>
      <c r="W756" s="304">
        <f t="shared" ca="1" si="323"/>
        <v>27.176725884160838</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0.53096761870514264</v>
      </c>
      <c r="AH756" s="304">
        <f t="shared" ca="1" si="347"/>
        <v>-9.2554132539418745</v>
      </c>
    </row>
    <row r="757" spans="1:34" x14ac:dyDescent="0.2">
      <c r="A757" s="347">
        <f t="shared" ca="1" si="325"/>
        <v>1E-4</v>
      </c>
      <c r="B757" s="304">
        <f t="shared" ca="1" si="326"/>
        <v>37.124800000001045</v>
      </c>
      <c r="D757" s="306">
        <f t="shared" ca="1" si="327"/>
        <v>-0.64186468608501812</v>
      </c>
      <c r="E757" s="307">
        <f t="shared" ca="1" si="328"/>
        <v>-0.57685119142681174</v>
      </c>
      <c r="F757" s="304">
        <f t="shared" ca="1" si="329"/>
        <v>0.86298758524879782</v>
      </c>
      <c r="G757" s="306">
        <f t="shared" ca="1" si="330"/>
        <v>7.2263950990946322</v>
      </c>
      <c r="H757" s="307">
        <f t="shared" ca="1" si="331"/>
        <v>-103.9518334864491</v>
      </c>
      <c r="I757" s="304">
        <f t="shared" ca="1" si="332"/>
        <v>104.20270856039521</v>
      </c>
      <c r="J757" s="306">
        <f t="shared" ca="1" si="333"/>
        <v>837.4075040097224</v>
      </c>
      <c r="K757" s="307">
        <f t="shared" ca="1" si="334"/>
        <v>-12.912027869526236</v>
      </c>
      <c r="L757" s="304">
        <f t="shared" ca="1" si="319"/>
        <v>837.50704369306447</v>
      </c>
      <c r="M757" s="306">
        <f t="shared" ca="1" si="335"/>
        <v>-1.5013912207778346</v>
      </c>
      <c r="N757" s="304">
        <f t="shared" ca="1" si="336"/>
        <v>-86.023380348564316</v>
      </c>
      <c r="P757" s="310">
        <f t="shared" ca="1" si="337"/>
        <v>23</v>
      </c>
      <c r="Q757" s="304">
        <f t="shared" ca="1" si="338"/>
        <v>0</v>
      </c>
      <c r="R757" s="306">
        <f t="shared" ca="1" si="339"/>
        <v>0</v>
      </c>
      <c r="S757" s="307">
        <f t="shared" ca="1" si="340"/>
        <v>2.9362999999999984</v>
      </c>
      <c r="T757" s="304">
        <f t="shared" ca="1" si="320"/>
        <v>28.805102999999985</v>
      </c>
      <c r="U757" s="311">
        <f t="shared" ca="1" si="321"/>
        <v>0</v>
      </c>
      <c r="V757" s="306">
        <f t="shared" ca="1" si="322"/>
        <v>1.2265827452365474</v>
      </c>
      <c r="W757" s="304">
        <f t="shared" ca="1" si="323"/>
        <v>27.176781829918227</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0.53094900944658185</v>
      </c>
      <c r="AH757" s="304">
        <f t="shared" ca="1" si="347"/>
        <v>-9.2554323073803264</v>
      </c>
    </row>
    <row r="758" spans="1:34" x14ac:dyDescent="0.2">
      <c r="A758" s="347">
        <f t="shared" ca="1" si="325"/>
        <v>1E-4</v>
      </c>
      <c r="B758" s="304">
        <f t="shared" ca="1" si="326"/>
        <v>37.124900000001048</v>
      </c>
      <c r="D758" s="306">
        <f t="shared" ca="1" si="327"/>
        <v>-0.64185997922369553</v>
      </c>
      <c r="E758" s="307">
        <f t="shared" ca="1" si="328"/>
        <v>-0.57683176508898626</v>
      </c>
      <c r="F758" s="304">
        <f t="shared" ca="1" si="329"/>
        <v>0.8629710992522972</v>
      </c>
      <c r="G758" s="306">
        <f t="shared" ca="1" si="330"/>
        <v>7.2263309130967102</v>
      </c>
      <c r="H758" s="307">
        <f t="shared" ca="1" si="331"/>
        <v>-103.95189116962561</v>
      </c>
      <c r="I758" s="304">
        <f t="shared" ca="1" si="332"/>
        <v>104.20276165345746</v>
      </c>
      <c r="J758" s="306">
        <f t="shared" ca="1" si="333"/>
        <v>837.4075040097224</v>
      </c>
      <c r="K758" s="307">
        <f t="shared" ca="1" si="334"/>
        <v>-12.92242305575904</v>
      </c>
      <c r="L758" s="304">
        <f t="shared" ca="1" si="319"/>
        <v>837.50720402240438</v>
      </c>
      <c r="M758" s="306">
        <f t="shared" ca="1" si="335"/>
        <v>-1.5013918736564942</v>
      </c>
      <c r="N758" s="304">
        <f t="shared" ca="1" si="336"/>
        <v>-86.023417755756043</v>
      </c>
      <c r="P758" s="310">
        <f t="shared" ca="1" si="337"/>
        <v>23</v>
      </c>
      <c r="Q758" s="304">
        <f t="shared" ca="1" si="338"/>
        <v>0</v>
      </c>
      <c r="R758" s="306">
        <f t="shared" ca="1" si="339"/>
        <v>0</v>
      </c>
      <c r="S758" s="307">
        <f t="shared" ca="1" si="340"/>
        <v>2.9362999999999984</v>
      </c>
      <c r="T758" s="304">
        <f t="shared" ca="1" si="320"/>
        <v>28.805102999999985</v>
      </c>
      <c r="U758" s="311">
        <f t="shared" ca="1" si="321"/>
        <v>0</v>
      </c>
      <c r="V758" s="306">
        <f t="shared" ca="1" si="322"/>
        <v>1.2265840202933485</v>
      </c>
      <c r="W758" s="304">
        <f t="shared" ca="1" si="323"/>
        <v>27.176837774821696</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0.53093040047027174</v>
      </c>
      <c r="AH758" s="304">
        <f t="shared" ca="1" si="347"/>
        <v>-9.2554513605279585</v>
      </c>
    </row>
    <row r="759" spans="1:34" x14ac:dyDescent="0.2">
      <c r="A759" s="347">
        <f t="shared" ca="1" si="325"/>
        <v>1E-4</v>
      </c>
      <c r="B759" s="304">
        <f t="shared" ca="1" si="326"/>
        <v>37.125000000001052</v>
      </c>
      <c r="D759" s="306">
        <f t="shared" ca="1" si="327"/>
        <v>-0.64185527237679707</v>
      </c>
      <c r="E759" s="307">
        <f t="shared" ca="1" si="328"/>
        <v>-0.57681233904763296</v>
      </c>
      <c r="F759" s="304">
        <f t="shared" ca="1" si="329"/>
        <v>0.86295461361272874</v>
      </c>
      <c r="G759" s="306">
        <f t="shared" ca="1" si="330"/>
        <v>7.2262667275694721</v>
      </c>
      <c r="H759" s="307">
        <f t="shared" ca="1" si="331"/>
        <v>-103.95194885085951</v>
      </c>
      <c r="I759" s="304">
        <f t="shared" ca="1" si="332"/>
        <v>104.20281474465882</v>
      </c>
      <c r="J759" s="306">
        <f t="shared" ca="1" si="333"/>
        <v>837.4075040097224</v>
      </c>
      <c r="K759" s="307">
        <f t="shared" ca="1" si="334"/>
        <v>-12.932818247760064</v>
      </c>
      <c r="L759" s="304">
        <f t="shared" ca="1" si="319"/>
        <v>837.50736448082819</v>
      </c>
      <c r="M759" s="306">
        <f t="shared" ca="1" si="335"/>
        <v>-1.5013925265286894</v>
      </c>
      <c r="N759" s="304">
        <f t="shared" ca="1" si="336"/>
        <v>-86.023455162577392</v>
      </c>
      <c r="P759" s="310">
        <f t="shared" ca="1" si="337"/>
        <v>23</v>
      </c>
      <c r="Q759" s="304">
        <f t="shared" ca="1" si="338"/>
        <v>0</v>
      </c>
      <c r="R759" s="306">
        <f t="shared" ca="1" si="339"/>
        <v>0</v>
      </c>
      <c r="S759" s="307">
        <f t="shared" ca="1" si="340"/>
        <v>2.9362999999999984</v>
      </c>
      <c r="T759" s="304">
        <f t="shared" ca="1" si="320"/>
        <v>28.805102999999985</v>
      </c>
      <c r="U759" s="311">
        <f t="shared" ca="1" si="321"/>
        <v>0</v>
      </c>
      <c r="V759" s="306">
        <f t="shared" ca="1" si="322"/>
        <v>1.2265852953521834</v>
      </c>
      <c r="W759" s="304">
        <f t="shared" ca="1" si="323"/>
        <v>27.176893718871245</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0.53091179177620873</v>
      </c>
      <c r="AH759" s="304">
        <f t="shared" ca="1" si="347"/>
        <v>-9.2554704133847743</v>
      </c>
    </row>
    <row r="760" spans="1:34" x14ac:dyDescent="0.2">
      <c r="A760" s="347">
        <f t="shared" ca="1" si="325"/>
        <v>1E-4</v>
      </c>
      <c r="B760" s="304">
        <f t="shared" ca="1" si="326"/>
        <v>37.125100000001055</v>
      </c>
      <c r="D760" s="306">
        <f t="shared" ca="1" si="327"/>
        <v>-0.64185056554432629</v>
      </c>
      <c r="E760" s="307">
        <f t="shared" ca="1" si="328"/>
        <v>-0.57679291330275717</v>
      </c>
      <c r="F760" s="304">
        <f t="shared" ca="1" si="329"/>
        <v>0.86293812833009842</v>
      </c>
      <c r="G760" s="306">
        <f t="shared" ca="1" si="330"/>
        <v>7.2262025425129179</v>
      </c>
      <c r="H760" s="307">
        <f t="shared" ca="1" si="331"/>
        <v>-103.95200653015084</v>
      </c>
      <c r="I760" s="304">
        <f t="shared" ca="1" si="332"/>
        <v>104.20286783399938</v>
      </c>
      <c r="J760" s="306">
        <f t="shared" ca="1" si="333"/>
        <v>837.4075040097224</v>
      </c>
      <c r="K760" s="307">
        <f t="shared" ca="1" si="334"/>
        <v>-12.943213445529114</v>
      </c>
      <c r="L760" s="304">
        <f t="shared" ca="1" si="319"/>
        <v>837.50752506833624</v>
      </c>
      <c r="M760" s="306">
        <f t="shared" ca="1" si="335"/>
        <v>-1.5013931793944206</v>
      </c>
      <c r="N760" s="304">
        <f t="shared" ca="1" si="336"/>
        <v>-86.023492569028377</v>
      </c>
      <c r="P760" s="310">
        <f t="shared" ca="1" si="337"/>
        <v>23</v>
      </c>
      <c r="Q760" s="304">
        <f t="shared" ca="1" si="338"/>
        <v>0</v>
      </c>
      <c r="R760" s="306">
        <f t="shared" ca="1" si="339"/>
        <v>0</v>
      </c>
      <c r="S760" s="307">
        <f t="shared" ca="1" si="340"/>
        <v>2.9362999999999984</v>
      </c>
      <c r="T760" s="304">
        <f t="shared" ca="1" si="320"/>
        <v>28.805102999999985</v>
      </c>
      <c r="U760" s="311">
        <f t="shared" ca="1" si="321"/>
        <v>0</v>
      </c>
      <c r="V760" s="306">
        <f t="shared" ca="1" si="322"/>
        <v>1.2265865704130523</v>
      </c>
      <c r="W760" s="304">
        <f t="shared" ca="1" si="323"/>
        <v>27.176949662066914</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0.53089318336438929</v>
      </c>
      <c r="AH760" s="304">
        <f t="shared" ca="1" si="347"/>
        <v>-9.2554894659507756</v>
      </c>
    </row>
    <row r="761" spans="1:34" x14ac:dyDescent="0.2">
      <c r="A761" s="347">
        <f t="shared" ca="1" si="325"/>
        <v>1E-4</v>
      </c>
      <c r="B761" s="304">
        <f t="shared" ca="1" si="326"/>
        <v>37.125200000001058</v>
      </c>
      <c r="D761" s="306">
        <f t="shared" ca="1" si="327"/>
        <v>-0.64184585872628064</v>
      </c>
      <c r="E761" s="307">
        <f t="shared" ca="1" si="328"/>
        <v>-0.57677348785434113</v>
      </c>
      <c r="F761" s="304">
        <f t="shared" ca="1" si="329"/>
        <v>0.86292164340439304</v>
      </c>
      <c r="G761" s="306">
        <f t="shared" ca="1" si="330"/>
        <v>7.2261383579270451</v>
      </c>
      <c r="H761" s="307">
        <f t="shared" ca="1" si="331"/>
        <v>-103.95206420749963</v>
      </c>
      <c r="I761" s="304">
        <f t="shared" ca="1" si="332"/>
        <v>104.20292092147912</v>
      </c>
      <c r="J761" s="306">
        <f t="shared" ca="1" si="333"/>
        <v>837.4075040097224</v>
      </c>
      <c r="K761" s="307">
        <f t="shared" ca="1" si="334"/>
        <v>-12.953608649065997</v>
      </c>
      <c r="L761" s="304">
        <f t="shared" ca="1" si="319"/>
        <v>837.50768578492841</v>
      </c>
      <c r="M761" s="306">
        <f t="shared" ca="1" si="335"/>
        <v>-1.5013938322536875</v>
      </c>
      <c r="N761" s="304">
        <f t="shared" ca="1" si="336"/>
        <v>-86.023529975108985</v>
      </c>
      <c r="P761" s="310">
        <f t="shared" ca="1" si="337"/>
        <v>23</v>
      </c>
      <c r="Q761" s="304">
        <f t="shared" ca="1" si="338"/>
        <v>0</v>
      </c>
      <c r="R761" s="306">
        <f t="shared" ca="1" si="339"/>
        <v>0</v>
      </c>
      <c r="S761" s="307">
        <f t="shared" ca="1" si="340"/>
        <v>2.9362999999999984</v>
      </c>
      <c r="T761" s="304">
        <f t="shared" ca="1" si="320"/>
        <v>28.805102999999985</v>
      </c>
      <c r="U761" s="311">
        <f t="shared" ca="1" si="321"/>
        <v>0</v>
      </c>
      <c r="V761" s="306">
        <f t="shared" ca="1" si="322"/>
        <v>1.2265878454759553</v>
      </c>
      <c r="W761" s="304">
        <f t="shared" ca="1" si="323"/>
        <v>27.177005604408709</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0.5308745752348063</v>
      </c>
      <c r="AH761" s="304">
        <f t="shared" ca="1" si="347"/>
        <v>-9.2555085182259749</v>
      </c>
    </row>
    <row r="762" spans="1:34" x14ac:dyDescent="0.2">
      <c r="A762" s="347">
        <f t="shared" ca="1" si="325"/>
        <v>1E-4</v>
      </c>
      <c r="B762" s="304">
        <f t="shared" ca="1" si="326"/>
        <v>37.125300000001062</v>
      </c>
      <c r="D762" s="306">
        <f t="shared" ca="1" si="327"/>
        <v>-0.64184115192266533</v>
      </c>
      <c r="E762" s="307">
        <f t="shared" ca="1" si="328"/>
        <v>-0.57675406270238305</v>
      </c>
      <c r="F762" s="304">
        <f t="shared" ca="1" si="329"/>
        <v>0.86290515883561525</v>
      </c>
      <c r="G762" s="306">
        <f t="shared" ca="1" si="330"/>
        <v>7.2260741738118526</v>
      </c>
      <c r="H762" s="307">
        <f t="shared" ca="1" si="331"/>
        <v>-103.9521218829059</v>
      </c>
      <c r="I762" s="304">
        <f t="shared" ca="1" si="332"/>
        <v>104.20297400709806</v>
      </c>
      <c r="J762" s="306">
        <f t="shared" ca="1" si="333"/>
        <v>837.4075040097224</v>
      </c>
      <c r="K762" s="307">
        <f t="shared" ca="1" si="334"/>
        <v>-12.964003858370516</v>
      </c>
      <c r="L762" s="304">
        <f t="shared" ca="1" si="319"/>
        <v>837.50784663060506</v>
      </c>
      <c r="M762" s="306">
        <f t="shared" ca="1" si="335"/>
        <v>-1.5013944851064907</v>
      </c>
      <c r="N762" s="304">
        <f t="shared" ca="1" si="336"/>
        <v>-86.023567380819244</v>
      </c>
      <c r="P762" s="310">
        <f t="shared" ca="1" si="337"/>
        <v>23</v>
      </c>
      <c r="Q762" s="304">
        <f t="shared" ca="1" si="338"/>
        <v>0</v>
      </c>
      <c r="R762" s="306">
        <f t="shared" ca="1" si="339"/>
        <v>0</v>
      </c>
      <c r="S762" s="307">
        <f t="shared" ca="1" si="340"/>
        <v>2.9362999999999984</v>
      </c>
      <c r="T762" s="304">
        <f t="shared" ca="1" si="320"/>
        <v>28.805102999999985</v>
      </c>
      <c r="U762" s="311">
        <f t="shared" ca="1" si="321"/>
        <v>0</v>
      </c>
      <c r="V762" s="306">
        <f t="shared" ca="1" si="322"/>
        <v>1.2265891205408916</v>
      </c>
      <c r="W762" s="304">
        <f t="shared" ca="1" si="323"/>
        <v>27.17706154589661</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0.53085596738745089</v>
      </c>
      <c r="AH762" s="304">
        <f t="shared" ca="1" si="347"/>
        <v>-9.2555275702103756</v>
      </c>
    </row>
    <row r="763" spans="1:34" x14ac:dyDescent="0.2">
      <c r="A763" s="347">
        <f t="shared" ca="1" si="325"/>
        <v>1E-4</v>
      </c>
      <c r="B763" s="304">
        <f t="shared" ca="1" si="326"/>
        <v>37.125400000001065</v>
      </c>
      <c r="D763" s="306">
        <f t="shared" ca="1" si="327"/>
        <v>-0.64183644513347482</v>
      </c>
      <c r="E763" s="307">
        <f t="shared" ca="1" si="328"/>
        <v>-0.57673463784689005</v>
      </c>
      <c r="F763" s="304">
        <f t="shared" ca="1" si="329"/>
        <v>0.86288867462376595</v>
      </c>
      <c r="G763" s="306">
        <f t="shared" ca="1" si="330"/>
        <v>7.2260099901673396</v>
      </c>
      <c r="H763" s="307">
        <f t="shared" ca="1" si="331"/>
        <v>-103.95217955636969</v>
      </c>
      <c r="I763" s="304">
        <f t="shared" ca="1" si="332"/>
        <v>104.20302709085625</v>
      </c>
      <c r="J763" s="306">
        <f t="shared" ca="1" si="333"/>
        <v>837.4075040097224</v>
      </c>
      <c r="K763" s="307">
        <f t="shared" ca="1" si="334"/>
        <v>-12.974399073442481</v>
      </c>
      <c r="L763" s="304">
        <f t="shared" ca="1" si="319"/>
        <v>837.50800760536629</v>
      </c>
      <c r="M763" s="306">
        <f t="shared" ca="1" si="335"/>
        <v>-1.5013951379528296</v>
      </c>
      <c r="N763" s="304">
        <f t="shared" ca="1" si="336"/>
        <v>-86.02360478615914</v>
      </c>
      <c r="P763" s="310">
        <f t="shared" ca="1" si="337"/>
        <v>23</v>
      </c>
      <c r="Q763" s="304">
        <f t="shared" ca="1" si="338"/>
        <v>0</v>
      </c>
      <c r="R763" s="306">
        <f t="shared" ca="1" si="339"/>
        <v>0</v>
      </c>
      <c r="S763" s="307">
        <f t="shared" ca="1" si="340"/>
        <v>2.9362999999999984</v>
      </c>
      <c r="T763" s="304">
        <f t="shared" ca="1" si="320"/>
        <v>28.805102999999985</v>
      </c>
      <c r="U763" s="311">
        <f t="shared" ca="1" si="321"/>
        <v>0</v>
      </c>
      <c r="V763" s="306">
        <f t="shared" ca="1" si="322"/>
        <v>1.2265903956078616</v>
      </c>
      <c r="W763" s="304">
        <f t="shared" ca="1" si="323"/>
        <v>27.177117486530634</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0.53083735982233549</v>
      </c>
      <c r="AH763" s="304">
        <f t="shared" ca="1" si="347"/>
        <v>-9.255546621903969</v>
      </c>
    </row>
    <row r="764" spans="1:34" x14ac:dyDescent="0.2">
      <c r="A764" s="347">
        <f t="shared" ca="1" si="325"/>
        <v>1E-4</v>
      </c>
      <c r="B764" s="304">
        <f t="shared" ca="1" si="326"/>
        <v>37.125500000001068</v>
      </c>
      <c r="D764" s="306">
        <f t="shared" ca="1" si="327"/>
        <v>-0.64183173835871465</v>
      </c>
      <c r="E764" s="307">
        <f t="shared" ca="1" si="328"/>
        <v>-0.5767152132878568</v>
      </c>
      <c r="F764" s="304">
        <f t="shared" ca="1" si="329"/>
        <v>0.86287219076884591</v>
      </c>
      <c r="G764" s="306">
        <f t="shared" ca="1" si="330"/>
        <v>7.2259458069935034</v>
      </c>
      <c r="H764" s="307">
        <f t="shared" ca="1" si="331"/>
        <v>-103.95223722789102</v>
      </c>
      <c r="I764" s="304">
        <f t="shared" ca="1" si="332"/>
        <v>104.20308017275372</v>
      </c>
      <c r="J764" s="306">
        <f t="shared" ca="1" si="333"/>
        <v>837.4075040097224</v>
      </c>
      <c r="K764" s="307">
        <f t="shared" ca="1" si="334"/>
        <v>-12.984794294281693</v>
      </c>
      <c r="L764" s="304">
        <f t="shared" ca="1" si="319"/>
        <v>837.5081687092121</v>
      </c>
      <c r="M764" s="306">
        <f t="shared" ca="1" si="335"/>
        <v>-1.5013957907927047</v>
      </c>
      <c r="N764" s="304">
        <f t="shared" ca="1" si="336"/>
        <v>-86.023642191128687</v>
      </c>
      <c r="P764" s="310">
        <f t="shared" ca="1" si="337"/>
        <v>23</v>
      </c>
      <c r="Q764" s="304">
        <f t="shared" ca="1" si="338"/>
        <v>0</v>
      </c>
      <c r="R764" s="306">
        <f t="shared" ca="1" si="339"/>
        <v>0</v>
      </c>
      <c r="S764" s="307">
        <f t="shared" ca="1" si="340"/>
        <v>2.9362999999999984</v>
      </c>
      <c r="T764" s="304">
        <f t="shared" ca="1" si="320"/>
        <v>28.805102999999985</v>
      </c>
      <c r="U764" s="311">
        <f t="shared" ca="1" si="321"/>
        <v>0</v>
      </c>
      <c r="V764" s="306">
        <f t="shared" ca="1" si="322"/>
        <v>1.2265916706768658</v>
      </c>
      <c r="W764" s="304">
        <f t="shared" ca="1" si="323"/>
        <v>27.177173426310819</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0.53081875253944943</v>
      </c>
      <c r="AH764" s="304">
        <f t="shared" ca="1" si="347"/>
        <v>-9.2555656733067639</v>
      </c>
    </row>
    <row r="765" spans="1:34" x14ac:dyDescent="0.2">
      <c r="A765" s="347">
        <f t="shared" ca="1" si="325"/>
        <v>1E-4</v>
      </c>
      <c r="B765" s="304">
        <f t="shared" ca="1" si="326"/>
        <v>37.125600000001072</v>
      </c>
      <c r="D765" s="306">
        <f t="shared" ca="1" si="327"/>
        <v>-0.64182703159838417</v>
      </c>
      <c r="E765" s="307">
        <f t="shared" ca="1" si="328"/>
        <v>-0.57669578902527086</v>
      </c>
      <c r="F765" s="304">
        <f t="shared" ca="1" si="329"/>
        <v>0.86285570727084659</v>
      </c>
      <c r="G765" s="306">
        <f t="shared" ca="1" si="330"/>
        <v>7.2258816242903432</v>
      </c>
      <c r="H765" s="307">
        <f t="shared" ca="1" si="331"/>
        <v>-103.95229489746993</v>
      </c>
      <c r="I765" s="304">
        <f t="shared" ca="1" si="332"/>
        <v>104.20313325279048</v>
      </c>
      <c r="J765" s="306">
        <f t="shared" ca="1" si="333"/>
        <v>837.4075040097224</v>
      </c>
      <c r="K765" s="307">
        <f t="shared" ca="1" si="334"/>
        <v>-12.995189520887962</v>
      </c>
      <c r="L765" s="304">
        <f t="shared" ca="1" si="319"/>
        <v>837.50832994214272</v>
      </c>
      <c r="M765" s="306">
        <f t="shared" ca="1" si="335"/>
        <v>-1.501396443626116</v>
      </c>
      <c r="N765" s="304">
        <f t="shared" ca="1" si="336"/>
        <v>-86.02367959572787</v>
      </c>
      <c r="P765" s="310">
        <f t="shared" ca="1" si="337"/>
        <v>23</v>
      </c>
      <c r="Q765" s="304">
        <f t="shared" ca="1" si="338"/>
        <v>0</v>
      </c>
      <c r="R765" s="306">
        <f t="shared" ca="1" si="339"/>
        <v>0</v>
      </c>
      <c r="S765" s="307">
        <f t="shared" ca="1" si="340"/>
        <v>2.9362999999999984</v>
      </c>
      <c r="T765" s="304">
        <f t="shared" ca="1" si="320"/>
        <v>28.805102999999985</v>
      </c>
      <c r="U765" s="311">
        <f t="shared" ca="1" si="321"/>
        <v>0</v>
      </c>
      <c r="V765" s="306">
        <f t="shared" ca="1" si="322"/>
        <v>1.2265929457479032</v>
      </c>
      <c r="W765" s="304">
        <f t="shared" ca="1" si="323"/>
        <v>27.177229365237135</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0.53080014553878385</v>
      </c>
      <c r="AH765" s="304">
        <f t="shared" ca="1" si="347"/>
        <v>-9.2555847244187692</v>
      </c>
    </row>
    <row r="766" spans="1:34" x14ac:dyDescent="0.2">
      <c r="A766" s="347">
        <f t="shared" ca="1" si="325"/>
        <v>1E-4</v>
      </c>
      <c r="B766" s="304">
        <f t="shared" ca="1" si="326"/>
        <v>37.125700000001075</v>
      </c>
      <c r="D766" s="306">
        <f t="shared" ca="1" si="327"/>
        <v>-0.64182232485248203</v>
      </c>
      <c r="E766" s="307">
        <f t="shared" ca="1" si="328"/>
        <v>-0.57667636505913933</v>
      </c>
      <c r="F766" s="304">
        <f t="shared" ca="1" si="329"/>
        <v>0.86283922412977188</v>
      </c>
      <c r="G766" s="306">
        <f t="shared" ca="1" si="330"/>
        <v>7.225817442057858</v>
      </c>
      <c r="H766" s="307">
        <f t="shared" ca="1" si="331"/>
        <v>-103.95235256510644</v>
      </c>
      <c r="I766" s="304">
        <f t="shared" ca="1" si="332"/>
        <v>104.20318633096657</v>
      </c>
      <c r="J766" s="306">
        <f t="shared" ca="1" si="333"/>
        <v>837.4075040097224</v>
      </c>
      <c r="K766" s="307">
        <f t="shared" ca="1" si="334"/>
        <v>-13.005584753261092</v>
      </c>
      <c r="L766" s="304">
        <f t="shared" ca="1" si="319"/>
        <v>837.50849130415838</v>
      </c>
      <c r="M766" s="306">
        <f t="shared" ca="1" si="335"/>
        <v>-1.5013970964530639</v>
      </c>
      <c r="N766" s="304">
        <f t="shared" ca="1" si="336"/>
        <v>-86.023716999956747</v>
      </c>
      <c r="P766" s="310">
        <f t="shared" ca="1" si="337"/>
        <v>23</v>
      </c>
      <c r="Q766" s="304">
        <f t="shared" ca="1" si="338"/>
        <v>0</v>
      </c>
      <c r="R766" s="306">
        <f t="shared" ca="1" si="339"/>
        <v>0</v>
      </c>
      <c r="S766" s="307">
        <f t="shared" ca="1" si="340"/>
        <v>2.9362999999999984</v>
      </c>
      <c r="T766" s="304">
        <f t="shared" ca="1" si="320"/>
        <v>28.805102999999985</v>
      </c>
      <c r="U766" s="311">
        <f t="shared" ca="1" si="321"/>
        <v>0</v>
      </c>
      <c r="V766" s="306">
        <f t="shared" ca="1" si="322"/>
        <v>1.2265942208209746</v>
      </c>
      <c r="W766" s="304">
        <f t="shared" ca="1" si="323"/>
        <v>27.177285303309624</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0.53078153882034762</v>
      </c>
      <c r="AH766" s="304">
        <f t="shared" ca="1" si="347"/>
        <v>-9.2556037752399796</v>
      </c>
    </row>
    <row r="767" spans="1:34" x14ac:dyDescent="0.2">
      <c r="A767" s="347">
        <f t="shared" ca="1" si="325"/>
        <v>1E-4</v>
      </c>
      <c r="B767" s="304">
        <f t="shared" ca="1" si="326"/>
        <v>37.125800000001078</v>
      </c>
      <c r="D767" s="306">
        <f t="shared" ca="1" si="327"/>
        <v>-0.64181761812100779</v>
      </c>
      <c r="E767" s="307">
        <f t="shared" ca="1" si="328"/>
        <v>-0.57665694138945156</v>
      </c>
      <c r="F767" s="304">
        <f t="shared" ca="1" si="329"/>
        <v>0.86282274134561443</v>
      </c>
      <c r="G767" s="306">
        <f t="shared" ca="1" si="330"/>
        <v>7.2257532602960461</v>
      </c>
      <c r="H767" s="307">
        <f t="shared" ca="1" si="331"/>
        <v>-103.95241023080058</v>
      </c>
      <c r="I767" s="304">
        <f t="shared" ca="1" si="332"/>
        <v>104.20323940728201</v>
      </c>
      <c r="J767" s="306">
        <f t="shared" ca="1" si="333"/>
        <v>837.4075040097224</v>
      </c>
      <c r="K767" s="307">
        <f t="shared" ca="1" si="334"/>
        <v>-13.015979991400886</v>
      </c>
      <c r="L767" s="304">
        <f t="shared" ca="1" si="319"/>
        <v>837.50865279525908</v>
      </c>
      <c r="M767" s="306">
        <f t="shared" ca="1" si="335"/>
        <v>-1.5013977492735477</v>
      </c>
      <c r="N767" s="304">
        <f t="shared" ca="1" si="336"/>
        <v>-86.023754403815246</v>
      </c>
      <c r="P767" s="310">
        <f t="shared" ca="1" si="337"/>
        <v>23</v>
      </c>
      <c r="Q767" s="304">
        <f t="shared" ca="1" si="338"/>
        <v>0</v>
      </c>
      <c r="R767" s="306">
        <f t="shared" ca="1" si="339"/>
        <v>0</v>
      </c>
      <c r="S767" s="307">
        <f t="shared" ca="1" si="340"/>
        <v>2.9362999999999984</v>
      </c>
      <c r="T767" s="304">
        <f t="shared" ca="1" si="320"/>
        <v>28.805102999999985</v>
      </c>
      <c r="U767" s="311">
        <f t="shared" ca="1" si="321"/>
        <v>0</v>
      </c>
      <c r="V767" s="306">
        <f t="shared" ca="1" si="322"/>
        <v>1.2265954958960796</v>
      </c>
      <c r="W767" s="304">
        <f t="shared" ca="1" si="323"/>
        <v>27.177341240528289</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0.53076293238412831</v>
      </c>
      <c r="AH767" s="304">
        <f t="shared" ca="1" si="347"/>
        <v>-9.2556228257704038</v>
      </c>
    </row>
    <row r="768" spans="1:34" x14ac:dyDescent="0.2">
      <c r="A768" s="347">
        <f t="shared" ca="1" si="325"/>
        <v>1E-4</v>
      </c>
      <c r="B768" s="304">
        <f t="shared" ca="1" si="326"/>
        <v>37.125900000001081</v>
      </c>
      <c r="D768" s="306">
        <f t="shared" ca="1" si="327"/>
        <v>-0.6418129114039669</v>
      </c>
      <c r="E768" s="307">
        <f t="shared" ca="1" si="328"/>
        <v>-0.57663751801620577</v>
      </c>
      <c r="F768" s="304">
        <f t="shared" ca="1" si="329"/>
        <v>0.86280625891837748</v>
      </c>
      <c r="G768" s="306">
        <f t="shared" ca="1" si="330"/>
        <v>7.2256890790049058</v>
      </c>
      <c r="H768" s="307">
        <f t="shared" ca="1" si="331"/>
        <v>-103.95246789455238</v>
      </c>
      <c r="I768" s="304">
        <f t="shared" ca="1" si="332"/>
        <v>104.20329248173684</v>
      </c>
      <c r="J768" s="306">
        <f t="shared" ca="1" si="333"/>
        <v>837.4075040097224</v>
      </c>
      <c r="K768" s="307">
        <f t="shared" ca="1" si="334"/>
        <v>-13.026375235307155</v>
      </c>
      <c r="L768" s="304">
        <f t="shared" ca="1" si="319"/>
        <v>837.50881441544504</v>
      </c>
      <c r="M768" s="306">
        <f t="shared" ca="1" si="335"/>
        <v>-1.5013984020875684</v>
      </c>
      <c r="N768" s="304">
        <f t="shared" ca="1" si="336"/>
        <v>-86.023791807303439</v>
      </c>
      <c r="P768" s="310">
        <f t="shared" ca="1" si="337"/>
        <v>23</v>
      </c>
      <c r="Q768" s="304">
        <f t="shared" ca="1" si="338"/>
        <v>0</v>
      </c>
      <c r="R768" s="306">
        <f t="shared" ca="1" si="339"/>
        <v>0</v>
      </c>
      <c r="S768" s="307">
        <f t="shared" ca="1" si="340"/>
        <v>2.9362999999999984</v>
      </c>
      <c r="T768" s="304">
        <f t="shared" ca="1" si="320"/>
        <v>28.805102999999985</v>
      </c>
      <c r="U768" s="311">
        <f t="shared" ca="1" si="321"/>
        <v>0</v>
      </c>
      <c r="V768" s="306">
        <f t="shared" ca="1" si="322"/>
        <v>1.2265967709732182</v>
      </c>
      <c r="W768" s="304">
        <f t="shared" ca="1" si="323"/>
        <v>27.177397176893127</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0.53074432623012058</v>
      </c>
      <c r="AH768" s="304">
        <f t="shared" ca="1" si="347"/>
        <v>-9.2556418760100474</v>
      </c>
    </row>
    <row r="769" spans="1:34" x14ac:dyDescent="0.2">
      <c r="A769" s="347">
        <f t="shared" ca="1" si="325"/>
        <v>1E-4</v>
      </c>
      <c r="B769" s="304">
        <f t="shared" ca="1" si="326"/>
        <v>37.126000000001085</v>
      </c>
      <c r="D769" s="306">
        <f t="shared" ca="1" si="327"/>
        <v>-0.64180820470135391</v>
      </c>
      <c r="E769" s="307">
        <f t="shared" ca="1" si="328"/>
        <v>-0.57661809493939842</v>
      </c>
      <c r="F769" s="304">
        <f t="shared" ca="1" si="329"/>
        <v>0.8627897768480548</v>
      </c>
      <c r="G769" s="306">
        <f t="shared" ca="1" si="330"/>
        <v>7.225624898184436</v>
      </c>
      <c r="H769" s="307">
        <f t="shared" ca="1" si="331"/>
        <v>-103.95252555636188</v>
      </c>
      <c r="I769" s="304">
        <f t="shared" ca="1" si="332"/>
        <v>104.20334555433109</v>
      </c>
      <c r="J769" s="306">
        <f t="shared" ca="1" si="333"/>
        <v>837.4075040097224</v>
      </c>
      <c r="K769" s="307">
        <f t="shared" ca="1" si="334"/>
        <v>-13.036770484979701</v>
      </c>
      <c r="L769" s="304">
        <f t="shared" ca="1" si="319"/>
        <v>837.50897616471627</v>
      </c>
      <c r="M769" s="306">
        <f t="shared" ca="1" si="335"/>
        <v>-1.5013990548951253</v>
      </c>
      <c r="N769" s="304">
        <f t="shared" ca="1" si="336"/>
        <v>-86.023829210421283</v>
      </c>
      <c r="P769" s="310">
        <f t="shared" ca="1" si="337"/>
        <v>23</v>
      </c>
      <c r="Q769" s="304">
        <f t="shared" ca="1" si="338"/>
        <v>0</v>
      </c>
      <c r="R769" s="306">
        <f t="shared" ca="1" si="339"/>
        <v>0</v>
      </c>
      <c r="S769" s="307">
        <f t="shared" ca="1" si="340"/>
        <v>2.9362999999999984</v>
      </c>
      <c r="T769" s="304">
        <f t="shared" ca="1" si="320"/>
        <v>28.805102999999985</v>
      </c>
      <c r="U769" s="311">
        <f t="shared" ca="1" si="321"/>
        <v>0</v>
      </c>
      <c r="V769" s="306">
        <f t="shared" ca="1" si="322"/>
        <v>1.2265980460523906</v>
      </c>
      <c r="W769" s="304">
        <f t="shared" ca="1" si="323"/>
        <v>27.177453112404166</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0.53072572035832977</v>
      </c>
      <c r="AH769" s="304">
        <f t="shared" ca="1" si="347"/>
        <v>-9.2556609259589084</v>
      </c>
    </row>
    <row r="770" spans="1:34" x14ac:dyDescent="0.2">
      <c r="A770" s="347">
        <f t="shared" ca="1" si="325"/>
        <v>1E-4</v>
      </c>
      <c r="B770" s="304">
        <f t="shared" ca="1" si="326"/>
        <v>37.126100000001088</v>
      </c>
      <c r="D770" s="306">
        <f t="shared" ca="1" si="327"/>
        <v>-0.64180349801317438</v>
      </c>
      <c r="E770" s="307">
        <f t="shared" ca="1" si="328"/>
        <v>-0.57659867215902594</v>
      </c>
      <c r="F770" s="304">
        <f t="shared" ca="1" si="329"/>
        <v>0.86277329513464807</v>
      </c>
      <c r="G770" s="306">
        <f t="shared" ca="1" si="330"/>
        <v>7.225560717834635</v>
      </c>
      <c r="H770" s="307">
        <f t="shared" ca="1" si="331"/>
        <v>-103.95258321622909</v>
      </c>
      <c r="I770" s="304">
        <f t="shared" ca="1" si="332"/>
        <v>104.20339862506476</v>
      </c>
      <c r="J770" s="306">
        <f t="shared" ca="1" si="333"/>
        <v>837.4075040097224</v>
      </c>
      <c r="K770" s="307">
        <f t="shared" ca="1" si="334"/>
        <v>-13.047165740418331</v>
      </c>
      <c r="L770" s="304">
        <f t="shared" ca="1" si="319"/>
        <v>837.50913804307311</v>
      </c>
      <c r="M770" s="306">
        <f t="shared" ca="1" si="335"/>
        <v>-1.5013997076962189</v>
      </c>
      <c r="N770" s="304">
        <f t="shared" ca="1" si="336"/>
        <v>-86.023866613168806</v>
      </c>
      <c r="P770" s="310">
        <f t="shared" ca="1" si="337"/>
        <v>23</v>
      </c>
      <c r="Q770" s="304">
        <f t="shared" ca="1" si="338"/>
        <v>0</v>
      </c>
      <c r="R770" s="306">
        <f t="shared" ca="1" si="339"/>
        <v>0</v>
      </c>
      <c r="S770" s="307">
        <f t="shared" ca="1" si="340"/>
        <v>2.9362999999999984</v>
      </c>
      <c r="T770" s="304">
        <f t="shared" ca="1" si="320"/>
        <v>28.805102999999985</v>
      </c>
      <c r="U770" s="311">
        <f t="shared" ca="1" si="321"/>
        <v>0</v>
      </c>
      <c r="V770" s="306">
        <f t="shared" ca="1" si="322"/>
        <v>1.2265993211335966</v>
      </c>
      <c r="W770" s="304">
        <f t="shared" ca="1" si="323"/>
        <v>27.177509047061402</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0.53070711476874699</v>
      </c>
      <c r="AH770" s="304">
        <f t="shared" ca="1" si="347"/>
        <v>-9.2556799756169941</v>
      </c>
    </row>
    <row r="771" spans="1:34" x14ac:dyDescent="0.2">
      <c r="A771" s="347">
        <f t="shared" ca="1" si="325"/>
        <v>1E-4</v>
      </c>
      <c r="B771" s="304">
        <f t="shared" ca="1" si="326"/>
        <v>37.126200000001091</v>
      </c>
      <c r="D771" s="306">
        <f t="shared" ca="1" si="327"/>
        <v>-0.6417987913394253</v>
      </c>
      <c r="E771" s="307">
        <f t="shared" ca="1" si="328"/>
        <v>-0.57657924967508656</v>
      </c>
      <c r="F771" s="304">
        <f t="shared" ca="1" si="329"/>
        <v>0.86275681377815439</v>
      </c>
      <c r="G771" s="306">
        <f t="shared" ca="1" si="330"/>
        <v>7.2254965379555012</v>
      </c>
      <c r="H771" s="307">
        <f t="shared" ca="1" si="331"/>
        <v>-103.95264087415406</v>
      </c>
      <c r="I771" s="304">
        <f t="shared" ca="1" si="332"/>
        <v>104.20345169393791</v>
      </c>
      <c r="J771" s="306">
        <f t="shared" ca="1" si="333"/>
        <v>837.4075040097224</v>
      </c>
      <c r="K771" s="307">
        <f t="shared" ca="1" si="334"/>
        <v>-13.057561001622849</v>
      </c>
      <c r="L771" s="304">
        <f t="shared" ca="1" si="319"/>
        <v>837.50930005051544</v>
      </c>
      <c r="M771" s="306">
        <f t="shared" ca="1" si="335"/>
        <v>-1.5014003604908492</v>
      </c>
      <c r="N771" s="304">
        <f t="shared" ca="1" si="336"/>
        <v>-86.023904015546009</v>
      </c>
      <c r="P771" s="310">
        <f t="shared" ca="1" si="337"/>
        <v>23</v>
      </c>
      <c r="Q771" s="304">
        <f t="shared" ca="1" si="338"/>
        <v>0</v>
      </c>
      <c r="R771" s="306">
        <f t="shared" ca="1" si="339"/>
        <v>0</v>
      </c>
      <c r="S771" s="307">
        <f t="shared" ca="1" si="340"/>
        <v>2.9362999999999984</v>
      </c>
      <c r="T771" s="304">
        <f t="shared" ca="1" si="320"/>
        <v>28.805102999999985</v>
      </c>
      <c r="U771" s="311">
        <f t="shared" ca="1" si="321"/>
        <v>0</v>
      </c>
      <c r="V771" s="306">
        <f t="shared" ca="1" si="322"/>
        <v>1.226600596216836</v>
      </c>
      <c r="W771" s="304">
        <f t="shared" ca="1" si="323"/>
        <v>27.17756498086484</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0.5306885094613687</v>
      </c>
      <c r="AH771" s="304">
        <f t="shared" ca="1" si="347"/>
        <v>-9.2556990249843061</v>
      </c>
    </row>
    <row r="772" spans="1:34" x14ac:dyDescent="0.2">
      <c r="A772" s="347">
        <f t="shared" ca="1" si="325"/>
        <v>1E-4</v>
      </c>
      <c r="B772" s="304">
        <f t="shared" ca="1" si="326"/>
        <v>37.126300000001095</v>
      </c>
      <c r="D772" s="306">
        <f t="shared" ca="1" si="327"/>
        <v>-0.64179408468010768</v>
      </c>
      <c r="E772" s="307">
        <f t="shared" ca="1" si="328"/>
        <v>-0.5765598274875785</v>
      </c>
      <c r="F772" s="304">
        <f t="shared" ca="1" si="329"/>
        <v>0.86274033277857332</v>
      </c>
      <c r="G772" s="306">
        <f t="shared" ca="1" si="330"/>
        <v>7.2254323585470335</v>
      </c>
      <c r="H772" s="307">
        <f t="shared" ca="1" si="331"/>
        <v>-103.9526985301368</v>
      </c>
      <c r="I772" s="304">
        <f t="shared" ca="1" si="332"/>
        <v>104.20350476095055</v>
      </c>
      <c r="J772" s="306">
        <f t="shared" ca="1" si="333"/>
        <v>837.4075040097224</v>
      </c>
      <c r="K772" s="307">
        <f t="shared" ca="1" si="334"/>
        <v>-13.067956268593063</v>
      </c>
      <c r="L772" s="304">
        <f t="shared" ref="L772:L835" ca="1" si="348">SQRT(pos_x^2+pos_z^2)</f>
        <v>837.5094621870436</v>
      </c>
      <c r="M772" s="306">
        <f t="shared" ca="1" si="335"/>
        <v>-1.5014010132790161</v>
      </c>
      <c r="N772" s="304">
        <f t="shared" ca="1" si="336"/>
        <v>-86.023941417552891</v>
      </c>
      <c r="P772" s="310">
        <f t="shared" ca="1" si="337"/>
        <v>23</v>
      </c>
      <c r="Q772" s="304">
        <f t="shared" ca="1" si="338"/>
        <v>0</v>
      </c>
      <c r="R772" s="306">
        <f t="shared" ca="1" si="339"/>
        <v>0</v>
      </c>
      <c r="S772" s="307">
        <f t="shared" ca="1" si="340"/>
        <v>2.9362999999999984</v>
      </c>
      <c r="T772" s="304">
        <f t="shared" ref="T772:T835" ca="1" si="349">m*g</f>
        <v>28.805102999999985</v>
      </c>
      <c r="U772" s="311">
        <f t="shared" ref="U772:U835" ca="1" si="350">IF(pos_xz&lt;L_rampe,Poids*COS(Beta),0)</f>
        <v>0</v>
      </c>
      <c r="V772" s="306">
        <f t="shared" ref="V772:V835" ca="1" si="351">Rho_moyen*(20000-Alt_rampe-pos_z)/(20000+Alt_rampe+pos_z)</f>
        <v>1.2266018713021092</v>
      </c>
      <c r="W772" s="304">
        <f t="shared" ref="W772:W835" ca="1" si="352">1/2*Rho*Sref*Cx*vit_xz^2</f>
        <v>27.177620913814511</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0.53066990443619844</v>
      </c>
      <c r="AH772" s="304">
        <f t="shared" ca="1" si="347"/>
        <v>-9.2557180740608445</v>
      </c>
    </row>
    <row r="773" spans="1:34" x14ac:dyDescent="0.2">
      <c r="A773" s="347">
        <f t="shared" ref="A773:A836" ca="1" si="354">IF(B772+0.01&lt;=T_ini+ROUNDUP(Temps_fin_propu,0), 0.01, IF(K772&gt;0, 0.1, 0.0001))</f>
        <v>1E-4</v>
      </c>
      <c r="B773" s="304">
        <f t="shared" ref="B773:B836" ca="1" si="355">B772+pas</f>
        <v>37.126400000001098</v>
      </c>
      <c r="D773" s="306">
        <f t="shared" ref="D773:D836" ca="1" si="356">IF(AND(L772&lt;L_rampe,Poussee&lt;Poids*SIN(M772)),0,(-W772+Poussee)/m*COS(M772)-U772/m*SIN(M772))</f>
        <v>-0.64178937803522507</v>
      </c>
      <c r="E773" s="307">
        <f t="shared" ref="E773:E836" ca="1" si="357">IF(AND(L772&lt;L_rampe,Poussee&lt;Poids*SIN(M772)),0,(-W772+Poussee)/m*SIN(M772)+U772/m*COS(M772)-Poids/m)</f>
        <v>-0.57654040559649467</v>
      </c>
      <c r="F773" s="304">
        <f t="shared" ref="F773:F836" ca="1" si="358">SQRT(acc_x^2+acc_z^2)</f>
        <v>0.86272385213590319</v>
      </c>
      <c r="G773" s="306">
        <f t="shared" ref="G773:G836" ca="1" si="359">G772+acc_x*pas</f>
        <v>7.2253681796092302</v>
      </c>
      <c r="H773" s="307">
        <f t="shared" ref="H773:H836" ca="1" si="360">H772+acc_z*pas</f>
        <v>-103.95275618417736</v>
      </c>
      <c r="I773" s="304">
        <f t="shared" ref="I773:I836" ca="1" si="361">SQRT(vit_x^2+vit_z^2)</f>
        <v>104.20355782610272</v>
      </c>
      <c r="J773" s="306">
        <f t="shared" ref="J773:J836" ca="1" si="362">J772+0.5*(vit_x+G772)*pas*(K772&gt;=0)</f>
        <v>837.4075040097224</v>
      </c>
      <c r="K773" s="307">
        <f t="shared" ref="K773:K836" ca="1" si="363">K772+0.5*(vit_z+H772)*pas</f>
        <v>-13.078351541328779</v>
      </c>
      <c r="L773" s="304">
        <f t="shared" ca="1" si="348"/>
        <v>837.50962445265782</v>
      </c>
      <c r="M773" s="306">
        <f t="shared" ref="M773:M836" ca="1" si="364">IF(AND(L772&gt;L_rampe,G773&gt;0),ATAN2(G773,H773),$M$4)</f>
        <v>-1.5014016660607201</v>
      </c>
      <c r="N773" s="304">
        <f t="shared" ref="N773:N836" ca="1" si="365">DEGREES(Beta)</f>
        <v>-86.02397881918948</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2.9362999999999984</v>
      </c>
      <c r="T773" s="304">
        <f t="shared" ca="1" si="349"/>
        <v>28.805102999999985</v>
      </c>
      <c r="U773" s="311">
        <f t="shared" ca="1" si="350"/>
        <v>0</v>
      </c>
      <c r="V773" s="306">
        <f t="shared" ca="1" si="351"/>
        <v>1.2266031463894154</v>
      </c>
      <c r="W773" s="304">
        <f t="shared" ca="1" si="352"/>
        <v>27.177676845910394</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0.53065129969322733</v>
      </c>
      <c r="AH773" s="304">
        <f t="shared" ref="AH773:AH836" ca="1" si="376">IF(AND(L772&lt;L_rampe,Poussee&lt;Poids*SIN(M772)), g*SIN(M772), (-W772+Poussee)/m)</f>
        <v>-9.2557371228466181</v>
      </c>
    </row>
    <row r="774" spans="1:34" x14ac:dyDescent="0.2">
      <c r="A774" s="347">
        <f t="shared" ca="1" si="354"/>
        <v>1E-4</v>
      </c>
      <c r="B774" s="304">
        <f t="shared" ca="1" si="355"/>
        <v>37.126500000001101</v>
      </c>
      <c r="D774" s="306">
        <f t="shared" ca="1" si="356"/>
        <v>-0.6417846714047718</v>
      </c>
      <c r="E774" s="307">
        <f t="shared" ca="1" si="357"/>
        <v>-0.57652098400183682</v>
      </c>
      <c r="F774" s="304">
        <f t="shared" ca="1" si="358"/>
        <v>0.86270737185014079</v>
      </c>
      <c r="G774" s="306">
        <f t="shared" ca="1" si="359"/>
        <v>7.2253040011420895</v>
      </c>
      <c r="H774" s="307">
        <f t="shared" ca="1" si="360"/>
        <v>-103.95281383627577</v>
      </c>
      <c r="I774" s="304">
        <f t="shared" ca="1" si="361"/>
        <v>104.20361088939445</v>
      </c>
      <c r="J774" s="306">
        <f t="shared" ca="1" si="362"/>
        <v>837.4075040097224</v>
      </c>
      <c r="K774" s="307">
        <f t="shared" ca="1" si="363"/>
        <v>-13.088746819829801</v>
      </c>
      <c r="L774" s="304">
        <f t="shared" ca="1" si="348"/>
        <v>837.50978684735787</v>
      </c>
      <c r="M774" s="306">
        <f t="shared" ca="1" si="364"/>
        <v>-1.5014023188359609</v>
      </c>
      <c r="N774" s="304">
        <f t="shared" ca="1" si="365"/>
        <v>-86.024016220455735</v>
      </c>
      <c r="P774" s="310">
        <f t="shared" ca="1" si="366"/>
        <v>23</v>
      </c>
      <c r="Q774" s="304">
        <f t="shared" ca="1" si="367"/>
        <v>0</v>
      </c>
      <c r="R774" s="306">
        <f t="shared" ca="1" si="368"/>
        <v>0</v>
      </c>
      <c r="S774" s="307">
        <f t="shared" ca="1" si="369"/>
        <v>2.9362999999999984</v>
      </c>
      <c r="T774" s="304">
        <f t="shared" ca="1" si="349"/>
        <v>28.805102999999985</v>
      </c>
      <c r="U774" s="311">
        <f t="shared" ca="1" si="350"/>
        <v>0</v>
      </c>
      <c r="V774" s="306">
        <f t="shared" ca="1" si="351"/>
        <v>1.2266044214787557</v>
      </c>
      <c r="W774" s="304">
        <f t="shared" ca="1" si="352"/>
        <v>27.177732777152546</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0.53063269523245538</v>
      </c>
      <c r="AH774" s="304">
        <f t="shared" ca="1" si="376"/>
        <v>-9.2557561713416234</v>
      </c>
    </row>
    <row r="775" spans="1:34" x14ac:dyDescent="0.2">
      <c r="A775" s="347">
        <f t="shared" ca="1" si="354"/>
        <v>1E-4</v>
      </c>
      <c r="B775" s="304">
        <f t="shared" ca="1" si="355"/>
        <v>37.126600000001105</v>
      </c>
      <c r="D775" s="306">
        <f t="shared" ca="1" si="356"/>
        <v>-0.64177996478875465</v>
      </c>
      <c r="E775" s="307">
        <f t="shared" ca="1" si="357"/>
        <v>-0.57650156270358721</v>
      </c>
      <c r="F775" s="304">
        <f t="shared" ca="1" si="358"/>
        <v>0.86269089192127979</v>
      </c>
      <c r="G775" s="306">
        <f t="shared" ca="1" si="359"/>
        <v>7.2252398231456105</v>
      </c>
      <c r="H775" s="307">
        <f t="shared" ca="1" si="360"/>
        <v>-103.95287148643203</v>
      </c>
      <c r="I775" s="304">
        <f t="shared" ca="1" si="361"/>
        <v>104.20366395082576</v>
      </c>
      <c r="J775" s="306">
        <f t="shared" ca="1" si="362"/>
        <v>837.4075040097224</v>
      </c>
      <c r="K775" s="307">
        <f t="shared" ca="1" si="363"/>
        <v>-13.099142104095936</v>
      </c>
      <c r="L775" s="304">
        <f t="shared" ca="1" si="348"/>
        <v>837.50994937114422</v>
      </c>
      <c r="M775" s="306">
        <f t="shared" ca="1" si="364"/>
        <v>-1.5014029716047388</v>
      </c>
      <c r="N775" s="304">
        <f t="shared" ca="1" si="365"/>
        <v>-86.024053621351712</v>
      </c>
      <c r="P775" s="310">
        <f t="shared" ca="1" si="366"/>
        <v>23</v>
      </c>
      <c r="Q775" s="304">
        <f t="shared" ca="1" si="367"/>
        <v>0</v>
      </c>
      <c r="R775" s="306">
        <f t="shared" ca="1" si="368"/>
        <v>0</v>
      </c>
      <c r="S775" s="307">
        <f t="shared" ca="1" si="369"/>
        <v>2.9362999999999984</v>
      </c>
      <c r="T775" s="304">
        <f t="shared" ca="1" si="349"/>
        <v>28.805102999999985</v>
      </c>
      <c r="U775" s="311">
        <f t="shared" ca="1" si="350"/>
        <v>0</v>
      </c>
      <c r="V775" s="306">
        <f t="shared" ca="1" si="351"/>
        <v>1.2266056965701293</v>
      </c>
      <c r="W775" s="304">
        <f t="shared" ca="1" si="352"/>
        <v>27.17778870754093</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0.53061409105387014</v>
      </c>
      <c r="AH775" s="304">
        <f t="shared" ca="1" si="376"/>
        <v>-9.2557752195458782</v>
      </c>
    </row>
    <row r="776" spans="1:34" x14ac:dyDescent="0.2">
      <c r="A776" s="347">
        <f t="shared" ca="1" si="354"/>
        <v>1E-4</v>
      </c>
      <c r="B776" s="304">
        <f t="shared" ca="1" si="355"/>
        <v>37.126700000001108</v>
      </c>
      <c r="D776" s="306">
        <f t="shared" ca="1" si="356"/>
        <v>-0.64177525818716907</v>
      </c>
      <c r="E776" s="307">
        <f t="shared" ca="1" si="357"/>
        <v>-0.57648214170176182</v>
      </c>
      <c r="F776" s="304">
        <f t="shared" ca="1" si="358"/>
        <v>0.86267441234932762</v>
      </c>
      <c r="G776" s="306">
        <f t="shared" ca="1" si="359"/>
        <v>7.2251756456197915</v>
      </c>
      <c r="H776" s="307">
        <f t="shared" ca="1" si="360"/>
        <v>-103.9529291346462</v>
      </c>
      <c r="I776" s="304">
        <f t="shared" ca="1" si="361"/>
        <v>104.20371701039667</v>
      </c>
      <c r="J776" s="306">
        <f t="shared" ca="1" si="362"/>
        <v>837.4075040097224</v>
      </c>
      <c r="K776" s="307">
        <f t="shared" ca="1" si="363"/>
        <v>-13.10953739412699</v>
      </c>
      <c r="L776" s="304">
        <f t="shared" ca="1" si="348"/>
        <v>837.51011202401685</v>
      </c>
      <c r="M776" s="306">
        <f t="shared" ca="1" si="364"/>
        <v>-1.5014036243670537</v>
      </c>
      <c r="N776" s="304">
        <f t="shared" ca="1" si="365"/>
        <v>-86.024091021877382</v>
      </c>
      <c r="P776" s="310">
        <f t="shared" ca="1" si="366"/>
        <v>23</v>
      </c>
      <c r="Q776" s="304">
        <f t="shared" ca="1" si="367"/>
        <v>0</v>
      </c>
      <c r="R776" s="306">
        <f t="shared" ca="1" si="368"/>
        <v>0</v>
      </c>
      <c r="S776" s="307">
        <f t="shared" ca="1" si="369"/>
        <v>2.9362999999999984</v>
      </c>
      <c r="T776" s="304">
        <f t="shared" ca="1" si="349"/>
        <v>28.805102999999985</v>
      </c>
      <c r="U776" s="311">
        <f t="shared" ca="1" si="350"/>
        <v>0</v>
      </c>
      <c r="V776" s="306">
        <f t="shared" ca="1" si="351"/>
        <v>1.2266069716635364</v>
      </c>
      <c r="W776" s="304">
        <f t="shared" ca="1" si="352"/>
        <v>27.177844637075584</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0.53059548715748051</v>
      </c>
      <c r="AH776" s="304">
        <f t="shared" ca="1" si="376"/>
        <v>-9.2557942674593683</v>
      </c>
    </row>
    <row r="777" spans="1:34" x14ac:dyDescent="0.2">
      <c r="A777" s="347">
        <f t="shared" ca="1" si="354"/>
        <v>1E-4</v>
      </c>
      <c r="B777" s="304">
        <f t="shared" ca="1" si="355"/>
        <v>37.126800000001111</v>
      </c>
      <c r="D777" s="306">
        <f t="shared" ca="1" si="356"/>
        <v>-0.64177055160001928</v>
      </c>
      <c r="E777" s="307">
        <f t="shared" ca="1" si="357"/>
        <v>-0.5764627209963411</v>
      </c>
      <c r="F777" s="304">
        <f t="shared" ca="1" si="358"/>
        <v>0.86265793313427452</v>
      </c>
      <c r="G777" s="306">
        <f t="shared" ca="1" si="359"/>
        <v>7.2251114685646316</v>
      </c>
      <c r="H777" s="307">
        <f t="shared" ca="1" si="360"/>
        <v>-103.95298678091829</v>
      </c>
      <c r="I777" s="304">
        <f t="shared" ca="1" si="361"/>
        <v>104.20377006810722</v>
      </c>
      <c r="J777" s="306">
        <f t="shared" ca="1" si="362"/>
        <v>837.4075040097224</v>
      </c>
      <c r="K777" s="307">
        <f t="shared" ca="1" si="363"/>
        <v>-13.119932689922768</v>
      </c>
      <c r="L777" s="304">
        <f t="shared" ca="1" si="348"/>
        <v>837.510274805976</v>
      </c>
      <c r="M777" s="306">
        <f t="shared" ca="1" si="364"/>
        <v>-1.5014042771229057</v>
      </c>
      <c r="N777" s="304">
        <f t="shared" ca="1" si="365"/>
        <v>-86.02412842203276</v>
      </c>
      <c r="P777" s="310">
        <f t="shared" ca="1" si="366"/>
        <v>23</v>
      </c>
      <c r="Q777" s="304">
        <f t="shared" ca="1" si="367"/>
        <v>0</v>
      </c>
      <c r="R777" s="306">
        <f t="shared" ca="1" si="368"/>
        <v>0</v>
      </c>
      <c r="S777" s="307">
        <f t="shared" ca="1" si="369"/>
        <v>2.9362999999999984</v>
      </c>
      <c r="T777" s="304">
        <f t="shared" ca="1" si="349"/>
        <v>28.805102999999985</v>
      </c>
      <c r="U777" s="311">
        <f t="shared" ca="1" si="350"/>
        <v>0</v>
      </c>
      <c r="V777" s="306">
        <f t="shared" ca="1" si="351"/>
        <v>1.226608246758977</v>
      </c>
      <c r="W777" s="304">
        <f t="shared" ca="1" si="352"/>
        <v>27.177900565756506</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0.53057688354327581</v>
      </c>
      <c r="AH777" s="304">
        <f t="shared" ca="1" si="376"/>
        <v>-9.2558133150821096</v>
      </c>
    </row>
    <row r="778" spans="1:34" x14ac:dyDescent="0.2">
      <c r="A778" s="347">
        <f t="shared" ca="1" si="354"/>
        <v>1E-4</v>
      </c>
      <c r="B778" s="304">
        <f t="shared" ca="1" si="355"/>
        <v>37.126900000001115</v>
      </c>
      <c r="D778" s="306">
        <f t="shared" ca="1" si="356"/>
        <v>-0.64176584502730405</v>
      </c>
      <c r="E778" s="307">
        <f t="shared" ca="1" si="357"/>
        <v>-0.57644330058733217</v>
      </c>
      <c r="F778" s="304">
        <f t="shared" ca="1" si="358"/>
        <v>0.8626414542761246</v>
      </c>
      <c r="G778" s="306">
        <f t="shared" ca="1" si="359"/>
        <v>7.225047291980129</v>
      </c>
      <c r="H778" s="307">
        <f t="shared" ca="1" si="360"/>
        <v>-103.95304442524835</v>
      </c>
      <c r="I778" s="304">
        <f t="shared" ca="1" si="361"/>
        <v>104.20382312395745</v>
      </c>
      <c r="J778" s="306">
        <f t="shared" ca="1" si="362"/>
        <v>837.4075040097224</v>
      </c>
      <c r="K778" s="307">
        <f t="shared" ca="1" si="363"/>
        <v>-13.130327991483076</v>
      </c>
      <c r="L778" s="304">
        <f t="shared" ca="1" si="348"/>
        <v>837.51043771702166</v>
      </c>
      <c r="M778" s="306">
        <f t="shared" ca="1" si="364"/>
        <v>-1.5014049298722949</v>
      </c>
      <c r="N778" s="304">
        <f t="shared" ca="1" si="365"/>
        <v>-86.024165821817832</v>
      </c>
      <c r="P778" s="310">
        <f t="shared" ca="1" si="366"/>
        <v>23</v>
      </c>
      <c r="Q778" s="304">
        <f t="shared" ca="1" si="367"/>
        <v>0</v>
      </c>
      <c r="R778" s="306">
        <f t="shared" ca="1" si="368"/>
        <v>0</v>
      </c>
      <c r="S778" s="307">
        <f t="shared" ca="1" si="369"/>
        <v>2.9362999999999984</v>
      </c>
      <c r="T778" s="304">
        <f t="shared" ca="1" si="349"/>
        <v>28.805102999999985</v>
      </c>
      <c r="U778" s="311">
        <f t="shared" ca="1" si="350"/>
        <v>0</v>
      </c>
      <c r="V778" s="306">
        <f t="shared" ca="1" si="351"/>
        <v>1.226609521856451</v>
      </c>
      <c r="W778" s="304">
        <f t="shared" ca="1" si="352"/>
        <v>27.177956493583714</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0.53055828021125429</v>
      </c>
      <c r="AH778" s="304">
        <f t="shared" ca="1" si="376"/>
        <v>-9.2558323624141003</v>
      </c>
    </row>
    <row r="779" spans="1:34" x14ac:dyDescent="0.2">
      <c r="A779" s="347">
        <f t="shared" ca="1" si="354"/>
        <v>1E-4</v>
      </c>
      <c r="B779" s="304">
        <f t="shared" ca="1" si="355"/>
        <v>37.127000000001118</v>
      </c>
      <c r="D779" s="306">
        <f t="shared" ca="1" si="356"/>
        <v>-0.64176113846902483</v>
      </c>
      <c r="E779" s="307">
        <f t="shared" ca="1" si="357"/>
        <v>-0.57642388047472437</v>
      </c>
      <c r="F779" s="304">
        <f t="shared" ca="1" si="358"/>
        <v>0.86262497577487185</v>
      </c>
      <c r="G779" s="306">
        <f t="shared" ca="1" si="359"/>
        <v>7.2249831158662818</v>
      </c>
      <c r="H779" s="307">
        <f t="shared" ca="1" si="360"/>
        <v>-103.95310206763639</v>
      </c>
      <c r="I779" s="304">
        <f t="shared" ca="1" si="361"/>
        <v>104.20387617794735</v>
      </c>
      <c r="J779" s="306">
        <f t="shared" ca="1" si="362"/>
        <v>837.4075040097224</v>
      </c>
      <c r="K779" s="307">
        <f t="shared" ca="1" si="363"/>
        <v>-13.140723298807721</v>
      </c>
      <c r="L779" s="304">
        <f t="shared" ca="1" si="348"/>
        <v>837.51060075715407</v>
      </c>
      <c r="M779" s="306">
        <f t="shared" ca="1" si="364"/>
        <v>-1.5014055826152215</v>
      </c>
      <c r="N779" s="304">
        <f t="shared" ca="1" si="365"/>
        <v>-86.024203221232639</v>
      </c>
      <c r="P779" s="310">
        <f t="shared" ca="1" si="366"/>
        <v>23</v>
      </c>
      <c r="Q779" s="304">
        <f t="shared" ca="1" si="367"/>
        <v>0</v>
      </c>
      <c r="R779" s="306">
        <f t="shared" ca="1" si="368"/>
        <v>0</v>
      </c>
      <c r="S779" s="307">
        <f t="shared" ca="1" si="369"/>
        <v>2.9362999999999984</v>
      </c>
      <c r="T779" s="304">
        <f t="shared" ca="1" si="349"/>
        <v>28.805102999999985</v>
      </c>
      <c r="U779" s="311">
        <f t="shared" ca="1" si="350"/>
        <v>0</v>
      </c>
      <c r="V779" s="306">
        <f t="shared" ca="1" si="351"/>
        <v>1.2266107969559588</v>
      </c>
      <c r="W779" s="304">
        <f t="shared" ca="1" si="352"/>
        <v>27.178012420557209</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0.53053967716141237</v>
      </c>
      <c r="AH779" s="304">
        <f t="shared" ca="1" si="376"/>
        <v>-9.2558514094553459</v>
      </c>
    </row>
    <row r="780" spans="1:34" x14ac:dyDescent="0.2">
      <c r="A780" s="347">
        <f t="shared" ca="1" si="354"/>
        <v>1E-4</v>
      </c>
      <c r="B780" s="304">
        <f t="shared" ca="1" si="355"/>
        <v>37.127100000001121</v>
      </c>
      <c r="D780" s="306">
        <f t="shared" ca="1" si="356"/>
        <v>-0.64175643192518017</v>
      </c>
      <c r="E780" s="307">
        <f t="shared" ca="1" si="357"/>
        <v>-0.57640446065852124</v>
      </c>
      <c r="F780" s="304">
        <f t="shared" ca="1" si="358"/>
        <v>0.86260849763051783</v>
      </c>
      <c r="G780" s="306">
        <f t="shared" ca="1" si="359"/>
        <v>7.2249189402230893</v>
      </c>
      <c r="H780" s="307">
        <f t="shared" ca="1" si="360"/>
        <v>-103.95315970808245</v>
      </c>
      <c r="I780" s="304">
        <f t="shared" ca="1" si="361"/>
        <v>104.20392923007698</v>
      </c>
      <c r="J780" s="306">
        <f t="shared" ca="1" si="362"/>
        <v>837.4075040097224</v>
      </c>
      <c r="K780" s="307">
        <f t="shared" ca="1" si="363"/>
        <v>-13.151118611896507</v>
      </c>
      <c r="L780" s="304">
        <f t="shared" ca="1" si="348"/>
        <v>837.51076392637333</v>
      </c>
      <c r="M780" s="306">
        <f t="shared" ca="1" si="364"/>
        <v>-1.5014062353516855</v>
      </c>
      <c r="N780" s="304">
        <f t="shared" ca="1" si="365"/>
        <v>-86.024240620277155</v>
      </c>
      <c r="P780" s="310">
        <f t="shared" ca="1" si="366"/>
        <v>23</v>
      </c>
      <c r="Q780" s="304">
        <f t="shared" ca="1" si="367"/>
        <v>0</v>
      </c>
      <c r="R780" s="306">
        <f t="shared" ca="1" si="368"/>
        <v>0</v>
      </c>
      <c r="S780" s="307">
        <f t="shared" ca="1" si="369"/>
        <v>2.9362999999999984</v>
      </c>
      <c r="T780" s="304">
        <f t="shared" ca="1" si="349"/>
        <v>28.805102999999985</v>
      </c>
      <c r="U780" s="311">
        <f t="shared" ca="1" si="350"/>
        <v>0</v>
      </c>
      <c r="V780" s="306">
        <f t="shared" ca="1" si="351"/>
        <v>1.2266120720574993</v>
      </c>
      <c r="W780" s="304">
        <f t="shared" ca="1" si="352"/>
        <v>27.178068346676994</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0.53052107439375007</v>
      </c>
      <c r="AH780" s="304">
        <f t="shared" ca="1" si="376"/>
        <v>-9.2558704562058463</v>
      </c>
    </row>
    <row r="781" spans="1:34" x14ac:dyDescent="0.2">
      <c r="A781" s="347">
        <f t="shared" ca="1" si="354"/>
        <v>1E-4</v>
      </c>
      <c r="B781" s="304">
        <f t="shared" ca="1" si="355"/>
        <v>37.127200000001125</v>
      </c>
      <c r="D781" s="306">
        <f t="shared" ca="1" si="356"/>
        <v>-0.64175172539577152</v>
      </c>
      <c r="E781" s="307">
        <f t="shared" ca="1" si="357"/>
        <v>-0.57638504113871747</v>
      </c>
      <c r="F781" s="304">
        <f t="shared" ca="1" si="358"/>
        <v>0.86259201984306044</v>
      </c>
      <c r="G781" s="306">
        <f t="shared" ca="1" si="359"/>
        <v>7.2248547650505497</v>
      </c>
      <c r="H781" s="307">
        <f t="shared" ca="1" si="360"/>
        <v>-103.95321734658657</v>
      </c>
      <c r="I781" s="304">
        <f t="shared" ca="1" si="361"/>
        <v>104.20398228034637</v>
      </c>
      <c r="J781" s="306">
        <f t="shared" ca="1" si="362"/>
        <v>837.4075040097224</v>
      </c>
      <c r="K781" s="307">
        <f t="shared" ca="1" si="363"/>
        <v>-13.161513930749241</v>
      </c>
      <c r="L781" s="304">
        <f t="shared" ca="1" si="348"/>
        <v>837.51092722467956</v>
      </c>
      <c r="M781" s="306">
        <f t="shared" ca="1" si="364"/>
        <v>-1.5014068880816869</v>
      </c>
      <c r="N781" s="304">
        <f t="shared" ca="1" si="365"/>
        <v>-86.024278018951392</v>
      </c>
      <c r="P781" s="310">
        <f t="shared" ca="1" si="366"/>
        <v>23</v>
      </c>
      <c r="Q781" s="304">
        <f t="shared" ca="1" si="367"/>
        <v>0</v>
      </c>
      <c r="R781" s="306">
        <f t="shared" ca="1" si="368"/>
        <v>0</v>
      </c>
      <c r="S781" s="307">
        <f t="shared" ca="1" si="369"/>
        <v>2.9362999999999984</v>
      </c>
      <c r="T781" s="304">
        <f t="shared" ca="1" si="349"/>
        <v>28.805102999999985</v>
      </c>
      <c r="U781" s="311">
        <f t="shared" ca="1" si="350"/>
        <v>0</v>
      </c>
      <c r="V781" s="306">
        <f t="shared" ca="1" si="351"/>
        <v>1.2266133471610738</v>
      </c>
      <c r="W781" s="304">
        <f t="shared" ca="1" si="352"/>
        <v>27.178124271943101</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0.53050247190826738</v>
      </c>
      <c r="AH781" s="304">
        <f t="shared" ca="1" si="376"/>
        <v>-9.2558895026656032</v>
      </c>
    </row>
    <row r="782" spans="1:34" x14ac:dyDescent="0.2">
      <c r="A782" s="347">
        <f t="shared" ca="1" si="354"/>
        <v>1E-4</v>
      </c>
      <c r="B782" s="304">
        <f t="shared" ca="1" si="355"/>
        <v>37.127300000001128</v>
      </c>
      <c r="D782" s="306">
        <f t="shared" ca="1" si="356"/>
        <v>-0.64174701888080043</v>
      </c>
      <c r="E782" s="307">
        <f t="shared" ca="1" si="357"/>
        <v>-0.57636562191530416</v>
      </c>
      <c r="F782" s="304">
        <f t="shared" ca="1" si="358"/>
        <v>0.8625755424124949</v>
      </c>
      <c r="G782" s="306">
        <f t="shared" ca="1" si="359"/>
        <v>7.224790590348662</v>
      </c>
      <c r="H782" s="307">
        <f t="shared" ca="1" si="360"/>
        <v>-103.95327498314876</v>
      </c>
      <c r="I782" s="304">
        <f t="shared" ca="1" si="361"/>
        <v>104.20403532875554</v>
      </c>
      <c r="J782" s="306">
        <f t="shared" ca="1" si="362"/>
        <v>837.4075040097224</v>
      </c>
      <c r="K782" s="307">
        <f t="shared" ca="1" si="363"/>
        <v>-13.171909255365728</v>
      </c>
      <c r="L782" s="304">
        <f t="shared" ca="1" si="348"/>
        <v>837.51109065207299</v>
      </c>
      <c r="M782" s="306">
        <f t="shared" ca="1" si="364"/>
        <v>-1.5014075408052259</v>
      </c>
      <c r="N782" s="304">
        <f t="shared" ca="1" si="365"/>
        <v>-86.024315417255366</v>
      </c>
      <c r="P782" s="310">
        <f t="shared" ca="1" si="366"/>
        <v>23</v>
      </c>
      <c r="Q782" s="304">
        <f t="shared" ca="1" si="367"/>
        <v>0</v>
      </c>
      <c r="R782" s="306">
        <f t="shared" ca="1" si="368"/>
        <v>0</v>
      </c>
      <c r="S782" s="307">
        <f t="shared" ca="1" si="369"/>
        <v>2.9362999999999984</v>
      </c>
      <c r="T782" s="304">
        <f t="shared" ca="1" si="349"/>
        <v>28.805102999999985</v>
      </c>
      <c r="U782" s="311">
        <f t="shared" ca="1" si="350"/>
        <v>0</v>
      </c>
      <c r="V782" s="306">
        <f t="shared" ca="1" si="351"/>
        <v>1.2266146222666812</v>
      </c>
      <c r="W782" s="304">
        <f t="shared" ca="1" si="352"/>
        <v>27.178180196355523</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0.53048386970495187</v>
      </c>
      <c r="AH782" s="304">
        <f t="shared" ca="1" si="376"/>
        <v>-9.2559085488346273</v>
      </c>
    </row>
    <row r="783" spans="1:34" x14ac:dyDescent="0.2">
      <c r="A783" s="347">
        <f t="shared" ca="1" si="354"/>
        <v>1E-4</v>
      </c>
      <c r="B783" s="304">
        <f t="shared" ca="1" si="355"/>
        <v>37.127400000001131</v>
      </c>
      <c r="D783" s="306">
        <f t="shared" ca="1" si="356"/>
        <v>-0.64174231238026558</v>
      </c>
      <c r="E783" s="307">
        <f t="shared" ca="1" si="357"/>
        <v>-0.57634620298828487</v>
      </c>
      <c r="F783" s="304">
        <f t="shared" ca="1" si="358"/>
        <v>0.86255906533882276</v>
      </c>
      <c r="G783" s="306">
        <f t="shared" ca="1" si="359"/>
        <v>7.2247264161174236</v>
      </c>
      <c r="H783" s="307">
        <f t="shared" ca="1" si="360"/>
        <v>-103.95333261776906</v>
      </c>
      <c r="I783" s="304">
        <f t="shared" ca="1" si="361"/>
        <v>104.20408837530452</v>
      </c>
      <c r="J783" s="306">
        <f t="shared" ca="1" si="362"/>
        <v>837.4075040097224</v>
      </c>
      <c r="K783" s="307">
        <f t="shared" ca="1" si="363"/>
        <v>-13.182304585745774</v>
      </c>
      <c r="L783" s="304">
        <f t="shared" ca="1" si="348"/>
        <v>837.51125420855362</v>
      </c>
      <c r="M783" s="306">
        <f t="shared" ca="1" si="364"/>
        <v>-1.5014081935223025</v>
      </c>
      <c r="N783" s="304">
        <f t="shared" ca="1" si="365"/>
        <v>-86.024352815189076</v>
      </c>
      <c r="P783" s="310">
        <f t="shared" ca="1" si="366"/>
        <v>23</v>
      </c>
      <c r="Q783" s="304">
        <f t="shared" ca="1" si="367"/>
        <v>0</v>
      </c>
      <c r="R783" s="306">
        <f t="shared" ca="1" si="368"/>
        <v>0</v>
      </c>
      <c r="S783" s="307">
        <f t="shared" ca="1" si="369"/>
        <v>2.9362999999999984</v>
      </c>
      <c r="T783" s="304">
        <f t="shared" ca="1" si="349"/>
        <v>28.805102999999985</v>
      </c>
      <c r="U783" s="311">
        <f t="shared" ca="1" si="350"/>
        <v>0</v>
      </c>
      <c r="V783" s="306">
        <f t="shared" ca="1" si="351"/>
        <v>1.2266158973743224</v>
      </c>
      <c r="W783" s="304">
        <f t="shared" ca="1" si="352"/>
        <v>27.178236119914295</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0.53046526778380354</v>
      </c>
      <c r="AH783" s="304">
        <f t="shared" ca="1" si="376"/>
        <v>-9.2559275947129169</v>
      </c>
    </row>
    <row r="784" spans="1:34" x14ac:dyDescent="0.2">
      <c r="A784" s="347">
        <f t="shared" ca="1" si="354"/>
        <v>1E-4</v>
      </c>
      <c r="B784" s="304">
        <f t="shared" ca="1" si="355"/>
        <v>37.127500000001135</v>
      </c>
      <c r="D784" s="306">
        <f t="shared" ca="1" si="356"/>
        <v>-0.64173760589416895</v>
      </c>
      <c r="E784" s="307">
        <f t="shared" ca="1" si="357"/>
        <v>-0.57632678435764362</v>
      </c>
      <c r="F784" s="304">
        <f t="shared" ca="1" si="358"/>
        <v>0.86254258862203526</v>
      </c>
      <c r="G784" s="306">
        <f t="shared" ca="1" si="359"/>
        <v>7.2246622423568345</v>
      </c>
      <c r="H784" s="307">
        <f t="shared" ca="1" si="360"/>
        <v>-103.9533902504475</v>
      </c>
      <c r="I784" s="304">
        <f t="shared" ca="1" si="361"/>
        <v>104.20414141999333</v>
      </c>
      <c r="J784" s="306">
        <f t="shared" ca="1" si="362"/>
        <v>837.4075040097224</v>
      </c>
      <c r="K784" s="307">
        <f t="shared" ca="1" si="363"/>
        <v>-13.192699921889185</v>
      </c>
      <c r="L784" s="304">
        <f t="shared" ca="1" si="348"/>
        <v>837.51141789412168</v>
      </c>
      <c r="M784" s="306">
        <f t="shared" ca="1" si="364"/>
        <v>-1.5014088462329169</v>
      </c>
      <c r="N784" s="304">
        <f t="shared" ca="1" si="365"/>
        <v>-86.024390212752536</v>
      </c>
      <c r="P784" s="310">
        <f t="shared" ca="1" si="366"/>
        <v>23</v>
      </c>
      <c r="Q784" s="304">
        <f t="shared" ca="1" si="367"/>
        <v>0</v>
      </c>
      <c r="R784" s="306">
        <f t="shared" ca="1" si="368"/>
        <v>0</v>
      </c>
      <c r="S784" s="307">
        <f t="shared" ca="1" si="369"/>
        <v>2.9362999999999984</v>
      </c>
      <c r="T784" s="304">
        <f t="shared" ca="1" si="349"/>
        <v>28.805102999999985</v>
      </c>
      <c r="U784" s="311">
        <f t="shared" ca="1" si="350"/>
        <v>0</v>
      </c>
      <c r="V784" s="306">
        <f t="shared" ca="1" si="351"/>
        <v>1.2266171724839967</v>
      </c>
      <c r="W784" s="304">
        <f t="shared" ca="1" si="352"/>
        <v>27.1782920426194</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0.53044666614481528</v>
      </c>
      <c r="AH784" s="304">
        <f t="shared" ca="1" si="376"/>
        <v>-9.2559466403004844</v>
      </c>
    </row>
    <row r="785" spans="1:34" x14ac:dyDescent="0.2">
      <c r="A785" s="347">
        <f t="shared" ca="1" si="354"/>
        <v>1E-4</v>
      </c>
      <c r="B785" s="304">
        <f t="shared" ca="1" si="355"/>
        <v>37.127600000001138</v>
      </c>
      <c r="D785" s="306">
        <f t="shared" ca="1" si="356"/>
        <v>-0.64173289942250855</v>
      </c>
      <c r="E785" s="307">
        <f t="shared" ca="1" si="357"/>
        <v>-0.57630736602339283</v>
      </c>
      <c r="F785" s="304">
        <f t="shared" ca="1" si="358"/>
        <v>0.86252611226213916</v>
      </c>
      <c r="G785" s="306">
        <f t="shared" ca="1" si="359"/>
        <v>7.2245980690668921</v>
      </c>
      <c r="H785" s="307">
        <f t="shared" ca="1" si="360"/>
        <v>-103.9534478811841</v>
      </c>
      <c r="I785" s="304">
        <f t="shared" ca="1" si="361"/>
        <v>104.20419446282202</v>
      </c>
      <c r="J785" s="306">
        <f t="shared" ca="1" si="362"/>
        <v>837.4075040097224</v>
      </c>
      <c r="K785" s="307">
        <f t="shared" ca="1" si="363"/>
        <v>-13.203095263795767</v>
      </c>
      <c r="L785" s="304">
        <f t="shared" ca="1" si="348"/>
        <v>837.51158170877738</v>
      </c>
      <c r="M785" s="306">
        <f t="shared" ca="1" si="364"/>
        <v>-1.501409498937069</v>
      </c>
      <c r="N785" s="304">
        <f t="shared" ca="1" si="365"/>
        <v>-86.024427609945718</v>
      </c>
      <c r="P785" s="310">
        <f t="shared" ca="1" si="366"/>
        <v>23</v>
      </c>
      <c r="Q785" s="304">
        <f t="shared" ca="1" si="367"/>
        <v>0</v>
      </c>
      <c r="R785" s="306">
        <f t="shared" ca="1" si="368"/>
        <v>0</v>
      </c>
      <c r="S785" s="307">
        <f t="shared" ca="1" si="369"/>
        <v>2.9362999999999984</v>
      </c>
      <c r="T785" s="304">
        <f t="shared" ca="1" si="349"/>
        <v>28.805102999999985</v>
      </c>
      <c r="U785" s="311">
        <f t="shared" ca="1" si="350"/>
        <v>0</v>
      </c>
      <c r="V785" s="306">
        <f t="shared" ca="1" si="351"/>
        <v>1.2266184475957043</v>
      </c>
      <c r="W785" s="304">
        <f t="shared" ca="1" si="352"/>
        <v>27.178347964470845</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0.53042806478799065</v>
      </c>
      <c r="AH785" s="304">
        <f t="shared" ca="1" si="376"/>
        <v>-9.2559656855973209</v>
      </c>
    </row>
    <row r="786" spans="1:34" x14ac:dyDescent="0.2">
      <c r="A786" s="347">
        <f t="shared" ca="1" si="354"/>
        <v>1E-4</v>
      </c>
      <c r="B786" s="304">
        <f t="shared" ca="1" si="355"/>
        <v>37.127700000001141</v>
      </c>
      <c r="D786" s="306">
        <f t="shared" ca="1" si="356"/>
        <v>-0.64172819296528805</v>
      </c>
      <c r="E786" s="307">
        <f t="shared" ca="1" si="357"/>
        <v>-0.57628794798552363</v>
      </c>
      <c r="F786" s="304">
        <f t="shared" ca="1" si="358"/>
        <v>0.86250963625913157</v>
      </c>
      <c r="G786" s="306">
        <f t="shared" ca="1" si="359"/>
        <v>7.2245338962475953</v>
      </c>
      <c r="H786" s="307">
        <f t="shared" ca="1" si="360"/>
        <v>-103.9535055099789</v>
      </c>
      <c r="I786" s="304">
        <f t="shared" ca="1" si="361"/>
        <v>104.20424750379057</v>
      </c>
      <c r="J786" s="306">
        <f t="shared" ca="1" si="362"/>
        <v>837.4075040097224</v>
      </c>
      <c r="K786" s="307">
        <f t="shared" ca="1" si="363"/>
        <v>-13.213490611465325</v>
      </c>
      <c r="L786" s="304">
        <f t="shared" ca="1" si="348"/>
        <v>837.51174565252063</v>
      </c>
      <c r="M786" s="306">
        <f t="shared" ca="1" si="364"/>
        <v>-1.5014101516347591</v>
      </c>
      <c r="N786" s="304">
        <f t="shared" ca="1" si="365"/>
        <v>-86.024465006768651</v>
      </c>
      <c r="P786" s="310">
        <f t="shared" ca="1" si="366"/>
        <v>23</v>
      </c>
      <c r="Q786" s="304">
        <f t="shared" ca="1" si="367"/>
        <v>0</v>
      </c>
      <c r="R786" s="306">
        <f t="shared" ca="1" si="368"/>
        <v>0</v>
      </c>
      <c r="S786" s="307">
        <f t="shared" ca="1" si="369"/>
        <v>2.9362999999999984</v>
      </c>
      <c r="T786" s="304">
        <f t="shared" ca="1" si="349"/>
        <v>28.805102999999985</v>
      </c>
      <c r="U786" s="311">
        <f t="shared" ca="1" si="350"/>
        <v>0</v>
      </c>
      <c r="V786" s="306">
        <f t="shared" ca="1" si="351"/>
        <v>1.2266197227094455</v>
      </c>
      <c r="W786" s="304">
        <f t="shared" ca="1" si="352"/>
        <v>27.178403885468658</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0.53040946371332609</v>
      </c>
      <c r="AH786" s="304">
        <f t="shared" ca="1" si="376"/>
        <v>-9.2559847306034335</v>
      </c>
    </row>
    <row r="787" spans="1:34" x14ac:dyDescent="0.2">
      <c r="A787" s="347">
        <f t="shared" ca="1" si="354"/>
        <v>1E-4</v>
      </c>
      <c r="B787" s="304">
        <f t="shared" ca="1" si="355"/>
        <v>37.127800000001145</v>
      </c>
      <c r="D787" s="306">
        <f t="shared" ca="1" si="356"/>
        <v>-0.64172348652250477</v>
      </c>
      <c r="E787" s="307">
        <f t="shared" ca="1" si="357"/>
        <v>-0.57626853024402891</v>
      </c>
      <c r="F787" s="304">
        <f t="shared" ca="1" si="358"/>
        <v>0.86249316061300596</v>
      </c>
      <c r="G787" s="306">
        <f t="shared" ca="1" si="359"/>
        <v>7.2244697238989435</v>
      </c>
      <c r="H787" s="307">
        <f t="shared" ca="1" si="360"/>
        <v>-103.95356313683192</v>
      </c>
      <c r="I787" s="304">
        <f t="shared" ca="1" si="361"/>
        <v>104.20430054289905</v>
      </c>
      <c r="J787" s="306">
        <f t="shared" ca="1" si="362"/>
        <v>837.4075040097224</v>
      </c>
      <c r="K787" s="307">
        <f t="shared" ca="1" si="363"/>
        <v>-13.223885964897665</v>
      </c>
      <c r="L787" s="304">
        <f t="shared" ca="1" si="348"/>
        <v>837.51190972535187</v>
      </c>
      <c r="M787" s="306">
        <f t="shared" ca="1" si="364"/>
        <v>-1.5014108043259868</v>
      </c>
      <c r="N787" s="304">
        <f t="shared" ca="1" si="365"/>
        <v>-86.024502403221334</v>
      </c>
      <c r="P787" s="310">
        <f t="shared" ca="1" si="366"/>
        <v>23</v>
      </c>
      <c r="Q787" s="304">
        <f t="shared" ca="1" si="367"/>
        <v>0</v>
      </c>
      <c r="R787" s="306">
        <f t="shared" ca="1" si="368"/>
        <v>0</v>
      </c>
      <c r="S787" s="307">
        <f t="shared" ca="1" si="369"/>
        <v>2.9362999999999984</v>
      </c>
      <c r="T787" s="304">
        <f t="shared" ca="1" si="349"/>
        <v>28.805102999999985</v>
      </c>
      <c r="U787" s="311">
        <f t="shared" ca="1" si="350"/>
        <v>0</v>
      </c>
      <c r="V787" s="306">
        <f t="shared" ca="1" si="351"/>
        <v>1.2266209978252194</v>
      </c>
      <c r="W787" s="304">
        <f t="shared" ca="1" si="352"/>
        <v>27.178459805612828</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0.53039086292081805</v>
      </c>
      <c r="AH787" s="304">
        <f t="shared" ca="1" si="376"/>
        <v>-9.2560037753188276</v>
      </c>
    </row>
    <row r="788" spans="1:34" x14ac:dyDescent="0.2">
      <c r="A788" s="347">
        <f t="shared" ca="1" si="354"/>
        <v>1E-4</v>
      </c>
      <c r="B788" s="304">
        <f t="shared" ca="1" si="355"/>
        <v>37.127900000001148</v>
      </c>
      <c r="D788" s="306">
        <f t="shared" ca="1" si="356"/>
        <v>-0.64171878009416339</v>
      </c>
      <c r="E788" s="307">
        <f t="shared" ca="1" si="357"/>
        <v>-0.57624911279891222</v>
      </c>
      <c r="F788" s="304">
        <f t="shared" ca="1" si="358"/>
        <v>0.86247668532376842</v>
      </c>
      <c r="G788" s="306">
        <f t="shared" ca="1" si="359"/>
        <v>7.2244055520209338</v>
      </c>
      <c r="H788" s="307">
        <f t="shared" ca="1" si="360"/>
        <v>-103.9536207617432</v>
      </c>
      <c r="I788" s="304">
        <f t="shared" ca="1" si="361"/>
        <v>104.20435358014748</v>
      </c>
      <c r="J788" s="306">
        <f t="shared" ca="1" si="362"/>
        <v>837.4075040097224</v>
      </c>
      <c r="K788" s="307">
        <f t="shared" ca="1" si="363"/>
        <v>-13.234281324092594</v>
      </c>
      <c r="L788" s="304">
        <f t="shared" ca="1" si="348"/>
        <v>837.51207392727088</v>
      </c>
      <c r="M788" s="306">
        <f t="shared" ca="1" si="364"/>
        <v>-1.5014114570107528</v>
      </c>
      <c r="N788" s="304">
        <f t="shared" ca="1" si="365"/>
        <v>-86.024539799303767</v>
      </c>
      <c r="P788" s="310">
        <f t="shared" ca="1" si="366"/>
        <v>23</v>
      </c>
      <c r="Q788" s="304">
        <f t="shared" ca="1" si="367"/>
        <v>0</v>
      </c>
      <c r="R788" s="306">
        <f t="shared" ca="1" si="368"/>
        <v>0</v>
      </c>
      <c r="S788" s="307">
        <f t="shared" ca="1" si="369"/>
        <v>2.9362999999999984</v>
      </c>
      <c r="T788" s="304">
        <f t="shared" ca="1" si="349"/>
        <v>28.805102999999985</v>
      </c>
      <c r="U788" s="311">
        <f t="shared" ca="1" si="350"/>
        <v>0</v>
      </c>
      <c r="V788" s="306">
        <f t="shared" ca="1" si="351"/>
        <v>1.2266222729430272</v>
      </c>
      <c r="W788" s="304">
        <f t="shared" ca="1" si="352"/>
        <v>27.178515724903395</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0.53037226241046476</v>
      </c>
      <c r="AH788" s="304">
        <f t="shared" ca="1" si="376"/>
        <v>-9.2560228197435013</v>
      </c>
    </row>
    <row r="789" spans="1:34" x14ac:dyDescent="0.2">
      <c r="A789" s="347">
        <f t="shared" ca="1" si="354"/>
        <v>1E-4</v>
      </c>
      <c r="B789" s="304">
        <f t="shared" ca="1" si="355"/>
        <v>37.128000000001151</v>
      </c>
      <c r="D789" s="306">
        <f t="shared" ca="1" si="356"/>
        <v>-0.6417140736802599</v>
      </c>
      <c r="E789" s="307">
        <f t="shared" ca="1" si="357"/>
        <v>-0.57622969565015936</v>
      </c>
      <c r="F789" s="304">
        <f t="shared" ca="1" si="358"/>
        <v>0.86246021039140663</v>
      </c>
      <c r="G789" s="306">
        <f t="shared" ca="1" si="359"/>
        <v>7.2243413806135655</v>
      </c>
      <c r="H789" s="307">
        <f t="shared" ca="1" si="360"/>
        <v>-103.95367838471276</v>
      </c>
      <c r="I789" s="304">
        <f t="shared" ca="1" si="361"/>
        <v>104.2044066155359</v>
      </c>
      <c r="J789" s="306">
        <f t="shared" ca="1" si="362"/>
        <v>837.4075040097224</v>
      </c>
      <c r="K789" s="307">
        <f t="shared" ca="1" si="363"/>
        <v>-13.244676689049916</v>
      </c>
      <c r="L789" s="304">
        <f t="shared" ca="1" si="348"/>
        <v>837.51223825827799</v>
      </c>
      <c r="M789" s="306">
        <f t="shared" ca="1" si="364"/>
        <v>-1.5014121096890569</v>
      </c>
      <c r="N789" s="304">
        <f t="shared" ca="1" si="365"/>
        <v>-86.024577195015979</v>
      </c>
      <c r="P789" s="310">
        <f t="shared" ca="1" si="366"/>
        <v>23</v>
      </c>
      <c r="Q789" s="304">
        <f t="shared" ca="1" si="367"/>
        <v>0</v>
      </c>
      <c r="R789" s="306">
        <f t="shared" ca="1" si="368"/>
        <v>0</v>
      </c>
      <c r="S789" s="307">
        <f t="shared" ca="1" si="369"/>
        <v>2.9362999999999984</v>
      </c>
      <c r="T789" s="304">
        <f t="shared" ca="1" si="349"/>
        <v>28.805102999999985</v>
      </c>
      <c r="U789" s="311">
        <f t="shared" ca="1" si="350"/>
        <v>0</v>
      </c>
      <c r="V789" s="306">
        <f t="shared" ca="1" si="351"/>
        <v>1.2266235480628678</v>
      </c>
      <c r="W789" s="304">
        <f t="shared" ca="1" si="352"/>
        <v>27.178571643340355</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0.53035366218225377</v>
      </c>
      <c r="AH789" s="304">
        <f t="shared" ca="1" si="376"/>
        <v>-9.2560418638774689</v>
      </c>
    </row>
    <row r="790" spans="1:34" x14ac:dyDescent="0.2">
      <c r="A790" s="347">
        <f t="shared" ca="1" si="354"/>
        <v>1E-4</v>
      </c>
      <c r="B790" s="304">
        <f t="shared" ca="1" si="355"/>
        <v>37.128100000001155</v>
      </c>
      <c r="D790" s="306">
        <f t="shared" ca="1" si="356"/>
        <v>-0.64170936728079686</v>
      </c>
      <c r="E790" s="307">
        <f t="shared" ca="1" si="357"/>
        <v>-0.57621027879777209</v>
      </c>
      <c r="F790" s="304">
        <f t="shared" ca="1" si="358"/>
        <v>0.86244373581592382</v>
      </c>
      <c r="G790" s="306">
        <f t="shared" ca="1" si="359"/>
        <v>7.2242772096768375</v>
      </c>
      <c r="H790" s="307">
        <f t="shared" ca="1" si="360"/>
        <v>-103.95373600574064</v>
      </c>
      <c r="I790" s="304">
        <f t="shared" ca="1" si="361"/>
        <v>104.20445964906432</v>
      </c>
      <c r="J790" s="306">
        <f t="shared" ca="1" si="362"/>
        <v>837.4075040097224</v>
      </c>
      <c r="K790" s="307">
        <f t="shared" ca="1" si="363"/>
        <v>-13.255072059769439</v>
      </c>
      <c r="L790" s="304">
        <f t="shared" ca="1" si="348"/>
        <v>837.51240271837344</v>
      </c>
      <c r="M790" s="306">
        <f t="shared" ca="1" si="364"/>
        <v>-1.5014127623608993</v>
      </c>
      <c r="N790" s="304">
        <f t="shared" ca="1" si="365"/>
        <v>-86.024614590357956</v>
      </c>
      <c r="P790" s="310">
        <f t="shared" ca="1" si="366"/>
        <v>23</v>
      </c>
      <c r="Q790" s="304">
        <f t="shared" ca="1" si="367"/>
        <v>0</v>
      </c>
      <c r="R790" s="306">
        <f t="shared" ca="1" si="368"/>
        <v>0</v>
      </c>
      <c r="S790" s="307">
        <f t="shared" ca="1" si="369"/>
        <v>2.9362999999999984</v>
      </c>
      <c r="T790" s="304">
        <f t="shared" ca="1" si="349"/>
        <v>28.805102999999985</v>
      </c>
      <c r="U790" s="311">
        <f t="shared" ca="1" si="350"/>
        <v>0</v>
      </c>
      <c r="V790" s="306">
        <f t="shared" ca="1" si="351"/>
        <v>1.2266248231847416</v>
      </c>
      <c r="W790" s="304">
        <f t="shared" ca="1" si="352"/>
        <v>27.178627560923704</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0.53033506223618687</v>
      </c>
      <c r="AH790" s="304">
        <f t="shared" ca="1" si="376"/>
        <v>-9.2560609077207268</v>
      </c>
    </row>
    <row r="791" spans="1:34" x14ac:dyDescent="0.2">
      <c r="A791" s="347">
        <f t="shared" ca="1" si="354"/>
        <v>1E-4</v>
      </c>
      <c r="B791" s="304">
        <f t="shared" ca="1" si="355"/>
        <v>37.128200000001158</v>
      </c>
      <c r="D791" s="306">
        <f t="shared" ca="1" si="356"/>
        <v>-0.64170466089577338</v>
      </c>
      <c r="E791" s="307">
        <f t="shared" ca="1" si="357"/>
        <v>-0.5761908622417522</v>
      </c>
      <c r="F791" s="304">
        <f t="shared" ca="1" si="358"/>
        <v>0.86242726159732064</v>
      </c>
      <c r="G791" s="306">
        <f t="shared" ca="1" si="359"/>
        <v>7.2242130392107482</v>
      </c>
      <c r="H791" s="307">
        <f t="shared" ca="1" si="360"/>
        <v>-103.95379362482686</v>
      </c>
      <c r="I791" s="304">
        <f t="shared" ca="1" si="361"/>
        <v>104.20451268073276</v>
      </c>
      <c r="J791" s="306">
        <f t="shared" ca="1" si="362"/>
        <v>837.4075040097224</v>
      </c>
      <c r="K791" s="307">
        <f t="shared" ca="1" si="363"/>
        <v>-13.265467436250967</v>
      </c>
      <c r="L791" s="304">
        <f t="shared" ca="1" si="348"/>
        <v>837.51256730755722</v>
      </c>
      <c r="M791" s="306">
        <f t="shared" ca="1" si="364"/>
        <v>-1.5014134150262797</v>
      </c>
      <c r="N791" s="304">
        <f t="shared" ca="1" si="365"/>
        <v>-86.024651985329683</v>
      </c>
      <c r="P791" s="310">
        <f t="shared" ca="1" si="366"/>
        <v>23</v>
      </c>
      <c r="Q791" s="304">
        <f t="shared" ca="1" si="367"/>
        <v>0</v>
      </c>
      <c r="R791" s="306">
        <f t="shared" ca="1" si="368"/>
        <v>0</v>
      </c>
      <c r="S791" s="307">
        <f t="shared" ca="1" si="369"/>
        <v>2.9362999999999984</v>
      </c>
      <c r="T791" s="304">
        <f t="shared" ca="1" si="349"/>
        <v>28.805102999999985</v>
      </c>
      <c r="U791" s="311">
        <f t="shared" ca="1" si="350"/>
        <v>0</v>
      </c>
      <c r="V791" s="306">
        <f t="shared" ca="1" si="351"/>
        <v>1.2266260983086488</v>
      </c>
      <c r="W791" s="304">
        <f t="shared" ca="1" si="352"/>
        <v>27.178683477653465</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0.53031646257226939</v>
      </c>
      <c r="AH791" s="304">
        <f t="shared" ca="1" si="376"/>
        <v>-9.256079951273275</v>
      </c>
    </row>
    <row r="792" spans="1:34" x14ac:dyDescent="0.2">
      <c r="A792" s="347">
        <f t="shared" ca="1" si="354"/>
        <v>1E-4</v>
      </c>
      <c r="B792" s="304">
        <f t="shared" ca="1" si="355"/>
        <v>37.128300000001161</v>
      </c>
      <c r="D792" s="306">
        <f t="shared" ca="1" si="356"/>
        <v>-0.64169995452519291</v>
      </c>
      <c r="E792" s="307">
        <f t="shared" ca="1" si="357"/>
        <v>-0.57617144598209258</v>
      </c>
      <c r="F792" s="304">
        <f t="shared" ca="1" si="358"/>
        <v>0.86241078773559532</v>
      </c>
      <c r="G792" s="306">
        <f t="shared" ca="1" si="359"/>
        <v>7.2241488692152958</v>
      </c>
      <c r="H792" s="307">
        <f t="shared" ca="1" si="360"/>
        <v>-103.95385124197145</v>
      </c>
      <c r="I792" s="304">
        <f t="shared" ca="1" si="361"/>
        <v>104.20456571054127</v>
      </c>
      <c r="J792" s="306">
        <f t="shared" ca="1" si="362"/>
        <v>837.4075040097224</v>
      </c>
      <c r="K792" s="307">
        <f t="shared" ca="1" si="363"/>
        <v>-13.275862818494307</v>
      </c>
      <c r="L792" s="304">
        <f t="shared" ca="1" si="348"/>
        <v>837.51273202582934</v>
      </c>
      <c r="M792" s="306">
        <f t="shared" ca="1" si="364"/>
        <v>-1.5014140676851984</v>
      </c>
      <c r="N792" s="304">
        <f t="shared" ca="1" si="365"/>
        <v>-86.024689379931189</v>
      </c>
      <c r="P792" s="310">
        <f t="shared" ca="1" si="366"/>
        <v>23</v>
      </c>
      <c r="Q792" s="304">
        <f t="shared" ca="1" si="367"/>
        <v>0</v>
      </c>
      <c r="R792" s="306">
        <f t="shared" ca="1" si="368"/>
        <v>0</v>
      </c>
      <c r="S792" s="307">
        <f t="shared" ca="1" si="369"/>
        <v>2.9362999999999984</v>
      </c>
      <c r="T792" s="304">
        <f t="shared" ca="1" si="349"/>
        <v>28.805102999999985</v>
      </c>
      <c r="U792" s="311">
        <f t="shared" ca="1" si="350"/>
        <v>0</v>
      </c>
      <c r="V792" s="306">
        <f t="shared" ca="1" si="351"/>
        <v>1.2266273734345892</v>
      </c>
      <c r="W792" s="304">
        <f t="shared" ca="1" si="352"/>
        <v>27.178739393529654</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0.53029786319048533</v>
      </c>
      <c r="AH792" s="304">
        <f t="shared" ca="1" si="376"/>
        <v>-9.2560989945351224</v>
      </c>
    </row>
    <row r="793" spans="1:34" x14ac:dyDescent="0.2">
      <c r="A793" s="347">
        <f t="shared" ca="1" si="354"/>
        <v>1E-4</v>
      </c>
      <c r="B793" s="304">
        <f t="shared" ca="1" si="355"/>
        <v>37.128400000001164</v>
      </c>
      <c r="D793" s="306">
        <f t="shared" ca="1" si="356"/>
        <v>-0.64169524816905454</v>
      </c>
      <c r="E793" s="307">
        <f t="shared" ca="1" si="357"/>
        <v>-0.57615203001878434</v>
      </c>
      <c r="F793" s="304">
        <f t="shared" ca="1" si="358"/>
        <v>0.86239431423074131</v>
      </c>
      <c r="G793" s="306">
        <f t="shared" ca="1" si="359"/>
        <v>7.2240846996904793</v>
      </c>
      <c r="H793" s="307">
        <f t="shared" ca="1" si="360"/>
        <v>-103.95390885717445</v>
      </c>
      <c r="I793" s="304">
        <f t="shared" ca="1" si="361"/>
        <v>104.20461873848988</v>
      </c>
      <c r="J793" s="306">
        <f t="shared" ca="1" si="362"/>
        <v>837.4075040097224</v>
      </c>
      <c r="K793" s="307">
        <f t="shared" ca="1" si="363"/>
        <v>-13.286258206499264</v>
      </c>
      <c r="L793" s="304">
        <f t="shared" ca="1" si="348"/>
        <v>837.51289687319024</v>
      </c>
      <c r="M793" s="306">
        <f t="shared" ca="1" si="364"/>
        <v>-1.5014147203376558</v>
      </c>
      <c r="N793" s="304">
        <f t="shared" ca="1" si="365"/>
        <v>-86.024726774162488</v>
      </c>
      <c r="P793" s="310">
        <f t="shared" ca="1" si="366"/>
        <v>23</v>
      </c>
      <c r="Q793" s="304">
        <f t="shared" ca="1" si="367"/>
        <v>0</v>
      </c>
      <c r="R793" s="306">
        <f t="shared" ca="1" si="368"/>
        <v>0</v>
      </c>
      <c r="S793" s="307">
        <f t="shared" ca="1" si="369"/>
        <v>2.9362999999999984</v>
      </c>
      <c r="T793" s="304">
        <f t="shared" ca="1" si="349"/>
        <v>28.805102999999985</v>
      </c>
      <c r="U793" s="311">
        <f t="shared" ca="1" si="350"/>
        <v>0</v>
      </c>
      <c r="V793" s="306">
        <f t="shared" ca="1" si="351"/>
        <v>1.2266286485625626</v>
      </c>
      <c r="W793" s="304">
        <f t="shared" ca="1" si="352"/>
        <v>27.178795308552278</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0.53027926409083825</v>
      </c>
      <c r="AH793" s="304">
        <f t="shared" ca="1" si="376"/>
        <v>-9.2561180375062726</v>
      </c>
    </row>
    <row r="794" spans="1:34" x14ac:dyDescent="0.2">
      <c r="A794" s="347">
        <f t="shared" ca="1" si="354"/>
        <v>1E-4</v>
      </c>
      <c r="B794" s="304">
        <f t="shared" ca="1" si="355"/>
        <v>37.128500000001168</v>
      </c>
      <c r="D794" s="306">
        <f t="shared" ca="1" si="356"/>
        <v>-0.64169054182735552</v>
      </c>
      <c r="E794" s="307">
        <f t="shared" ca="1" si="357"/>
        <v>-0.5761326143518275</v>
      </c>
      <c r="F794" s="304">
        <f t="shared" ca="1" si="358"/>
        <v>0.86237784108275684</v>
      </c>
      <c r="G794" s="306">
        <f t="shared" ca="1" si="359"/>
        <v>7.2240205306362961</v>
      </c>
      <c r="H794" s="307">
        <f t="shared" ca="1" si="360"/>
        <v>-103.95396647043589</v>
      </c>
      <c r="I794" s="304">
        <f t="shared" ca="1" si="361"/>
        <v>104.20467176457859</v>
      </c>
      <c r="J794" s="306">
        <f t="shared" ca="1" si="362"/>
        <v>837.4075040097224</v>
      </c>
      <c r="K794" s="307">
        <f t="shared" ca="1" si="363"/>
        <v>-13.296653600265644</v>
      </c>
      <c r="L794" s="304">
        <f t="shared" ca="1" si="348"/>
        <v>837.51306184963994</v>
      </c>
      <c r="M794" s="306">
        <f t="shared" ca="1" si="364"/>
        <v>-1.5014153729836515</v>
      </c>
      <c r="N794" s="304">
        <f t="shared" ca="1" si="365"/>
        <v>-86.024764168023552</v>
      </c>
      <c r="P794" s="310">
        <f t="shared" ca="1" si="366"/>
        <v>23</v>
      </c>
      <c r="Q794" s="304">
        <f t="shared" ca="1" si="367"/>
        <v>0</v>
      </c>
      <c r="R794" s="306">
        <f t="shared" ca="1" si="368"/>
        <v>0</v>
      </c>
      <c r="S794" s="307">
        <f t="shared" ca="1" si="369"/>
        <v>2.9362999999999984</v>
      </c>
      <c r="T794" s="304">
        <f t="shared" ca="1" si="349"/>
        <v>28.805102999999985</v>
      </c>
      <c r="U794" s="311">
        <f t="shared" ca="1" si="350"/>
        <v>0</v>
      </c>
      <c r="V794" s="306">
        <f t="shared" ca="1" si="351"/>
        <v>1.2266299236925691</v>
      </c>
      <c r="W794" s="304">
        <f t="shared" ca="1" si="352"/>
        <v>27.17885122272132</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0.53026066527332105</v>
      </c>
      <c r="AH794" s="304">
        <f t="shared" ca="1" si="376"/>
        <v>-9.2561370801867291</v>
      </c>
    </row>
    <row r="795" spans="1:34" x14ac:dyDescent="0.2">
      <c r="A795" s="347">
        <f t="shared" ca="1" si="354"/>
        <v>1E-4</v>
      </c>
      <c r="B795" s="304">
        <f t="shared" ca="1" si="355"/>
        <v>37.128600000001171</v>
      </c>
      <c r="D795" s="306">
        <f t="shared" ca="1" si="356"/>
        <v>-0.6416858355001005</v>
      </c>
      <c r="E795" s="307">
        <f t="shared" ca="1" si="357"/>
        <v>-0.57611319898122737</v>
      </c>
      <c r="F795" s="304">
        <f t="shared" ca="1" si="358"/>
        <v>0.86236136829164911</v>
      </c>
      <c r="G795" s="306">
        <f t="shared" ca="1" si="359"/>
        <v>7.2239563620527463</v>
      </c>
      <c r="H795" s="307">
        <f t="shared" ca="1" si="360"/>
        <v>-103.95402408175579</v>
      </c>
      <c r="I795" s="304">
        <f t="shared" ca="1" si="361"/>
        <v>104.20472478880747</v>
      </c>
      <c r="J795" s="306">
        <f t="shared" ca="1" si="362"/>
        <v>837.4075040097224</v>
      </c>
      <c r="K795" s="307">
        <f t="shared" ca="1" si="363"/>
        <v>-13.307048999793254</v>
      </c>
      <c r="L795" s="304">
        <f t="shared" ca="1" si="348"/>
        <v>837.51322695517842</v>
      </c>
      <c r="M795" s="306">
        <f t="shared" ca="1" si="364"/>
        <v>-1.5014160256231857</v>
      </c>
      <c r="N795" s="304">
        <f t="shared" ca="1" si="365"/>
        <v>-86.024801561514408</v>
      </c>
      <c r="P795" s="310">
        <f t="shared" ca="1" si="366"/>
        <v>23</v>
      </c>
      <c r="Q795" s="304">
        <f t="shared" ca="1" si="367"/>
        <v>0</v>
      </c>
      <c r="R795" s="306">
        <f t="shared" ca="1" si="368"/>
        <v>0</v>
      </c>
      <c r="S795" s="307">
        <f t="shared" ca="1" si="369"/>
        <v>2.9362999999999984</v>
      </c>
      <c r="T795" s="304">
        <f t="shared" ca="1" si="349"/>
        <v>28.805102999999985</v>
      </c>
      <c r="U795" s="311">
        <f t="shared" ca="1" si="350"/>
        <v>0</v>
      </c>
      <c r="V795" s="306">
        <f t="shared" ca="1" si="351"/>
        <v>1.226631198824609</v>
      </c>
      <c r="W795" s="304">
        <f t="shared" ca="1" si="352"/>
        <v>27.178907136036841</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0.53024206673794083</v>
      </c>
      <c r="AH795" s="304">
        <f t="shared" ca="1" si="376"/>
        <v>-9.2561561225764866</v>
      </c>
    </row>
    <row r="796" spans="1:34" x14ac:dyDescent="0.2">
      <c r="A796" s="347">
        <f t="shared" ca="1" si="354"/>
        <v>1E-4</v>
      </c>
      <c r="B796" s="304">
        <f t="shared" ca="1" si="355"/>
        <v>37.128700000001174</v>
      </c>
      <c r="D796" s="306">
        <f t="shared" ca="1" si="356"/>
        <v>-0.64168112918728959</v>
      </c>
      <c r="E796" s="307">
        <f t="shared" ca="1" si="357"/>
        <v>-0.57609378390696442</v>
      </c>
      <c r="F796" s="304">
        <f t="shared" ca="1" si="358"/>
        <v>0.86234489585740526</v>
      </c>
      <c r="G796" s="306">
        <f t="shared" ca="1" si="359"/>
        <v>7.223892193939828</v>
      </c>
      <c r="H796" s="307">
        <f t="shared" ca="1" si="360"/>
        <v>-103.95408169113418</v>
      </c>
      <c r="I796" s="304">
        <f t="shared" ca="1" si="361"/>
        <v>104.20477781117651</v>
      </c>
      <c r="J796" s="306">
        <f t="shared" ca="1" si="362"/>
        <v>837.4075040097224</v>
      </c>
      <c r="K796" s="307">
        <f t="shared" ca="1" si="363"/>
        <v>-13.317444405081899</v>
      </c>
      <c r="L796" s="304">
        <f t="shared" ca="1" si="348"/>
        <v>837.51339218980593</v>
      </c>
      <c r="M796" s="306">
        <f t="shared" ca="1" si="364"/>
        <v>-1.5014166782562586</v>
      </c>
      <c r="N796" s="304">
        <f t="shared" ca="1" si="365"/>
        <v>-86.024838954635058</v>
      </c>
      <c r="P796" s="310">
        <f t="shared" ca="1" si="366"/>
        <v>23</v>
      </c>
      <c r="Q796" s="304">
        <f t="shared" ca="1" si="367"/>
        <v>0</v>
      </c>
      <c r="R796" s="306">
        <f t="shared" ca="1" si="368"/>
        <v>0</v>
      </c>
      <c r="S796" s="307">
        <f t="shared" ca="1" si="369"/>
        <v>2.9362999999999984</v>
      </c>
      <c r="T796" s="304">
        <f t="shared" ca="1" si="349"/>
        <v>28.805102999999985</v>
      </c>
      <c r="U796" s="311">
        <f t="shared" ca="1" si="350"/>
        <v>0</v>
      </c>
      <c r="V796" s="306">
        <f t="shared" ca="1" si="351"/>
        <v>1.226632473958682</v>
      </c>
      <c r="W796" s="304">
        <f t="shared" ca="1" si="352"/>
        <v>27.178963048498812</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0.53022346848467627</v>
      </c>
      <c r="AH796" s="304">
        <f t="shared" ca="1" si="376"/>
        <v>-9.2561751646755628</v>
      </c>
    </row>
    <row r="797" spans="1:34" x14ac:dyDescent="0.2">
      <c r="A797" s="347">
        <f t="shared" ca="1" si="354"/>
        <v>1E-4</v>
      </c>
      <c r="B797" s="304">
        <f t="shared" ca="1" si="355"/>
        <v>37.128800000001178</v>
      </c>
      <c r="D797" s="306">
        <f t="shared" ca="1" si="356"/>
        <v>-0.64167642288892113</v>
      </c>
      <c r="E797" s="307">
        <f t="shared" ca="1" si="357"/>
        <v>-0.57607436912904753</v>
      </c>
      <c r="F797" s="304">
        <f t="shared" ca="1" si="358"/>
        <v>0.86232842378003038</v>
      </c>
      <c r="G797" s="306">
        <f t="shared" ca="1" si="359"/>
        <v>7.2238280262975394</v>
      </c>
      <c r="H797" s="307">
        <f t="shared" ca="1" si="360"/>
        <v>-103.95413929857109</v>
      </c>
      <c r="I797" s="304">
        <f t="shared" ca="1" si="361"/>
        <v>104.20483083168575</v>
      </c>
      <c r="J797" s="306">
        <f t="shared" ca="1" si="362"/>
        <v>837.4075040097224</v>
      </c>
      <c r="K797" s="307">
        <f t="shared" ca="1" si="363"/>
        <v>-13.327839816131384</v>
      </c>
      <c r="L797" s="304">
        <f t="shared" ca="1" si="348"/>
        <v>837.51355755352267</v>
      </c>
      <c r="M797" s="306">
        <f t="shared" ca="1" si="364"/>
        <v>-1.5014173308828704</v>
      </c>
      <c r="N797" s="304">
        <f t="shared" ca="1" si="365"/>
        <v>-86.024876347385515</v>
      </c>
      <c r="P797" s="310">
        <f t="shared" ca="1" si="366"/>
        <v>23</v>
      </c>
      <c r="Q797" s="304">
        <f t="shared" ca="1" si="367"/>
        <v>0</v>
      </c>
      <c r="R797" s="306">
        <f t="shared" ca="1" si="368"/>
        <v>0</v>
      </c>
      <c r="S797" s="307">
        <f t="shared" ca="1" si="369"/>
        <v>2.9362999999999984</v>
      </c>
      <c r="T797" s="304">
        <f t="shared" ca="1" si="349"/>
        <v>28.805102999999985</v>
      </c>
      <c r="U797" s="311">
        <f t="shared" ca="1" si="350"/>
        <v>0</v>
      </c>
      <c r="V797" s="306">
        <f t="shared" ca="1" si="351"/>
        <v>1.2266337490947881</v>
      </c>
      <c r="W797" s="304">
        <f t="shared" ca="1" si="352"/>
        <v>27.179018960107253</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0.53020487051353982</v>
      </c>
      <c r="AH797" s="304">
        <f t="shared" ca="1" si="376"/>
        <v>-9.2561942064839506</v>
      </c>
    </row>
    <row r="798" spans="1:34" x14ac:dyDescent="0.2">
      <c r="A798" s="347">
        <f t="shared" ca="1" si="354"/>
        <v>1E-4</v>
      </c>
      <c r="B798" s="304">
        <f t="shared" ca="1" si="355"/>
        <v>37.128900000001181</v>
      </c>
      <c r="D798" s="306">
        <f t="shared" ca="1" si="356"/>
        <v>-0.64167171660499445</v>
      </c>
      <c r="E798" s="307">
        <f t="shared" ca="1" si="357"/>
        <v>-0.57605495464746781</v>
      </c>
      <c r="F798" s="304">
        <f t="shared" ca="1" si="358"/>
        <v>0.86231195205951805</v>
      </c>
      <c r="G798" s="306">
        <f t="shared" ca="1" si="359"/>
        <v>7.2237638591258788</v>
      </c>
      <c r="H798" s="307">
        <f t="shared" ca="1" si="360"/>
        <v>-103.95419690406656</v>
      </c>
      <c r="I798" s="304">
        <f t="shared" ca="1" si="361"/>
        <v>104.20488385033522</v>
      </c>
      <c r="J798" s="306">
        <f t="shared" ca="1" si="362"/>
        <v>837.4075040097224</v>
      </c>
      <c r="K798" s="307">
        <f t="shared" ca="1" si="363"/>
        <v>-13.338235232941516</v>
      </c>
      <c r="L798" s="304">
        <f t="shared" ca="1" si="348"/>
        <v>837.51372304632866</v>
      </c>
      <c r="M798" s="306">
        <f t="shared" ca="1" si="364"/>
        <v>-1.5014179835030208</v>
      </c>
      <c r="N798" s="304">
        <f t="shared" ca="1" si="365"/>
        <v>-86.024913739765751</v>
      </c>
      <c r="P798" s="310">
        <f t="shared" ca="1" si="366"/>
        <v>23</v>
      </c>
      <c r="Q798" s="304">
        <f t="shared" ca="1" si="367"/>
        <v>0</v>
      </c>
      <c r="R798" s="306">
        <f t="shared" ca="1" si="368"/>
        <v>0</v>
      </c>
      <c r="S798" s="307">
        <f t="shared" ca="1" si="369"/>
        <v>2.9362999999999984</v>
      </c>
      <c r="T798" s="304">
        <f t="shared" ca="1" si="349"/>
        <v>28.805102999999985</v>
      </c>
      <c r="U798" s="311">
        <f t="shared" ca="1" si="350"/>
        <v>0</v>
      </c>
      <c r="V798" s="306">
        <f t="shared" ca="1" si="351"/>
        <v>1.2266350242329271</v>
      </c>
      <c r="W798" s="304">
        <f t="shared" ca="1" si="352"/>
        <v>27.179074870862173</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0.5301862728245208</v>
      </c>
      <c r="AH798" s="304">
        <f t="shared" ca="1" si="376"/>
        <v>-9.2562132480016572</v>
      </c>
    </row>
    <row r="799" spans="1:34" x14ac:dyDescent="0.2">
      <c r="A799" s="347">
        <f t="shared" ca="1" si="354"/>
        <v>1E-4</v>
      </c>
      <c r="B799" s="304">
        <f t="shared" ca="1" si="355"/>
        <v>37.129000000001184</v>
      </c>
      <c r="D799" s="306">
        <f t="shared" ca="1" si="356"/>
        <v>-0.64166701033551499</v>
      </c>
      <c r="E799" s="307">
        <f t="shared" ca="1" si="357"/>
        <v>-0.57603554046222172</v>
      </c>
      <c r="F799" s="304">
        <f t="shared" ca="1" si="358"/>
        <v>0.86229548069587014</v>
      </c>
      <c r="G799" s="306">
        <f t="shared" ca="1" si="359"/>
        <v>7.2236996924248453</v>
      </c>
      <c r="H799" s="307">
        <f t="shared" ca="1" si="360"/>
        <v>-103.9542545076206</v>
      </c>
      <c r="I799" s="304">
        <f t="shared" ca="1" si="361"/>
        <v>104.20493686712496</v>
      </c>
      <c r="J799" s="306">
        <f t="shared" ca="1" si="362"/>
        <v>837.4075040097224</v>
      </c>
      <c r="K799" s="307">
        <f t="shared" ca="1" si="363"/>
        <v>-13.3486306555121</v>
      </c>
      <c r="L799" s="304">
        <f t="shared" ca="1" si="348"/>
        <v>837.51388866822413</v>
      </c>
      <c r="M799" s="306">
        <f t="shared" ca="1" si="364"/>
        <v>-1.5014186361167101</v>
      </c>
      <c r="N799" s="304">
        <f t="shared" ca="1" si="365"/>
        <v>-86.024951131775808</v>
      </c>
      <c r="P799" s="310">
        <f t="shared" ca="1" si="366"/>
        <v>23</v>
      </c>
      <c r="Q799" s="304">
        <f t="shared" ca="1" si="367"/>
        <v>0</v>
      </c>
      <c r="R799" s="306">
        <f t="shared" ca="1" si="368"/>
        <v>0</v>
      </c>
      <c r="S799" s="307">
        <f t="shared" ca="1" si="369"/>
        <v>2.9362999999999984</v>
      </c>
      <c r="T799" s="304">
        <f t="shared" ca="1" si="349"/>
        <v>28.805102999999985</v>
      </c>
      <c r="U799" s="311">
        <f t="shared" ca="1" si="350"/>
        <v>0</v>
      </c>
      <c r="V799" s="306">
        <f t="shared" ca="1" si="351"/>
        <v>1.2266362993730993</v>
      </c>
      <c r="W799" s="304">
        <f t="shared" ca="1" si="352"/>
        <v>27.179130780763586</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0.53016767541761922</v>
      </c>
      <c r="AH799" s="304">
        <f t="shared" ca="1" si="376"/>
        <v>-9.2562322892286861</v>
      </c>
    </row>
    <row r="800" spans="1:34" x14ac:dyDescent="0.2">
      <c r="A800" s="347">
        <f t="shared" ca="1" si="354"/>
        <v>1E-4</v>
      </c>
      <c r="B800" s="304">
        <f t="shared" ca="1" si="355"/>
        <v>37.129100000001188</v>
      </c>
      <c r="D800" s="306">
        <f t="shared" ca="1" si="356"/>
        <v>-0.64166230408047953</v>
      </c>
      <c r="E800" s="307">
        <f t="shared" ca="1" si="357"/>
        <v>-0.5760161265733128</v>
      </c>
      <c r="F800" s="304">
        <f t="shared" ca="1" si="358"/>
        <v>0.86227900968908699</v>
      </c>
      <c r="G800" s="306">
        <f t="shared" ca="1" si="359"/>
        <v>7.2236355261944372</v>
      </c>
      <c r="H800" s="307">
        <f t="shared" ca="1" si="360"/>
        <v>-103.95431210923326</v>
      </c>
      <c r="I800" s="304">
        <f t="shared" ca="1" si="361"/>
        <v>104.20498988205497</v>
      </c>
      <c r="J800" s="306">
        <f t="shared" ca="1" si="362"/>
        <v>837.4075040097224</v>
      </c>
      <c r="K800" s="307">
        <f t="shared" ca="1" si="363"/>
        <v>-13.359026083842942</v>
      </c>
      <c r="L800" s="304">
        <f t="shared" ca="1" si="348"/>
        <v>837.51405441920917</v>
      </c>
      <c r="M800" s="306">
        <f t="shared" ca="1" si="364"/>
        <v>-1.5014192887239386</v>
      </c>
      <c r="N800" s="304">
        <f t="shared" ca="1" si="365"/>
        <v>-86.024988523415672</v>
      </c>
      <c r="P800" s="310">
        <f t="shared" ca="1" si="366"/>
        <v>23</v>
      </c>
      <c r="Q800" s="304">
        <f t="shared" ca="1" si="367"/>
        <v>0</v>
      </c>
      <c r="R800" s="306">
        <f t="shared" ca="1" si="368"/>
        <v>0</v>
      </c>
      <c r="S800" s="307">
        <f t="shared" ca="1" si="369"/>
        <v>2.9362999999999984</v>
      </c>
      <c r="T800" s="304">
        <f t="shared" ca="1" si="349"/>
        <v>28.805102999999985</v>
      </c>
      <c r="U800" s="311">
        <f t="shared" ca="1" si="350"/>
        <v>0</v>
      </c>
      <c r="V800" s="306">
        <f t="shared" ca="1" si="351"/>
        <v>1.226637574515304</v>
      </c>
      <c r="W800" s="304">
        <f t="shared" ca="1" si="352"/>
        <v>27.179186689811488</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0.53014907829283153</v>
      </c>
      <c r="AH800" s="304">
        <f t="shared" ca="1" si="376"/>
        <v>-9.2562513301650373</v>
      </c>
    </row>
    <row r="801" spans="1:34" x14ac:dyDescent="0.2">
      <c r="A801" s="347">
        <f t="shared" ca="1" si="354"/>
        <v>1E-4</v>
      </c>
      <c r="B801" s="304">
        <f t="shared" ca="1" si="355"/>
        <v>37.129200000001191</v>
      </c>
      <c r="D801" s="306">
        <f t="shared" ca="1" si="356"/>
        <v>-0.64165759783988729</v>
      </c>
      <c r="E801" s="307">
        <f t="shared" ca="1" si="357"/>
        <v>-0.57599671298073218</v>
      </c>
      <c r="F801" s="304">
        <f t="shared" ca="1" si="358"/>
        <v>0.86226253903916206</v>
      </c>
      <c r="G801" s="306">
        <f t="shared" ca="1" si="359"/>
        <v>7.2235713604346534</v>
      </c>
      <c r="H801" s="307">
        <f t="shared" ca="1" si="360"/>
        <v>-103.95436970890455</v>
      </c>
      <c r="I801" s="304">
        <f t="shared" ca="1" si="361"/>
        <v>104.2050428951253</v>
      </c>
      <c r="J801" s="306">
        <f t="shared" ca="1" si="362"/>
        <v>837.4075040097224</v>
      </c>
      <c r="K801" s="307">
        <f t="shared" ca="1" si="363"/>
        <v>-13.369421517933848</v>
      </c>
      <c r="L801" s="304">
        <f t="shared" ca="1" si="348"/>
        <v>837.51422029928392</v>
      </c>
      <c r="M801" s="306">
        <f t="shared" ca="1" si="364"/>
        <v>-1.5014199413247058</v>
      </c>
      <c r="N801" s="304">
        <f t="shared" ca="1" si="365"/>
        <v>-86.025025914685344</v>
      </c>
      <c r="P801" s="310">
        <f t="shared" ca="1" si="366"/>
        <v>23</v>
      </c>
      <c r="Q801" s="304">
        <f t="shared" ca="1" si="367"/>
        <v>0</v>
      </c>
      <c r="R801" s="306">
        <f t="shared" ca="1" si="368"/>
        <v>0</v>
      </c>
      <c r="S801" s="307">
        <f t="shared" ca="1" si="369"/>
        <v>2.9362999999999984</v>
      </c>
      <c r="T801" s="304">
        <f t="shared" ca="1" si="349"/>
        <v>28.805102999999985</v>
      </c>
      <c r="U801" s="311">
        <f t="shared" ca="1" si="350"/>
        <v>0</v>
      </c>
      <c r="V801" s="306">
        <f t="shared" ca="1" si="351"/>
        <v>1.2266388496595422</v>
      </c>
      <c r="W801" s="304">
        <f t="shared" ca="1" si="352"/>
        <v>27.179242598005906</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0.53013048145015773</v>
      </c>
      <c r="AH801" s="304">
        <f t="shared" ca="1" si="376"/>
        <v>-9.2562703708107144</v>
      </c>
    </row>
    <row r="802" spans="1:34" x14ac:dyDescent="0.2">
      <c r="A802" s="347">
        <f t="shared" ca="1" si="354"/>
        <v>1E-4</v>
      </c>
      <c r="B802" s="304">
        <f t="shared" ca="1" si="355"/>
        <v>37.129300000001194</v>
      </c>
      <c r="D802" s="306">
        <f t="shared" ca="1" si="356"/>
        <v>-0.64165289161374384</v>
      </c>
      <c r="E802" s="307">
        <f t="shared" ca="1" si="357"/>
        <v>-0.57597729968447275</v>
      </c>
      <c r="F802" s="304">
        <f t="shared" ca="1" si="358"/>
        <v>0.86224606874609522</v>
      </c>
      <c r="G802" s="306">
        <f t="shared" ca="1" si="359"/>
        <v>7.2235071951454923</v>
      </c>
      <c r="H802" s="307">
        <f t="shared" ca="1" si="360"/>
        <v>-103.95442730663451</v>
      </c>
      <c r="I802" s="304">
        <f t="shared" ca="1" si="361"/>
        <v>104.20509590633597</v>
      </c>
      <c r="J802" s="306">
        <f t="shared" ca="1" si="362"/>
        <v>837.4075040097224</v>
      </c>
      <c r="K802" s="307">
        <f t="shared" ca="1" si="363"/>
        <v>-13.379816957784625</v>
      </c>
      <c r="L802" s="304">
        <f t="shared" ca="1" si="348"/>
        <v>837.51438630844848</v>
      </c>
      <c r="M802" s="306">
        <f t="shared" ca="1" si="364"/>
        <v>-1.5014205939190124</v>
      </c>
      <c r="N802" s="304">
        <f t="shared" ca="1" si="365"/>
        <v>-86.025063305584837</v>
      </c>
      <c r="P802" s="310">
        <f t="shared" ca="1" si="366"/>
        <v>23</v>
      </c>
      <c r="Q802" s="304">
        <f t="shared" ca="1" si="367"/>
        <v>0</v>
      </c>
      <c r="R802" s="306">
        <f t="shared" ca="1" si="368"/>
        <v>0</v>
      </c>
      <c r="S802" s="307">
        <f t="shared" ca="1" si="369"/>
        <v>2.9362999999999984</v>
      </c>
      <c r="T802" s="304">
        <f t="shared" ca="1" si="349"/>
        <v>28.805102999999985</v>
      </c>
      <c r="U802" s="311">
        <f t="shared" ca="1" si="350"/>
        <v>0</v>
      </c>
      <c r="V802" s="306">
        <f t="shared" ca="1" si="351"/>
        <v>1.2266401248058134</v>
      </c>
      <c r="W802" s="304">
        <f t="shared" ca="1" si="352"/>
        <v>27.17929850534685</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0.53011188488958716</v>
      </c>
      <c r="AH802" s="304">
        <f t="shared" ca="1" si="376"/>
        <v>-9.2562894111657261</v>
      </c>
    </row>
    <row r="803" spans="1:34" x14ac:dyDescent="0.2">
      <c r="A803" s="347">
        <f t="shared" ca="1" si="354"/>
        <v>1E-4</v>
      </c>
      <c r="B803" s="304">
        <f t="shared" ca="1" si="355"/>
        <v>37.129400000001198</v>
      </c>
      <c r="D803" s="306">
        <f t="shared" ca="1" si="356"/>
        <v>-0.64164818540204416</v>
      </c>
      <c r="E803" s="307">
        <f t="shared" ca="1" si="357"/>
        <v>-0.57595788668453451</v>
      </c>
      <c r="F803" s="304">
        <f t="shared" ca="1" si="358"/>
        <v>0.86222959880988259</v>
      </c>
      <c r="G803" s="306">
        <f t="shared" ca="1" si="359"/>
        <v>7.2234430303269521</v>
      </c>
      <c r="H803" s="307">
        <f t="shared" ca="1" si="360"/>
        <v>-103.95448490242319</v>
      </c>
      <c r="I803" s="304">
        <f t="shared" ca="1" si="361"/>
        <v>104.20514891568703</v>
      </c>
      <c r="J803" s="306">
        <f t="shared" ca="1" si="362"/>
        <v>837.4075040097224</v>
      </c>
      <c r="K803" s="307">
        <f t="shared" ca="1" si="363"/>
        <v>-13.390212403395077</v>
      </c>
      <c r="L803" s="304">
        <f t="shared" ca="1" si="348"/>
        <v>837.51455244670296</v>
      </c>
      <c r="M803" s="306">
        <f t="shared" ca="1" si="364"/>
        <v>-1.5014212465068582</v>
      </c>
      <c r="N803" s="304">
        <f t="shared" ca="1" si="365"/>
        <v>-86.025100696114166</v>
      </c>
      <c r="P803" s="310">
        <f t="shared" ca="1" si="366"/>
        <v>23</v>
      </c>
      <c r="Q803" s="304">
        <f t="shared" ca="1" si="367"/>
        <v>0</v>
      </c>
      <c r="R803" s="306">
        <f t="shared" ca="1" si="368"/>
        <v>0</v>
      </c>
      <c r="S803" s="307">
        <f t="shared" ca="1" si="369"/>
        <v>2.9362999999999984</v>
      </c>
      <c r="T803" s="304">
        <f t="shared" ca="1" si="349"/>
        <v>28.805102999999985</v>
      </c>
      <c r="U803" s="311">
        <f t="shared" ca="1" si="350"/>
        <v>0</v>
      </c>
      <c r="V803" s="306">
        <f t="shared" ca="1" si="351"/>
        <v>1.2266413999541173</v>
      </c>
      <c r="W803" s="304">
        <f t="shared" ca="1" si="352"/>
        <v>27.179354411834318</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0.53009328861111626</v>
      </c>
      <c r="AH803" s="304">
        <f t="shared" ca="1" si="376"/>
        <v>-9.2563084512300744</v>
      </c>
    </row>
    <row r="804" spans="1:34" x14ac:dyDescent="0.2">
      <c r="A804" s="347">
        <f t="shared" ca="1" si="354"/>
        <v>1E-4</v>
      </c>
      <c r="B804" s="304">
        <f t="shared" ca="1" si="355"/>
        <v>37.129500000001201</v>
      </c>
      <c r="D804" s="306">
        <f t="shared" ca="1" si="356"/>
        <v>-0.64164347920479103</v>
      </c>
      <c r="E804" s="307">
        <f t="shared" ca="1" si="357"/>
        <v>-0.57593847398091746</v>
      </c>
      <c r="F804" s="304">
        <f t="shared" ca="1" si="358"/>
        <v>0.86221312923052673</v>
      </c>
      <c r="G804" s="306">
        <f t="shared" ca="1" si="359"/>
        <v>7.2233788659790319</v>
      </c>
      <c r="H804" s="307">
        <f t="shared" ca="1" si="360"/>
        <v>-103.95454249627059</v>
      </c>
      <c r="I804" s="304">
        <f t="shared" ca="1" si="361"/>
        <v>104.20520192317849</v>
      </c>
      <c r="J804" s="306">
        <f t="shared" ca="1" si="362"/>
        <v>837.4075040097224</v>
      </c>
      <c r="K804" s="307">
        <f t="shared" ca="1" si="363"/>
        <v>-13.400607854765012</v>
      </c>
      <c r="L804" s="304">
        <f t="shared" ca="1" si="348"/>
        <v>837.51471871404772</v>
      </c>
      <c r="M804" s="306">
        <f t="shared" ca="1" si="364"/>
        <v>-1.5014218990882431</v>
      </c>
      <c r="N804" s="304">
        <f t="shared" ca="1" si="365"/>
        <v>-86.025138086273316</v>
      </c>
      <c r="P804" s="310">
        <f t="shared" ca="1" si="366"/>
        <v>23</v>
      </c>
      <c r="Q804" s="304">
        <f t="shared" ca="1" si="367"/>
        <v>0</v>
      </c>
      <c r="R804" s="306">
        <f t="shared" ca="1" si="368"/>
        <v>0</v>
      </c>
      <c r="S804" s="307">
        <f t="shared" ca="1" si="369"/>
        <v>2.9362999999999984</v>
      </c>
      <c r="T804" s="304">
        <f t="shared" ca="1" si="349"/>
        <v>28.805102999999985</v>
      </c>
      <c r="U804" s="311">
        <f t="shared" ca="1" si="350"/>
        <v>0</v>
      </c>
      <c r="V804" s="306">
        <f t="shared" ca="1" si="351"/>
        <v>1.2266426751044541</v>
      </c>
      <c r="W804" s="304">
        <f t="shared" ca="1" si="352"/>
        <v>27.179410317468335</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0.53007469261475215</v>
      </c>
      <c r="AH804" s="304">
        <f t="shared" ca="1" si="376"/>
        <v>-9.2563274910037574</v>
      </c>
    </row>
    <row r="805" spans="1:34" x14ac:dyDescent="0.2">
      <c r="A805" s="347">
        <f t="shared" ca="1" si="354"/>
        <v>1E-4</v>
      </c>
      <c r="B805" s="304">
        <f t="shared" ca="1" si="355"/>
        <v>37.129600000001204</v>
      </c>
      <c r="D805" s="306">
        <f t="shared" ca="1" si="356"/>
        <v>-0.64163877302198624</v>
      </c>
      <c r="E805" s="307">
        <f t="shared" ca="1" si="357"/>
        <v>-0.57591906157361095</v>
      </c>
      <c r="F805" s="304">
        <f t="shared" ca="1" si="358"/>
        <v>0.86219666000802198</v>
      </c>
      <c r="G805" s="306">
        <f t="shared" ca="1" si="359"/>
        <v>7.2233147021017299</v>
      </c>
      <c r="H805" s="307">
        <f t="shared" ca="1" si="360"/>
        <v>-103.95460008817675</v>
      </c>
      <c r="I805" s="304">
        <f t="shared" ca="1" si="361"/>
        <v>104.20525492881036</v>
      </c>
      <c r="J805" s="306">
        <f t="shared" ca="1" si="362"/>
        <v>837.4075040097224</v>
      </c>
      <c r="K805" s="307">
        <f t="shared" ca="1" si="363"/>
        <v>-13.411003311894234</v>
      </c>
      <c r="L805" s="304">
        <f t="shared" ca="1" si="348"/>
        <v>837.51488511048262</v>
      </c>
      <c r="M805" s="306">
        <f t="shared" ca="1" si="364"/>
        <v>-1.5014225516631674</v>
      </c>
      <c r="N805" s="304">
        <f t="shared" ca="1" si="365"/>
        <v>-86.025175476062287</v>
      </c>
      <c r="P805" s="310">
        <f t="shared" ca="1" si="366"/>
        <v>23</v>
      </c>
      <c r="Q805" s="304">
        <f t="shared" ca="1" si="367"/>
        <v>0</v>
      </c>
      <c r="R805" s="306">
        <f t="shared" ca="1" si="368"/>
        <v>0</v>
      </c>
      <c r="S805" s="307">
        <f t="shared" ca="1" si="369"/>
        <v>2.9362999999999984</v>
      </c>
      <c r="T805" s="304">
        <f t="shared" ca="1" si="349"/>
        <v>28.805102999999985</v>
      </c>
      <c r="U805" s="311">
        <f t="shared" ca="1" si="350"/>
        <v>0</v>
      </c>
      <c r="V805" s="306">
        <f t="shared" ca="1" si="351"/>
        <v>1.2266439502568243</v>
      </c>
      <c r="W805" s="304">
        <f t="shared" ca="1" si="352"/>
        <v>27.179466222248895</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0.53005609690048061</v>
      </c>
      <c r="AH805" s="304">
        <f t="shared" ca="1" si="376"/>
        <v>-9.2563465304867858</v>
      </c>
    </row>
    <row r="806" spans="1:34" x14ac:dyDescent="0.2">
      <c r="A806" s="347">
        <f t="shared" ca="1" si="354"/>
        <v>1E-4</v>
      </c>
      <c r="B806" s="304">
        <f t="shared" ca="1" si="355"/>
        <v>37.129700000001208</v>
      </c>
      <c r="D806" s="306">
        <f t="shared" ca="1" si="356"/>
        <v>-0.64163406685362834</v>
      </c>
      <c r="E806" s="307">
        <f t="shared" ca="1" si="357"/>
        <v>-0.57589964946261674</v>
      </c>
      <c r="F806" s="304">
        <f t="shared" ca="1" si="358"/>
        <v>0.86218019114236855</v>
      </c>
      <c r="G806" s="306">
        <f t="shared" ca="1" si="359"/>
        <v>7.2232505386950443</v>
      </c>
      <c r="H806" s="307">
        <f t="shared" ca="1" si="360"/>
        <v>-103.9546576781417</v>
      </c>
      <c r="I806" s="304">
        <f t="shared" ca="1" si="361"/>
        <v>104.2053079325827</v>
      </c>
      <c r="J806" s="306">
        <f t="shared" ca="1" si="362"/>
        <v>837.4075040097224</v>
      </c>
      <c r="K806" s="307">
        <f t="shared" ca="1" si="363"/>
        <v>-13.421398774782549</v>
      </c>
      <c r="L806" s="304">
        <f t="shared" ca="1" si="348"/>
        <v>837.51505163600791</v>
      </c>
      <c r="M806" s="306">
        <f t="shared" ca="1" si="364"/>
        <v>-1.5014232042316311</v>
      </c>
      <c r="N806" s="304">
        <f t="shared" ca="1" si="365"/>
        <v>-86.025212865481109</v>
      </c>
      <c r="P806" s="310">
        <f t="shared" ca="1" si="366"/>
        <v>23</v>
      </c>
      <c r="Q806" s="304">
        <f t="shared" ca="1" si="367"/>
        <v>0</v>
      </c>
      <c r="R806" s="306">
        <f t="shared" ca="1" si="368"/>
        <v>0</v>
      </c>
      <c r="S806" s="307">
        <f t="shared" ca="1" si="369"/>
        <v>2.9362999999999984</v>
      </c>
      <c r="T806" s="304">
        <f t="shared" ca="1" si="349"/>
        <v>28.805102999999985</v>
      </c>
      <c r="U806" s="311">
        <f t="shared" ca="1" si="350"/>
        <v>0</v>
      </c>
      <c r="V806" s="306">
        <f t="shared" ca="1" si="351"/>
        <v>1.226645225411227</v>
      </c>
      <c r="W806" s="304">
        <f t="shared" ca="1" si="352"/>
        <v>27.17952212617601</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0.53003750146830342</v>
      </c>
      <c r="AH806" s="304">
        <f t="shared" ca="1" si="376"/>
        <v>-9.2563655696791578</v>
      </c>
    </row>
    <row r="807" spans="1:34" x14ac:dyDescent="0.2">
      <c r="A807" s="347">
        <f t="shared" ca="1" si="354"/>
        <v>1E-4</v>
      </c>
      <c r="B807" s="304">
        <f t="shared" ca="1" si="355"/>
        <v>37.129800000001211</v>
      </c>
      <c r="D807" s="306">
        <f t="shared" ca="1" si="356"/>
        <v>-0.64162936069971876</v>
      </c>
      <c r="E807" s="307">
        <f t="shared" ca="1" si="357"/>
        <v>-0.57588023764793306</v>
      </c>
      <c r="F807" s="304">
        <f t="shared" ca="1" si="358"/>
        <v>0.86216372263356666</v>
      </c>
      <c r="G807" s="306">
        <f t="shared" ca="1" si="359"/>
        <v>7.2231863757589743</v>
      </c>
      <c r="H807" s="307">
        <f t="shared" ca="1" si="360"/>
        <v>-103.95471526616546</v>
      </c>
      <c r="I807" s="304">
        <f t="shared" ca="1" si="361"/>
        <v>104.20536093449552</v>
      </c>
      <c r="J807" s="306">
        <f t="shared" ca="1" si="362"/>
        <v>837.4075040097224</v>
      </c>
      <c r="K807" s="307">
        <f t="shared" ca="1" si="363"/>
        <v>-13.431794243429765</v>
      </c>
      <c r="L807" s="304">
        <f t="shared" ca="1" si="348"/>
        <v>837.51521829062369</v>
      </c>
      <c r="M807" s="306">
        <f t="shared" ca="1" si="364"/>
        <v>-1.5014238567936344</v>
      </c>
      <c r="N807" s="304">
        <f t="shared" ca="1" si="365"/>
        <v>-86.025250254529766</v>
      </c>
      <c r="P807" s="310">
        <f t="shared" ca="1" si="366"/>
        <v>23</v>
      </c>
      <c r="Q807" s="304">
        <f t="shared" ca="1" si="367"/>
        <v>0</v>
      </c>
      <c r="R807" s="306">
        <f t="shared" ca="1" si="368"/>
        <v>0</v>
      </c>
      <c r="S807" s="307">
        <f t="shared" ca="1" si="369"/>
        <v>2.9362999999999984</v>
      </c>
      <c r="T807" s="304">
        <f t="shared" ca="1" si="349"/>
        <v>28.805102999999985</v>
      </c>
      <c r="U807" s="311">
        <f t="shared" ca="1" si="350"/>
        <v>0</v>
      </c>
      <c r="V807" s="306">
        <f t="shared" ca="1" si="351"/>
        <v>1.2266465005676623</v>
      </c>
      <c r="W807" s="304">
        <f t="shared" ca="1" si="352"/>
        <v>27.179578029249694</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0.53001890631822235</v>
      </c>
      <c r="AH807" s="304">
        <f t="shared" ca="1" si="376"/>
        <v>-9.2563846085808752</v>
      </c>
    </row>
    <row r="808" spans="1:34" x14ac:dyDescent="0.2">
      <c r="A808" s="347">
        <f t="shared" ca="1" si="354"/>
        <v>1E-4</v>
      </c>
      <c r="B808" s="304">
        <f t="shared" ca="1" si="355"/>
        <v>37.129900000001214</v>
      </c>
      <c r="D808" s="306">
        <f t="shared" ca="1" si="356"/>
        <v>-0.64162465456025664</v>
      </c>
      <c r="E808" s="307">
        <f t="shared" ca="1" si="357"/>
        <v>-0.57586082612955458</v>
      </c>
      <c r="F808" s="304">
        <f t="shared" ca="1" si="358"/>
        <v>0.86214725448161222</v>
      </c>
      <c r="G808" s="306">
        <f t="shared" ca="1" si="359"/>
        <v>7.223122213293518</v>
      </c>
      <c r="H808" s="307">
        <f t="shared" ca="1" si="360"/>
        <v>-103.95477285224808</v>
      </c>
      <c r="I808" s="304">
        <f t="shared" ca="1" si="361"/>
        <v>104.20541393454886</v>
      </c>
      <c r="J808" s="306">
        <f t="shared" ca="1" si="362"/>
        <v>837.4075040097224</v>
      </c>
      <c r="K808" s="307">
        <f t="shared" ca="1" si="363"/>
        <v>-13.442189717835685</v>
      </c>
      <c r="L808" s="304">
        <f t="shared" ca="1" si="348"/>
        <v>837.5153850743302</v>
      </c>
      <c r="M808" s="306">
        <f t="shared" ca="1" si="364"/>
        <v>-1.5014245093491774</v>
      </c>
      <c r="N808" s="304">
        <f t="shared" ca="1" si="365"/>
        <v>-86.025287643208273</v>
      </c>
      <c r="P808" s="310">
        <f t="shared" ca="1" si="366"/>
        <v>23</v>
      </c>
      <c r="Q808" s="304">
        <f t="shared" ca="1" si="367"/>
        <v>0</v>
      </c>
      <c r="R808" s="306">
        <f t="shared" ca="1" si="368"/>
        <v>0</v>
      </c>
      <c r="S808" s="307">
        <f t="shared" ca="1" si="369"/>
        <v>2.9362999999999984</v>
      </c>
      <c r="T808" s="304">
        <f t="shared" ca="1" si="349"/>
        <v>28.805102999999985</v>
      </c>
      <c r="U808" s="311">
        <f t="shared" ca="1" si="350"/>
        <v>0</v>
      </c>
      <c r="V808" s="306">
        <f t="shared" ca="1" si="351"/>
        <v>1.2266477757261312</v>
      </c>
      <c r="W808" s="304">
        <f t="shared" ca="1" si="352"/>
        <v>27.179633931469983</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0.53000031145022497</v>
      </c>
      <c r="AH808" s="304">
        <f t="shared" ca="1" si="376"/>
        <v>-9.2564036471919451</v>
      </c>
    </row>
    <row r="809" spans="1:34" x14ac:dyDescent="0.2">
      <c r="A809" s="347">
        <f t="shared" ca="1" si="354"/>
        <v>1E-4</v>
      </c>
      <c r="B809" s="304">
        <f t="shared" ca="1" si="355"/>
        <v>37.130000000001218</v>
      </c>
      <c r="D809" s="306">
        <f t="shared" ca="1" si="356"/>
        <v>-0.64161994843524373</v>
      </c>
      <c r="E809" s="307">
        <f t="shared" ca="1" si="357"/>
        <v>-0.5758414149074671</v>
      </c>
      <c r="F809" s="304">
        <f t="shared" ca="1" si="358"/>
        <v>0.86213078668649712</v>
      </c>
      <c r="G809" s="306">
        <f t="shared" ca="1" si="359"/>
        <v>7.2230580512986746</v>
      </c>
      <c r="H809" s="307">
        <f t="shared" ca="1" si="360"/>
        <v>-103.95483043638957</v>
      </c>
      <c r="I809" s="304">
        <f t="shared" ca="1" si="361"/>
        <v>104.20546693274272</v>
      </c>
      <c r="J809" s="306">
        <f t="shared" ca="1" si="362"/>
        <v>837.4075040097224</v>
      </c>
      <c r="K809" s="307">
        <f t="shared" ca="1" si="363"/>
        <v>-13.452585198000117</v>
      </c>
      <c r="L809" s="304">
        <f t="shared" ca="1" si="348"/>
        <v>837.51555198712731</v>
      </c>
      <c r="M809" s="306">
        <f t="shared" ca="1" si="364"/>
        <v>-1.5014251618982599</v>
      </c>
      <c r="N809" s="304">
        <f t="shared" ca="1" si="365"/>
        <v>-86.02532503151663</v>
      </c>
      <c r="P809" s="310">
        <f t="shared" ca="1" si="366"/>
        <v>23</v>
      </c>
      <c r="Q809" s="304">
        <f t="shared" ca="1" si="367"/>
        <v>0</v>
      </c>
      <c r="R809" s="306">
        <f t="shared" ca="1" si="368"/>
        <v>0</v>
      </c>
      <c r="S809" s="307">
        <f t="shared" ca="1" si="369"/>
        <v>2.9362999999999984</v>
      </c>
      <c r="T809" s="304">
        <f t="shared" ca="1" si="349"/>
        <v>28.805102999999985</v>
      </c>
      <c r="U809" s="311">
        <f t="shared" ca="1" si="350"/>
        <v>0</v>
      </c>
      <c r="V809" s="306">
        <f t="shared" ca="1" si="351"/>
        <v>1.2266490508866323</v>
      </c>
      <c r="W809" s="304">
        <f t="shared" ca="1" si="352"/>
        <v>27.179689832836832</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0.52998171686430773</v>
      </c>
      <c r="AH809" s="304">
        <f t="shared" ca="1" si="376"/>
        <v>-9.2564226855123781</v>
      </c>
    </row>
    <row r="810" spans="1:34" x14ac:dyDescent="0.2">
      <c r="A810" s="347">
        <f t="shared" ca="1" si="354"/>
        <v>1E-4</v>
      </c>
      <c r="B810" s="304">
        <f t="shared" ca="1" si="355"/>
        <v>37.130100000001221</v>
      </c>
      <c r="D810" s="306">
        <f t="shared" ca="1" si="356"/>
        <v>-0.64161524232468004</v>
      </c>
      <c r="E810" s="307">
        <f t="shared" ca="1" si="357"/>
        <v>-0.57582200398168482</v>
      </c>
      <c r="F810" s="304">
        <f t="shared" ca="1" si="358"/>
        <v>0.86211431924823134</v>
      </c>
      <c r="G810" s="306">
        <f t="shared" ca="1" si="359"/>
        <v>7.2229938897744423</v>
      </c>
      <c r="H810" s="307">
        <f t="shared" ca="1" si="360"/>
        <v>-103.95488801858997</v>
      </c>
      <c r="I810" s="304">
        <f t="shared" ca="1" si="361"/>
        <v>104.20551992907717</v>
      </c>
      <c r="J810" s="306">
        <f t="shared" ca="1" si="362"/>
        <v>837.4075040097224</v>
      </c>
      <c r="K810" s="307">
        <f t="shared" ca="1" si="363"/>
        <v>-13.462980683922865</v>
      </c>
      <c r="L810" s="304">
        <f t="shared" ca="1" si="348"/>
        <v>837.5157190290156</v>
      </c>
      <c r="M810" s="306">
        <f t="shared" ca="1" si="364"/>
        <v>-1.5014258144408821</v>
      </c>
      <c r="N810" s="304">
        <f t="shared" ca="1" si="365"/>
        <v>-86.025362419454837</v>
      </c>
      <c r="P810" s="310">
        <f t="shared" ca="1" si="366"/>
        <v>23</v>
      </c>
      <c r="Q810" s="304">
        <f t="shared" ca="1" si="367"/>
        <v>0</v>
      </c>
      <c r="R810" s="306">
        <f t="shared" ca="1" si="368"/>
        <v>0</v>
      </c>
      <c r="S810" s="307">
        <f t="shared" ca="1" si="369"/>
        <v>2.9362999999999984</v>
      </c>
      <c r="T810" s="304">
        <f t="shared" ca="1" si="349"/>
        <v>28.805102999999985</v>
      </c>
      <c r="U810" s="311">
        <f t="shared" ca="1" si="350"/>
        <v>0</v>
      </c>
      <c r="V810" s="306">
        <f t="shared" ca="1" si="351"/>
        <v>1.2266503260491666</v>
      </c>
      <c r="W810" s="304">
        <f t="shared" ca="1" si="352"/>
        <v>27.179745733350295</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0.52996312256047773</v>
      </c>
      <c r="AH810" s="304">
        <f t="shared" ca="1" si="376"/>
        <v>-9.2564417235421619</v>
      </c>
    </row>
    <row r="811" spans="1:34" x14ac:dyDescent="0.2">
      <c r="A811" s="347">
        <f t="shared" ca="1" si="354"/>
        <v>1E-4</v>
      </c>
      <c r="B811" s="304">
        <f t="shared" ca="1" si="355"/>
        <v>37.130200000001224</v>
      </c>
      <c r="D811" s="306">
        <f t="shared" ca="1" si="356"/>
        <v>-0.64161053622856756</v>
      </c>
      <c r="E811" s="307">
        <f t="shared" ca="1" si="357"/>
        <v>-0.5758025933521953</v>
      </c>
      <c r="F811" s="304">
        <f t="shared" ca="1" si="358"/>
        <v>0.86209785216680801</v>
      </c>
      <c r="G811" s="306">
        <f t="shared" ca="1" si="359"/>
        <v>7.2229297287208194</v>
      </c>
      <c r="H811" s="307">
        <f t="shared" ca="1" si="360"/>
        <v>-103.95494559884931</v>
      </c>
      <c r="I811" s="304">
        <f t="shared" ca="1" si="361"/>
        <v>104.20557292355221</v>
      </c>
      <c r="J811" s="306">
        <f t="shared" ca="1" si="362"/>
        <v>837.4075040097224</v>
      </c>
      <c r="K811" s="307">
        <f t="shared" ca="1" si="363"/>
        <v>-13.473376175603738</v>
      </c>
      <c r="L811" s="304">
        <f t="shared" ca="1" si="348"/>
        <v>837.51588619999472</v>
      </c>
      <c r="M811" s="306">
        <f t="shared" ca="1" si="364"/>
        <v>-1.5014264669770443</v>
      </c>
      <c r="N811" s="304">
        <f t="shared" ca="1" si="365"/>
        <v>-86.025399807022907</v>
      </c>
      <c r="P811" s="310">
        <f t="shared" ca="1" si="366"/>
        <v>23</v>
      </c>
      <c r="Q811" s="304">
        <f t="shared" ca="1" si="367"/>
        <v>0</v>
      </c>
      <c r="R811" s="306">
        <f t="shared" ca="1" si="368"/>
        <v>0</v>
      </c>
      <c r="S811" s="307">
        <f t="shared" ca="1" si="369"/>
        <v>2.9362999999999984</v>
      </c>
      <c r="T811" s="304">
        <f t="shared" ca="1" si="349"/>
        <v>28.805102999999985</v>
      </c>
      <c r="U811" s="311">
        <f t="shared" ca="1" si="350"/>
        <v>0</v>
      </c>
      <c r="V811" s="306">
        <f t="shared" ca="1" si="351"/>
        <v>1.2266516012137338</v>
      </c>
      <c r="W811" s="304">
        <f t="shared" ca="1" si="352"/>
        <v>27.179801633010374</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0.52994452853872076</v>
      </c>
      <c r="AH811" s="304">
        <f t="shared" ca="1" si="376"/>
        <v>-9.2564607612813106</v>
      </c>
    </row>
    <row r="812" spans="1:34" x14ac:dyDescent="0.2">
      <c r="A812" s="347">
        <f t="shared" ca="1" si="354"/>
        <v>1E-4</v>
      </c>
      <c r="B812" s="304">
        <f t="shared" ca="1" si="355"/>
        <v>37.130300000001228</v>
      </c>
      <c r="D812" s="306">
        <f t="shared" ca="1" si="356"/>
        <v>-0.64160583014690331</v>
      </c>
      <c r="E812" s="307">
        <f t="shared" ca="1" si="357"/>
        <v>-0.57578318301899145</v>
      </c>
      <c r="F812" s="304">
        <f t="shared" ca="1" si="358"/>
        <v>0.86208138544222046</v>
      </c>
      <c r="G812" s="306">
        <f t="shared" ca="1" si="359"/>
        <v>7.2228655681378049</v>
      </c>
      <c r="H812" s="307">
        <f t="shared" ca="1" si="360"/>
        <v>-103.95500317716761</v>
      </c>
      <c r="I812" s="304">
        <f t="shared" ca="1" si="361"/>
        <v>104.20562591616788</v>
      </c>
      <c r="J812" s="306">
        <f t="shared" ca="1" si="362"/>
        <v>837.4075040097224</v>
      </c>
      <c r="K812" s="307">
        <f t="shared" ca="1" si="363"/>
        <v>-13.483771673042538</v>
      </c>
      <c r="L812" s="304">
        <f t="shared" ca="1" si="348"/>
        <v>837.51605350006514</v>
      </c>
      <c r="M812" s="306">
        <f t="shared" ca="1" si="364"/>
        <v>-1.5014271195067463</v>
      </c>
      <c r="N812" s="304">
        <f t="shared" ca="1" si="365"/>
        <v>-86.025437194220842</v>
      </c>
      <c r="P812" s="310">
        <f t="shared" ca="1" si="366"/>
        <v>23</v>
      </c>
      <c r="Q812" s="304">
        <f t="shared" ca="1" si="367"/>
        <v>0</v>
      </c>
      <c r="R812" s="306">
        <f t="shared" ca="1" si="368"/>
        <v>0</v>
      </c>
      <c r="S812" s="307">
        <f t="shared" ca="1" si="369"/>
        <v>2.9362999999999984</v>
      </c>
      <c r="T812" s="304">
        <f t="shared" ca="1" si="349"/>
        <v>28.805102999999985</v>
      </c>
      <c r="U812" s="311">
        <f t="shared" ca="1" si="350"/>
        <v>0</v>
      </c>
      <c r="V812" s="306">
        <f t="shared" ca="1" si="351"/>
        <v>1.2266528763803337</v>
      </c>
      <c r="W812" s="304">
        <f t="shared" ca="1" si="352"/>
        <v>27.179857531817067</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0.52992593479904038</v>
      </c>
      <c r="AH812" s="304">
        <f t="shared" ca="1" si="376"/>
        <v>-9.256479798729826</v>
      </c>
    </row>
    <row r="813" spans="1:34" x14ac:dyDescent="0.2">
      <c r="A813" s="347">
        <f t="shared" ca="1" si="354"/>
        <v>1E-4</v>
      </c>
      <c r="B813" s="304">
        <f t="shared" ca="1" si="355"/>
        <v>37.130400000001231</v>
      </c>
      <c r="D813" s="306">
        <f t="shared" ca="1" si="356"/>
        <v>-0.64160112407969039</v>
      </c>
      <c r="E813" s="307">
        <f t="shared" ca="1" si="357"/>
        <v>-0.57576377298207859</v>
      </c>
      <c r="F813" s="304">
        <f t="shared" ca="1" si="358"/>
        <v>0.8620649190744748</v>
      </c>
      <c r="G813" s="306">
        <f t="shared" ca="1" si="359"/>
        <v>7.2228014080253971</v>
      </c>
      <c r="H813" s="307">
        <f t="shared" ca="1" si="360"/>
        <v>-103.95506075354491</v>
      </c>
      <c r="I813" s="304">
        <f t="shared" ca="1" si="361"/>
        <v>104.20567890692421</v>
      </c>
      <c r="J813" s="306">
        <f t="shared" ca="1" si="362"/>
        <v>837.4075040097224</v>
      </c>
      <c r="K813" s="307">
        <f t="shared" ca="1" si="363"/>
        <v>-13.494167176239074</v>
      </c>
      <c r="L813" s="304">
        <f t="shared" ca="1" si="348"/>
        <v>837.51622092922685</v>
      </c>
      <c r="M813" s="306">
        <f t="shared" ca="1" si="364"/>
        <v>-1.5014277720299884</v>
      </c>
      <c r="N813" s="304">
        <f t="shared" ca="1" si="365"/>
        <v>-86.025474581048655</v>
      </c>
      <c r="P813" s="310">
        <f t="shared" ca="1" si="366"/>
        <v>23</v>
      </c>
      <c r="Q813" s="304">
        <f t="shared" ca="1" si="367"/>
        <v>0</v>
      </c>
      <c r="R813" s="306">
        <f t="shared" ca="1" si="368"/>
        <v>0</v>
      </c>
      <c r="S813" s="307">
        <f t="shared" ca="1" si="369"/>
        <v>2.9362999999999984</v>
      </c>
      <c r="T813" s="304">
        <f t="shared" ca="1" si="349"/>
        <v>28.805102999999985</v>
      </c>
      <c r="U813" s="311">
        <f t="shared" ca="1" si="350"/>
        <v>0</v>
      </c>
      <c r="V813" s="306">
        <f t="shared" ca="1" si="351"/>
        <v>1.2266541515489662</v>
      </c>
      <c r="W813" s="304">
        <f t="shared" ca="1" si="352"/>
        <v>27.179913429770391</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0.52990734134142947</v>
      </c>
      <c r="AH813" s="304">
        <f t="shared" ca="1" si="376"/>
        <v>-9.2564988358877098</v>
      </c>
    </row>
    <row r="814" spans="1:34" x14ac:dyDescent="0.2">
      <c r="A814" s="347">
        <f t="shared" ca="1" si="354"/>
        <v>1E-4</v>
      </c>
      <c r="B814" s="304">
        <f t="shared" ca="1" si="355"/>
        <v>37.130500000001234</v>
      </c>
      <c r="D814" s="306">
        <f t="shared" ca="1" si="356"/>
        <v>-0.64159641802692779</v>
      </c>
      <c r="E814" s="307">
        <f t="shared" ca="1" si="357"/>
        <v>-0.57574436324144607</v>
      </c>
      <c r="F814" s="304">
        <f t="shared" ca="1" si="358"/>
        <v>0.86204845306356337</v>
      </c>
      <c r="G814" s="306">
        <f t="shared" ca="1" si="359"/>
        <v>7.2227372483835941</v>
      </c>
      <c r="H814" s="307">
        <f t="shared" ca="1" si="360"/>
        <v>-103.95511832798124</v>
      </c>
      <c r="I814" s="304">
        <f t="shared" ca="1" si="361"/>
        <v>104.2057318958212</v>
      </c>
      <c r="J814" s="306">
        <f t="shared" ca="1" si="362"/>
        <v>837.4075040097224</v>
      </c>
      <c r="K814" s="307">
        <f t="shared" ca="1" si="363"/>
        <v>-13.50456268519315</v>
      </c>
      <c r="L814" s="304">
        <f t="shared" ca="1" si="348"/>
        <v>837.51638848747996</v>
      </c>
      <c r="M814" s="306">
        <f t="shared" ca="1" si="364"/>
        <v>-1.5014284245467704</v>
      </c>
      <c r="N814" s="304">
        <f t="shared" ca="1" si="365"/>
        <v>-86.025511967506318</v>
      </c>
      <c r="P814" s="310">
        <f t="shared" ca="1" si="366"/>
        <v>23</v>
      </c>
      <c r="Q814" s="304">
        <f t="shared" ca="1" si="367"/>
        <v>0</v>
      </c>
      <c r="R814" s="306">
        <f t="shared" ca="1" si="368"/>
        <v>0</v>
      </c>
      <c r="S814" s="307">
        <f t="shared" ca="1" si="369"/>
        <v>2.9362999999999984</v>
      </c>
      <c r="T814" s="304">
        <f t="shared" ca="1" si="349"/>
        <v>28.805102999999985</v>
      </c>
      <c r="U814" s="311">
        <f t="shared" ca="1" si="350"/>
        <v>0</v>
      </c>
      <c r="V814" s="306">
        <f t="shared" ca="1" si="351"/>
        <v>1.2266554267196317</v>
      </c>
      <c r="W814" s="304">
        <f t="shared" ca="1" si="352"/>
        <v>27.179969326870353</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0.52988874816588805</v>
      </c>
      <c r="AH814" s="304">
        <f t="shared" ca="1" si="376"/>
        <v>-9.2565178727549657</v>
      </c>
    </row>
    <row r="815" spans="1:34" x14ac:dyDescent="0.2">
      <c r="A815" s="347">
        <f t="shared" ca="1" si="354"/>
        <v>1E-4</v>
      </c>
      <c r="B815" s="304">
        <f t="shared" ca="1" si="355"/>
        <v>37.130600000001238</v>
      </c>
      <c r="D815" s="306">
        <f t="shared" ca="1" si="356"/>
        <v>-0.64159171198861897</v>
      </c>
      <c r="E815" s="307">
        <f t="shared" ca="1" si="357"/>
        <v>-0.57572495379709565</v>
      </c>
      <c r="F815" s="304">
        <f t="shared" ca="1" si="358"/>
        <v>0.86203198740948983</v>
      </c>
      <c r="G815" s="306">
        <f t="shared" ca="1" si="359"/>
        <v>7.2226730892123951</v>
      </c>
      <c r="H815" s="307">
        <f t="shared" ca="1" si="360"/>
        <v>-103.95517590047662</v>
      </c>
      <c r="I815" s="304">
        <f t="shared" ca="1" si="361"/>
        <v>104.20578488285891</v>
      </c>
      <c r="J815" s="306">
        <f t="shared" ca="1" si="362"/>
        <v>837.4075040097224</v>
      </c>
      <c r="K815" s="307">
        <f t="shared" ca="1" si="363"/>
        <v>-13.514958199904573</v>
      </c>
      <c r="L815" s="304">
        <f t="shared" ca="1" si="348"/>
        <v>837.51655617482481</v>
      </c>
      <c r="M815" s="306">
        <f t="shared" ca="1" si="364"/>
        <v>-1.5014290770570926</v>
      </c>
      <c r="N815" s="304">
        <f t="shared" ca="1" si="365"/>
        <v>-86.025549353593874</v>
      </c>
      <c r="P815" s="310">
        <f t="shared" ca="1" si="366"/>
        <v>23</v>
      </c>
      <c r="Q815" s="304">
        <f t="shared" ca="1" si="367"/>
        <v>0</v>
      </c>
      <c r="R815" s="306">
        <f t="shared" ca="1" si="368"/>
        <v>0</v>
      </c>
      <c r="S815" s="307">
        <f t="shared" ca="1" si="369"/>
        <v>2.9362999999999984</v>
      </c>
      <c r="T815" s="304">
        <f t="shared" ca="1" si="349"/>
        <v>28.805102999999985</v>
      </c>
      <c r="U815" s="311">
        <f t="shared" ca="1" si="350"/>
        <v>0</v>
      </c>
      <c r="V815" s="306">
        <f t="shared" ca="1" si="351"/>
        <v>1.2266567018923293</v>
      </c>
      <c r="W815" s="304">
        <f t="shared" ca="1" si="352"/>
        <v>27.180025223116953</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0.52987015527241255</v>
      </c>
      <c r="AH815" s="304">
        <f t="shared" ca="1" si="376"/>
        <v>-9.2565369093315972</v>
      </c>
    </row>
    <row r="816" spans="1:34" x14ac:dyDescent="0.2">
      <c r="A816" s="347">
        <f t="shared" ca="1" si="354"/>
        <v>1E-4</v>
      </c>
      <c r="B816" s="304">
        <f t="shared" ca="1" si="355"/>
        <v>37.130700000001241</v>
      </c>
      <c r="D816" s="306">
        <f t="shared" ca="1" si="356"/>
        <v>-0.64158700596476048</v>
      </c>
      <c r="E816" s="307">
        <f t="shared" ca="1" si="357"/>
        <v>-0.57570554464902557</v>
      </c>
      <c r="F816" s="304">
        <f t="shared" ca="1" si="358"/>
        <v>0.86201552211225108</v>
      </c>
      <c r="G816" s="306">
        <f t="shared" ca="1" si="359"/>
        <v>7.2226089305117984</v>
      </c>
      <c r="H816" s="307">
        <f t="shared" ca="1" si="360"/>
        <v>-103.95523347103108</v>
      </c>
      <c r="I816" s="304">
        <f t="shared" ca="1" si="361"/>
        <v>104.20583786803736</v>
      </c>
      <c r="J816" s="306">
        <f t="shared" ca="1" si="362"/>
        <v>837.4075040097224</v>
      </c>
      <c r="K816" s="307">
        <f t="shared" ca="1" si="363"/>
        <v>-13.525353720373149</v>
      </c>
      <c r="L816" s="304">
        <f t="shared" ca="1" si="348"/>
        <v>837.5167239912613</v>
      </c>
      <c r="M816" s="306">
        <f t="shared" ca="1" si="364"/>
        <v>-1.5014297295609551</v>
      </c>
      <c r="N816" s="304">
        <f t="shared" ca="1" si="365"/>
        <v>-86.025586739311308</v>
      </c>
      <c r="P816" s="310">
        <f t="shared" ca="1" si="366"/>
        <v>23</v>
      </c>
      <c r="Q816" s="304">
        <f t="shared" ca="1" si="367"/>
        <v>0</v>
      </c>
      <c r="R816" s="306">
        <f t="shared" ca="1" si="368"/>
        <v>0</v>
      </c>
      <c r="S816" s="307">
        <f t="shared" ca="1" si="369"/>
        <v>2.9362999999999984</v>
      </c>
      <c r="T816" s="304">
        <f t="shared" ca="1" si="349"/>
        <v>28.805102999999985</v>
      </c>
      <c r="U816" s="311">
        <f t="shared" ca="1" si="350"/>
        <v>0</v>
      </c>
      <c r="V816" s="306">
        <f t="shared" ca="1" si="351"/>
        <v>1.2266579770670603</v>
      </c>
      <c r="W816" s="304">
        <f t="shared" ca="1" si="352"/>
        <v>27.180081118510227</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0.52985156266100297</v>
      </c>
      <c r="AH816" s="304">
        <f t="shared" ca="1" si="376"/>
        <v>-9.2565559456176025</v>
      </c>
    </row>
    <row r="817" spans="1:34" x14ac:dyDescent="0.2">
      <c r="A817" s="347">
        <f t="shared" ca="1" si="354"/>
        <v>1E-4</v>
      </c>
      <c r="B817" s="304">
        <f t="shared" ca="1" si="355"/>
        <v>37.130800000001244</v>
      </c>
      <c r="D817" s="306">
        <f t="shared" ca="1" si="356"/>
        <v>-0.64158229995535432</v>
      </c>
      <c r="E817" s="307">
        <f t="shared" ca="1" si="357"/>
        <v>-0.57568613579722339</v>
      </c>
      <c r="F817" s="304">
        <f t="shared" ca="1" si="358"/>
        <v>0.86199905717184011</v>
      </c>
      <c r="G817" s="306">
        <f t="shared" ca="1" si="359"/>
        <v>7.222544772281803</v>
      </c>
      <c r="H817" s="307">
        <f t="shared" ca="1" si="360"/>
        <v>-103.95529103964466</v>
      </c>
      <c r="I817" s="304">
        <f t="shared" ca="1" si="361"/>
        <v>104.20589085135659</v>
      </c>
      <c r="J817" s="306">
        <f t="shared" ca="1" si="362"/>
        <v>837.4075040097224</v>
      </c>
      <c r="K817" s="307">
        <f t="shared" ca="1" si="363"/>
        <v>-13.535749246598682</v>
      </c>
      <c r="L817" s="304">
        <f t="shared" ca="1" si="348"/>
        <v>837.51689193678953</v>
      </c>
      <c r="M817" s="306">
        <f t="shared" ca="1" si="364"/>
        <v>-1.5014303820583579</v>
      </c>
      <c r="N817" s="304">
        <f t="shared" ca="1" si="365"/>
        <v>-86.02562412465862</v>
      </c>
      <c r="P817" s="310">
        <f t="shared" ca="1" si="366"/>
        <v>23</v>
      </c>
      <c r="Q817" s="304">
        <f t="shared" ca="1" si="367"/>
        <v>0</v>
      </c>
      <c r="R817" s="306">
        <f t="shared" ca="1" si="368"/>
        <v>0</v>
      </c>
      <c r="S817" s="307">
        <f t="shared" ca="1" si="369"/>
        <v>2.9362999999999984</v>
      </c>
      <c r="T817" s="304">
        <f t="shared" ca="1" si="349"/>
        <v>28.805102999999985</v>
      </c>
      <c r="U817" s="311">
        <f t="shared" ca="1" si="350"/>
        <v>0</v>
      </c>
      <c r="V817" s="306">
        <f t="shared" ca="1" si="351"/>
        <v>1.226659252243824</v>
      </c>
      <c r="W817" s="304">
        <f t="shared" ca="1" si="352"/>
        <v>27.180137013050171</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0.52983297033164689</v>
      </c>
      <c r="AH817" s="304">
        <f t="shared" ca="1" si="376"/>
        <v>-9.2565749816129959</v>
      </c>
    </row>
    <row r="818" spans="1:34" x14ac:dyDescent="0.2">
      <c r="A818" s="347">
        <f t="shared" ca="1" si="354"/>
        <v>1E-4</v>
      </c>
      <c r="B818" s="304">
        <f t="shared" ca="1" si="355"/>
        <v>37.130900000001247</v>
      </c>
      <c r="D818" s="306">
        <f t="shared" ca="1" si="356"/>
        <v>-0.64157759396040137</v>
      </c>
      <c r="E818" s="307">
        <f t="shared" ca="1" si="357"/>
        <v>-0.5756667272416891</v>
      </c>
      <c r="F818" s="304">
        <f t="shared" ca="1" si="358"/>
        <v>0.86198259258825816</v>
      </c>
      <c r="G818" s="306">
        <f t="shared" ca="1" si="359"/>
        <v>7.2224806145224072</v>
      </c>
      <c r="H818" s="307">
        <f t="shared" ca="1" si="360"/>
        <v>-103.95534860631739</v>
      </c>
      <c r="I818" s="304">
        <f t="shared" ca="1" si="361"/>
        <v>104.2059438328166</v>
      </c>
      <c r="J818" s="306">
        <f t="shared" ca="1" si="362"/>
        <v>837.4075040097224</v>
      </c>
      <c r="K818" s="307">
        <f t="shared" ca="1" si="363"/>
        <v>-13.546144778580979</v>
      </c>
      <c r="L818" s="304">
        <f t="shared" ca="1" si="348"/>
        <v>837.51706001140985</v>
      </c>
      <c r="M818" s="306">
        <f t="shared" ca="1" si="364"/>
        <v>-1.5014310345493012</v>
      </c>
      <c r="N818" s="304">
        <f t="shared" ca="1" si="365"/>
        <v>-86.025661509635853</v>
      </c>
      <c r="P818" s="310">
        <f t="shared" ca="1" si="366"/>
        <v>23</v>
      </c>
      <c r="Q818" s="304">
        <f t="shared" ca="1" si="367"/>
        <v>0</v>
      </c>
      <c r="R818" s="306">
        <f t="shared" ca="1" si="368"/>
        <v>0</v>
      </c>
      <c r="S818" s="307">
        <f t="shared" ca="1" si="369"/>
        <v>2.9362999999999984</v>
      </c>
      <c r="T818" s="304">
        <f t="shared" ca="1" si="349"/>
        <v>28.805102999999985</v>
      </c>
      <c r="U818" s="311">
        <f t="shared" ca="1" si="350"/>
        <v>0</v>
      </c>
      <c r="V818" s="306">
        <f t="shared" ca="1" si="351"/>
        <v>1.2266605274226201</v>
      </c>
      <c r="W818" s="304">
        <f t="shared" ca="1" si="352"/>
        <v>27.180192906736792</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0.5298143782843443</v>
      </c>
      <c r="AH818" s="304">
        <f t="shared" ca="1" si="376"/>
        <v>-9.2565940173177754</v>
      </c>
    </row>
    <row r="819" spans="1:34" x14ac:dyDescent="0.2">
      <c r="A819" s="347">
        <f t="shared" ca="1" si="354"/>
        <v>1E-4</v>
      </c>
      <c r="B819" s="304">
        <f t="shared" ca="1" si="355"/>
        <v>37.131000000001251</v>
      </c>
      <c r="D819" s="306">
        <f t="shared" ca="1" si="356"/>
        <v>-0.64157288797990064</v>
      </c>
      <c r="E819" s="307">
        <f t="shared" ca="1" si="357"/>
        <v>-0.57564731898242272</v>
      </c>
      <c r="F819" s="304">
        <f t="shared" ca="1" si="358"/>
        <v>0.86196612836150432</v>
      </c>
      <c r="G819" s="306">
        <f t="shared" ca="1" si="359"/>
        <v>7.2224164572336091</v>
      </c>
      <c r="H819" s="307">
        <f t="shared" ca="1" si="360"/>
        <v>-103.95540617104929</v>
      </c>
      <c r="I819" s="304">
        <f t="shared" ca="1" si="361"/>
        <v>104.20599681241742</v>
      </c>
      <c r="J819" s="306">
        <f t="shared" ca="1" si="362"/>
        <v>837.4075040097224</v>
      </c>
      <c r="K819" s="307">
        <f t="shared" ca="1" si="363"/>
        <v>-13.556540316319847</v>
      </c>
      <c r="L819" s="304">
        <f t="shared" ca="1" si="348"/>
        <v>837.51722821512226</v>
      </c>
      <c r="M819" s="306">
        <f t="shared" ca="1" si="364"/>
        <v>-1.5014316870337847</v>
      </c>
      <c r="N819" s="304">
        <f t="shared" ca="1" si="365"/>
        <v>-86.02569889424295</v>
      </c>
      <c r="P819" s="310">
        <f t="shared" ca="1" si="366"/>
        <v>23</v>
      </c>
      <c r="Q819" s="304">
        <f t="shared" ca="1" si="367"/>
        <v>0</v>
      </c>
      <c r="R819" s="306">
        <f t="shared" ca="1" si="368"/>
        <v>0</v>
      </c>
      <c r="S819" s="307">
        <f t="shared" ca="1" si="369"/>
        <v>2.9362999999999984</v>
      </c>
      <c r="T819" s="304">
        <f t="shared" ca="1" si="349"/>
        <v>28.805102999999985</v>
      </c>
      <c r="U819" s="311">
        <f t="shared" ca="1" si="350"/>
        <v>0</v>
      </c>
      <c r="V819" s="306">
        <f t="shared" ca="1" si="351"/>
        <v>1.2266618026034488</v>
      </c>
      <c r="W819" s="304">
        <f t="shared" ca="1" si="352"/>
        <v>27.180248799570091</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0.52979578651909343</v>
      </c>
      <c r="AH819" s="304">
        <f t="shared" ca="1" si="376"/>
        <v>-9.2566130527319448</v>
      </c>
    </row>
    <row r="820" spans="1:34" x14ac:dyDescent="0.2">
      <c r="A820" s="347">
        <f t="shared" ca="1" si="354"/>
        <v>1E-4</v>
      </c>
      <c r="B820" s="304">
        <f t="shared" ca="1" si="355"/>
        <v>37.131100000001254</v>
      </c>
      <c r="D820" s="306">
        <f t="shared" ca="1" si="356"/>
        <v>-0.64156818201385502</v>
      </c>
      <c r="E820" s="307">
        <f t="shared" ca="1" si="357"/>
        <v>-0.57562791101942246</v>
      </c>
      <c r="F820" s="304">
        <f t="shared" ca="1" si="358"/>
        <v>0.86194966449157995</v>
      </c>
      <c r="G820" s="306">
        <f t="shared" ca="1" si="359"/>
        <v>7.222352300415408</v>
      </c>
      <c r="H820" s="307">
        <f t="shared" ca="1" si="360"/>
        <v>-103.95546373384039</v>
      </c>
      <c r="I820" s="304">
        <f t="shared" ca="1" si="361"/>
        <v>104.20604979015911</v>
      </c>
      <c r="J820" s="306">
        <f t="shared" ca="1" si="362"/>
        <v>837.4075040097224</v>
      </c>
      <c r="K820" s="307">
        <f t="shared" ca="1" si="363"/>
        <v>-13.566935859815091</v>
      </c>
      <c r="L820" s="304">
        <f t="shared" ca="1" si="348"/>
        <v>837.51739654792698</v>
      </c>
      <c r="M820" s="306">
        <f t="shared" ca="1" si="364"/>
        <v>-1.5014323395118088</v>
      </c>
      <c r="N820" s="304">
        <f t="shared" ca="1" si="365"/>
        <v>-86.025736278479954</v>
      </c>
      <c r="P820" s="310">
        <f t="shared" ca="1" si="366"/>
        <v>23</v>
      </c>
      <c r="Q820" s="304">
        <f t="shared" ca="1" si="367"/>
        <v>0</v>
      </c>
      <c r="R820" s="306">
        <f t="shared" ca="1" si="368"/>
        <v>0</v>
      </c>
      <c r="S820" s="307">
        <f t="shared" ca="1" si="369"/>
        <v>2.9362999999999984</v>
      </c>
      <c r="T820" s="304">
        <f t="shared" ca="1" si="349"/>
        <v>28.805102999999985</v>
      </c>
      <c r="U820" s="311">
        <f t="shared" ca="1" si="350"/>
        <v>0</v>
      </c>
      <c r="V820" s="306">
        <f t="shared" ca="1" si="351"/>
        <v>1.2266630777863101</v>
      </c>
      <c r="W820" s="304">
        <f t="shared" ca="1" si="352"/>
        <v>27.180304691550099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0.5297771950358996</v>
      </c>
      <c r="AH820" s="304">
        <f t="shared" ca="1" si="376"/>
        <v>-9.2566320878555004</v>
      </c>
    </row>
    <row r="821" spans="1:34" x14ac:dyDescent="0.2">
      <c r="A821" s="347">
        <f t="shared" ca="1" si="354"/>
        <v>1E-4</v>
      </c>
      <c r="B821" s="304">
        <f t="shared" ca="1" si="355"/>
        <v>37.131200000001257</v>
      </c>
      <c r="D821" s="306">
        <f t="shared" ca="1" si="356"/>
        <v>-0.64156347606226427</v>
      </c>
      <c r="E821" s="307">
        <f t="shared" ca="1" si="357"/>
        <v>-0.57560850335267766</v>
      </c>
      <c r="F821" s="304">
        <f t="shared" ca="1" si="358"/>
        <v>0.86193320097847781</v>
      </c>
      <c r="G821" s="306">
        <f t="shared" ca="1" si="359"/>
        <v>7.222288144067802</v>
      </c>
      <c r="H821" s="307">
        <f t="shared" ca="1" si="360"/>
        <v>-103.95552129469073</v>
      </c>
      <c r="I821" s="304">
        <f t="shared" ca="1" si="361"/>
        <v>104.20610276604168</v>
      </c>
      <c r="J821" s="306">
        <f t="shared" ca="1" si="362"/>
        <v>837.4075040097224</v>
      </c>
      <c r="K821" s="307">
        <f t="shared" ca="1" si="363"/>
        <v>-13.577331409066518</v>
      </c>
      <c r="L821" s="304">
        <f t="shared" ca="1" si="348"/>
        <v>837.51756500982401</v>
      </c>
      <c r="M821" s="306">
        <f t="shared" ca="1" si="364"/>
        <v>-1.5014329919833735</v>
      </c>
      <c r="N821" s="304">
        <f t="shared" ca="1" si="365"/>
        <v>-86.025773662346865</v>
      </c>
      <c r="P821" s="310">
        <f t="shared" ca="1" si="366"/>
        <v>23</v>
      </c>
      <c r="Q821" s="304">
        <f t="shared" ca="1" si="367"/>
        <v>0</v>
      </c>
      <c r="R821" s="306">
        <f t="shared" ca="1" si="368"/>
        <v>0</v>
      </c>
      <c r="S821" s="307">
        <f t="shared" ca="1" si="369"/>
        <v>2.9362999999999984</v>
      </c>
      <c r="T821" s="304">
        <f t="shared" ca="1" si="349"/>
        <v>28.805102999999985</v>
      </c>
      <c r="U821" s="311">
        <f t="shared" ca="1" si="350"/>
        <v>0</v>
      </c>
      <c r="V821" s="306">
        <f t="shared" ca="1" si="351"/>
        <v>1.2266643529712042</v>
      </c>
      <c r="W821" s="304">
        <f t="shared" ca="1" si="352"/>
        <v>27.180360582676823</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0.52975860383474505</v>
      </c>
      <c r="AH821" s="304">
        <f t="shared" ca="1" si="376"/>
        <v>-9.2566511226884565</v>
      </c>
    </row>
    <row r="822" spans="1:34" x14ac:dyDescent="0.2">
      <c r="A822" s="347">
        <f t="shared" ca="1" si="354"/>
        <v>1E-4</v>
      </c>
      <c r="B822" s="304">
        <f t="shared" ca="1" si="355"/>
        <v>37.131300000001261</v>
      </c>
      <c r="D822" s="306">
        <f t="shared" ca="1" si="356"/>
        <v>-0.6415587701251273</v>
      </c>
      <c r="E822" s="307">
        <f t="shared" ca="1" si="357"/>
        <v>-0.57558909598218833</v>
      </c>
      <c r="F822" s="304">
        <f t="shared" ca="1" si="358"/>
        <v>0.86191673782219747</v>
      </c>
      <c r="G822" s="306">
        <f t="shared" ca="1" si="359"/>
        <v>7.2222239881907893</v>
      </c>
      <c r="H822" s="307">
        <f t="shared" ca="1" si="360"/>
        <v>-103.95557885360033</v>
      </c>
      <c r="I822" s="304">
        <f t="shared" ca="1" si="361"/>
        <v>104.20615574006516</v>
      </c>
      <c r="J822" s="306">
        <f t="shared" ca="1" si="362"/>
        <v>837.4075040097224</v>
      </c>
      <c r="K822" s="307">
        <f t="shared" ca="1" si="363"/>
        <v>-13.587726964073934</v>
      </c>
      <c r="L822" s="304">
        <f t="shared" ca="1" si="348"/>
        <v>837.5177336008137</v>
      </c>
      <c r="M822" s="306">
        <f t="shared" ca="1" si="364"/>
        <v>-1.501433644448479</v>
      </c>
      <c r="N822" s="304">
        <f t="shared" ca="1" si="365"/>
        <v>-86.025811045843696</v>
      </c>
      <c r="P822" s="310">
        <f t="shared" ca="1" si="366"/>
        <v>23</v>
      </c>
      <c r="Q822" s="304">
        <f t="shared" ca="1" si="367"/>
        <v>0</v>
      </c>
      <c r="R822" s="306">
        <f t="shared" ca="1" si="368"/>
        <v>0</v>
      </c>
      <c r="S822" s="307">
        <f t="shared" ca="1" si="369"/>
        <v>2.9362999999999984</v>
      </c>
      <c r="T822" s="304">
        <f t="shared" ca="1" si="349"/>
        <v>28.805102999999985</v>
      </c>
      <c r="U822" s="311">
        <f t="shared" ca="1" si="350"/>
        <v>0</v>
      </c>
      <c r="V822" s="306">
        <f t="shared" ca="1" si="351"/>
        <v>1.226665628158131</v>
      </c>
      <c r="W822" s="304">
        <f t="shared" ca="1" si="352"/>
        <v>27.18041647295026</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0.52974001291563333</v>
      </c>
      <c r="AH822" s="304">
        <f t="shared" ca="1" si="376"/>
        <v>-9.256670157230813</v>
      </c>
    </row>
    <row r="823" spans="1:34" x14ac:dyDescent="0.2">
      <c r="A823" s="347">
        <f t="shared" ca="1" si="354"/>
        <v>1E-4</v>
      </c>
      <c r="B823" s="304">
        <f t="shared" ca="1" si="355"/>
        <v>37.131400000001264</v>
      </c>
      <c r="D823" s="306">
        <f t="shared" ca="1" si="356"/>
        <v>-0.64155406420244521</v>
      </c>
      <c r="E823" s="307">
        <f t="shared" ca="1" si="357"/>
        <v>-0.57556968890795268</v>
      </c>
      <c r="F823" s="304">
        <f t="shared" ca="1" si="358"/>
        <v>0.86190027502273869</v>
      </c>
      <c r="G823" s="306">
        <f t="shared" ca="1" si="359"/>
        <v>7.222159832784369</v>
      </c>
      <c r="H823" s="307">
        <f t="shared" ca="1" si="360"/>
        <v>-103.95563641056923</v>
      </c>
      <c r="I823" s="304">
        <f t="shared" ca="1" si="361"/>
        <v>104.20620871222957</v>
      </c>
      <c r="J823" s="306">
        <f t="shared" ca="1" si="362"/>
        <v>837.4075040097224</v>
      </c>
      <c r="K823" s="307">
        <f t="shared" ca="1" si="363"/>
        <v>-13.598122524837143</v>
      </c>
      <c r="L823" s="304">
        <f t="shared" ca="1" si="348"/>
        <v>837.51790232089581</v>
      </c>
      <c r="M823" s="306">
        <f t="shared" ca="1" si="364"/>
        <v>-1.5014342969071253</v>
      </c>
      <c r="N823" s="304">
        <f t="shared" ca="1" si="365"/>
        <v>-86.025848428970434</v>
      </c>
      <c r="P823" s="310">
        <f t="shared" ca="1" si="366"/>
        <v>23</v>
      </c>
      <c r="Q823" s="304">
        <f t="shared" ca="1" si="367"/>
        <v>0</v>
      </c>
      <c r="R823" s="306">
        <f t="shared" ca="1" si="368"/>
        <v>0</v>
      </c>
      <c r="S823" s="307">
        <f t="shared" ca="1" si="369"/>
        <v>2.9362999999999984</v>
      </c>
      <c r="T823" s="304">
        <f t="shared" ca="1" si="349"/>
        <v>28.805102999999985</v>
      </c>
      <c r="U823" s="311">
        <f t="shared" ca="1" si="350"/>
        <v>0</v>
      </c>
      <c r="V823" s="306">
        <f t="shared" ca="1" si="351"/>
        <v>1.2266669033470901</v>
      </c>
      <c r="W823" s="304">
        <f t="shared" ca="1" si="352"/>
        <v>27.180472362370423</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0.52972142227856089</v>
      </c>
      <c r="AH823" s="304">
        <f t="shared" ca="1" si="376"/>
        <v>-9.2566891914825717</v>
      </c>
    </row>
    <row r="824" spans="1:34" x14ac:dyDescent="0.2">
      <c r="A824" s="347">
        <f t="shared" ca="1" si="354"/>
        <v>1E-4</v>
      </c>
      <c r="B824" s="304">
        <f t="shared" ca="1" si="355"/>
        <v>37.131500000001267</v>
      </c>
      <c r="D824" s="306">
        <f t="shared" ca="1" si="356"/>
        <v>-0.64154935829421911</v>
      </c>
      <c r="E824" s="307">
        <f t="shared" ca="1" si="357"/>
        <v>-0.5755502821299654</v>
      </c>
      <c r="F824" s="304">
        <f t="shared" ca="1" si="358"/>
        <v>0.86188381258009883</v>
      </c>
      <c r="G824" s="306">
        <f t="shared" ca="1" si="359"/>
        <v>7.2220956778485395</v>
      </c>
      <c r="H824" s="307">
        <f t="shared" ca="1" si="360"/>
        <v>-103.95569396559743</v>
      </c>
      <c r="I824" s="304">
        <f t="shared" ca="1" si="361"/>
        <v>104.20626168253493</v>
      </c>
      <c r="J824" s="306">
        <f t="shared" ca="1" si="362"/>
        <v>837.4075040097224</v>
      </c>
      <c r="K824" s="307">
        <f t="shared" ca="1" si="363"/>
        <v>-13.60851809135595</v>
      </c>
      <c r="L824" s="304">
        <f t="shared" ca="1" si="348"/>
        <v>837.51807117007093</v>
      </c>
      <c r="M824" s="306">
        <f t="shared" ca="1" si="364"/>
        <v>-1.5014349493593122</v>
      </c>
      <c r="N824" s="304">
        <f t="shared" ca="1" si="365"/>
        <v>-86.025885811727079</v>
      </c>
      <c r="P824" s="310">
        <f t="shared" ca="1" si="366"/>
        <v>23</v>
      </c>
      <c r="Q824" s="304">
        <f t="shared" ca="1" si="367"/>
        <v>0</v>
      </c>
      <c r="R824" s="306">
        <f t="shared" ca="1" si="368"/>
        <v>0</v>
      </c>
      <c r="S824" s="307">
        <f t="shared" ca="1" si="369"/>
        <v>2.9362999999999984</v>
      </c>
      <c r="T824" s="304">
        <f t="shared" ca="1" si="349"/>
        <v>28.805102999999985</v>
      </c>
      <c r="U824" s="311">
        <f t="shared" ca="1" si="350"/>
        <v>0</v>
      </c>
      <c r="V824" s="306">
        <f t="shared" ca="1" si="351"/>
        <v>1.2266681785380817</v>
      </c>
      <c r="W824" s="304">
        <f t="shared" ca="1" si="352"/>
        <v>27.180528250937321</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0.52970283192352774</v>
      </c>
      <c r="AH824" s="304">
        <f t="shared" ca="1" si="376"/>
        <v>-9.2567082254437345</v>
      </c>
    </row>
    <row r="825" spans="1:34" x14ac:dyDescent="0.2">
      <c r="A825" s="347">
        <f t="shared" ca="1" si="354"/>
        <v>1E-4</v>
      </c>
      <c r="B825" s="304">
        <f t="shared" ca="1" si="355"/>
        <v>37.131600000001271</v>
      </c>
      <c r="D825" s="306">
        <f t="shared" ca="1" si="356"/>
        <v>-0.64154465240045033</v>
      </c>
      <c r="E825" s="307">
        <f t="shared" ca="1" si="357"/>
        <v>-0.57553087564822469</v>
      </c>
      <c r="F825" s="304">
        <f t="shared" ca="1" si="358"/>
        <v>0.86186735049427809</v>
      </c>
      <c r="G825" s="306">
        <f t="shared" ca="1" si="359"/>
        <v>7.2220315233832997</v>
      </c>
      <c r="H825" s="307">
        <f t="shared" ca="1" si="360"/>
        <v>-103.95575151868499</v>
      </c>
      <c r="I825" s="304">
        <f t="shared" ca="1" si="361"/>
        <v>104.2063146509813</v>
      </c>
      <c r="J825" s="306">
        <f t="shared" ca="1" si="362"/>
        <v>837.4075040097224</v>
      </c>
      <c r="K825" s="307">
        <f t="shared" ca="1" si="363"/>
        <v>-13.618913663630165</v>
      </c>
      <c r="L825" s="304">
        <f t="shared" ca="1" si="348"/>
        <v>837.51824014833892</v>
      </c>
      <c r="M825" s="306">
        <f t="shared" ca="1" si="364"/>
        <v>-1.5014356018050403</v>
      </c>
      <c r="N825" s="304">
        <f t="shared" ca="1" si="365"/>
        <v>-86.025923194113659</v>
      </c>
      <c r="P825" s="310">
        <f t="shared" ca="1" si="366"/>
        <v>23</v>
      </c>
      <c r="Q825" s="304">
        <f t="shared" ca="1" si="367"/>
        <v>0</v>
      </c>
      <c r="R825" s="306">
        <f t="shared" ca="1" si="368"/>
        <v>0</v>
      </c>
      <c r="S825" s="307">
        <f t="shared" ca="1" si="369"/>
        <v>2.9362999999999984</v>
      </c>
      <c r="T825" s="304">
        <f t="shared" ca="1" si="349"/>
        <v>28.805102999999985</v>
      </c>
      <c r="U825" s="311">
        <f t="shared" ca="1" si="350"/>
        <v>0</v>
      </c>
      <c r="V825" s="306">
        <f t="shared" ca="1" si="351"/>
        <v>1.2266694537311063</v>
      </c>
      <c r="W825" s="304">
        <f t="shared" ca="1" si="352"/>
        <v>27.180584138650982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0.52968424185052676</v>
      </c>
      <c r="AH825" s="304">
        <f t="shared" ca="1" si="376"/>
        <v>-9.2567272591143066</v>
      </c>
    </row>
    <row r="826" spans="1:34" x14ac:dyDescent="0.2">
      <c r="A826" s="347">
        <f t="shared" ca="1" si="354"/>
        <v>1E-4</v>
      </c>
      <c r="B826" s="304">
        <f t="shared" ca="1" si="355"/>
        <v>37.131700000001274</v>
      </c>
      <c r="D826" s="306">
        <f t="shared" ca="1" si="356"/>
        <v>-0.64153994652113588</v>
      </c>
      <c r="E826" s="307">
        <f t="shared" ca="1" si="357"/>
        <v>-0.57551146946272169</v>
      </c>
      <c r="F826" s="304">
        <f t="shared" ca="1" si="358"/>
        <v>0.8618508887652685</v>
      </c>
      <c r="G826" s="306">
        <f t="shared" ca="1" si="359"/>
        <v>7.2219673693886479</v>
      </c>
      <c r="H826" s="307">
        <f t="shared" ca="1" si="360"/>
        <v>-103.95580906983194</v>
      </c>
      <c r="I826" s="304">
        <f t="shared" ca="1" si="361"/>
        <v>104.20636761756869</v>
      </c>
      <c r="J826" s="306">
        <f t="shared" ca="1" si="362"/>
        <v>837.4075040097224</v>
      </c>
      <c r="K826" s="307">
        <f t="shared" ca="1" si="363"/>
        <v>-13.629309241659591</v>
      </c>
      <c r="L826" s="304">
        <f t="shared" ca="1" si="348"/>
        <v>837.51840925569991</v>
      </c>
      <c r="M826" s="306">
        <f t="shared" ca="1" si="364"/>
        <v>-1.5014362542443092</v>
      </c>
      <c r="N826" s="304">
        <f t="shared" ca="1" si="365"/>
        <v>-86.025960576130146</v>
      </c>
      <c r="P826" s="310">
        <f t="shared" ca="1" si="366"/>
        <v>23</v>
      </c>
      <c r="Q826" s="304">
        <f t="shared" ca="1" si="367"/>
        <v>0</v>
      </c>
      <c r="R826" s="306">
        <f t="shared" ca="1" si="368"/>
        <v>0</v>
      </c>
      <c r="S826" s="307">
        <f t="shared" ca="1" si="369"/>
        <v>2.9362999999999984</v>
      </c>
      <c r="T826" s="304">
        <f t="shared" ca="1" si="349"/>
        <v>28.805102999999985</v>
      </c>
      <c r="U826" s="311">
        <f t="shared" ca="1" si="350"/>
        <v>0</v>
      </c>
      <c r="V826" s="306">
        <f t="shared" ca="1" si="351"/>
        <v>1.2266707289261631</v>
      </c>
      <c r="W826" s="304">
        <f t="shared" ca="1" si="352"/>
        <v>27.180640025511405</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0.52966565205955085</v>
      </c>
      <c r="AH826" s="304">
        <f t="shared" ca="1" si="376"/>
        <v>-9.2567462924942951</v>
      </c>
    </row>
    <row r="827" spans="1:34" x14ac:dyDescent="0.2">
      <c r="A827" s="347">
        <f t="shared" ca="1" si="354"/>
        <v>1E-4</v>
      </c>
      <c r="B827" s="304">
        <f t="shared" ca="1" si="355"/>
        <v>37.131800000001277</v>
      </c>
      <c r="D827" s="306">
        <f t="shared" ca="1" si="356"/>
        <v>-0.64153524065628131</v>
      </c>
      <c r="E827" s="307">
        <f t="shared" ca="1" si="357"/>
        <v>-0.57549206357345817</v>
      </c>
      <c r="F827" s="304">
        <f t="shared" ca="1" si="358"/>
        <v>0.86183442739307536</v>
      </c>
      <c r="G827" s="306">
        <f t="shared" ca="1" si="359"/>
        <v>7.2219032158645824</v>
      </c>
      <c r="H827" s="307">
        <f t="shared" ca="1" si="360"/>
        <v>-103.9558666190383</v>
      </c>
      <c r="I827" s="304">
        <f t="shared" ca="1" si="361"/>
        <v>104.20642058229713</v>
      </c>
      <c r="J827" s="306">
        <f t="shared" ca="1" si="362"/>
        <v>837.4075040097224</v>
      </c>
      <c r="K827" s="307">
        <f t="shared" ca="1" si="363"/>
        <v>-13.639704825444035</v>
      </c>
      <c r="L827" s="304">
        <f t="shared" ca="1" si="348"/>
        <v>837.51857849215412</v>
      </c>
      <c r="M827" s="306">
        <f t="shared" ca="1" si="364"/>
        <v>-1.5014369066771194</v>
      </c>
      <c r="N827" s="304">
        <f t="shared" ca="1" si="365"/>
        <v>-86.025997957776596</v>
      </c>
      <c r="P827" s="310">
        <f t="shared" ca="1" si="366"/>
        <v>23</v>
      </c>
      <c r="Q827" s="304">
        <f t="shared" ca="1" si="367"/>
        <v>0</v>
      </c>
      <c r="R827" s="306">
        <f t="shared" ca="1" si="368"/>
        <v>0</v>
      </c>
      <c r="S827" s="307">
        <f t="shared" ca="1" si="369"/>
        <v>2.9362999999999984</v>
      </c>
      <c r="T827" s="304">
        <f t="shared" ca="1" si="349"/>
        <v>28.805102999999985</v>
      </c>
      <c r="U827" s="311">
        <f t="shared" ca="1" si="350"/>
        <v>0</v>
      </c>
      <c r="V827" s="306">
        <f t="shared" ca="1" si="351"/>
        <v>1.2266720041232524</v>
      </c>
      <c r="W827" s="304">
        <f t="shared" ca="1" si="352"/>
        <v>27.180695911518587</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0.52964706255060356</v>
      </c>
      <c r="AH827" s="304">
        <f t="shared" ca="1" si="376"/>
        <v>-9.2567653255837001</v>
      </c>
    </row>
    <row r="828" spans="1:34" x14ac:dyDescent="0.2">
      <c r="A828" s="347">
        <f t="shared" ca="1" si="354"/>
        <v>1E-4</v>
      </c>
      <c r="B828" s="304">
        <f t="shared" ca="1" si="355"/>
        <v>37.131900000001281</v>
      </c>
      <c r="D828" s="306">
        <f t="shared" ca="1" si="356"/>
        <v>-0.64153053480588118</v>
      </c>
      <c r="E828" s="307">
        <f t="shared" ca="1" si="357"/>
        <v>-0.57547265798043057</v>
      </c>
      <c r="F828" s="304">
        <f t="shared" ca="1" si="358"/>
        <v>0.86181796637769248</v>
      </c>
      <c r="G828" s="306">
        <f t="shared" ca="1" si="359"/>
        <v>7.2218390628111022</v>
      </c>
      <c r="H828" s="307">
        <f t="shared" ca="1" si="360"/>
        <v>-103.9559241663041</v>
      </c>
      <c r="I828" s="304">
        <f t="shared" ca="1" si="361"/>
        <v>104.20647354516663</v>
      </c>
      <c r="J828" s="306">
        <f t="shared" ca="1" si="362"/>
        <v>837.4075040097224</v>
      </c>
      <c r="K828" s="307">
        <f t="shared" ca="1" si="363"/>
        <v>-13.650100414983303</v>
      </c>
      <c r="L828" s="304">
        <f t="shared" ca="1" si="348"/>
        <v>837.51874785770167</v>
      </c>
      <c r="M828" s="306">
        <f t="shared" ca="1" si="364"/>
        <v>-1.5014375591034705</v>
      </c>
      <c r="N828" s="304">
        <f t="shared" ca="1" si="365"/>
        <v>-86.026035339052953</v>
      </c>
      <c r="P828" s="310">
        <f t="shared" ca="1" si="366"/>
        <v>23</v>
      </c>
      <c r="Q828" s="304">
        <f t="shared" ca="1" si="367"/>
        <v>0</v>
      </c>
      <c r="R828" s="306">
        <f t="shared" ca="1" si="368"/>
        <v>0</v>
      </c>
      <c r="S828" s="307">
        <f t="shared" ca="1" si="369"/>
        <v>2.9362999999999984</v>
      </c>
      <c r="T828" s="304">
        <f t="shared" ca="1" si="349"/>
        <v>28.805102999999985</v>
      </c>
      <c r="U828" s="311">
        <f t="shared" ca="1" si="350"/>
        <v>0</v>
      </c>
      <c r="V828" s="306">
        <f t="shared" ca="1" si="351"/>
        <v>1.2266732793223742</v>
      </c>
      <c r="W828" s="304">
        <f t="shared" ca="1" si="352"/>
        <v>27.180751796672542</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0.5296284733236778</v>
      </c>
      <c r="AH828" s="304">
        <f t="shared" ca="1" si="376"/>
        <v>-9.2567843583825233</v>
      </c>
    </row>
    <row r="829" spans="1:34" x14ac:dyDescent="0.2">
      <c r="A829" s="347">
        <f t="shared" ca="1" si="354"/>
        <v>1E-4</v>
      </c>
      <c r="B829" s="304">
        <f t="shared" ca="1" si="355"/>
        <v>37.132000000001284</v>
      </c>
      <c r="D829" s="306">
        <f t="shared" ca="1" si="356"/>
        <v>-0.64152582896994093</v>
      </c>
      <c r="E829" s="307">
        <f t="shared" ca="1" si="357"/>
        <v>-0.57545325268363712</v>
      </c>
      <c r="F829" s="304">
        <f t="shared" ca="1" si="358"/>
        <v>0.86180150571912317</v>
      </c>
      <c r="G829" s="306">
        <f t="shared" ca="1" si="359"/>
        <v>7.2217749102282056</v>
      </c>
      <c r="H829" s="307">
        <f t="shared" ca="1" si="360"/>
        <v>-103.95598171162936</v>
      </c>
      <c r="I829" s="304">
        <f t="shared" ca="1" si="361"/>
        <v>104.20652650617724</v>
      </c>
      <c r="J829" s="306">
        <f t="shared" ca="1" si="362"/>
        <v>837.4075040097224</v>
      </c>
      <c r="K829" s="307">
        <f t="shared" ca="1" si="363"/>
        <v>-13.6604960102772</v>
      </c>
      <c r="L829" s="304">
        <f t="shared" ca="1" si="348"/>
        <v>837.51891735234256</v>
      </c>
      <c r="M829" s="306">
        <f t="shared" ca="1" si="364"/>
        <v>-1.5014382115233631</v>
      </c>
      <c r="N829" s="304">
        <f t="shared" ca="1" si="365"/>
        <v>-86.026072719959274</v>
      </c>
      <c r="P829" s="310">
        <f t="shared" ca="1" si="366"/>
        <v>23</v>
      </c>
      <c r="Q829" s="304">
        <f t="shared" ca="1" si="367"/>
        <v>0</v>
      </c>
      <c r="R829" s="306">
        <f t="shared" ca="1" si="368"/>
        <v>0</v>
      </c>
      <c r="S829" s="307">
        <f t="shared" ca="1" si="369"/>
        <v>2.9362999999999984</v>
      </c>
      <c r="T829" s="304">
        <f t="shared" ca="1" si="349"/>
        <v>28.805102999999985</v>
      </c>
      <c r="U829" s="311">
        <f t="shared" ca="1" si="350"/>
        <v>0</v>
      </c>
      <c r="V829" s="306">
        <f t="shared" ca="1" si="351"/>
        <v>1.2266745545235285</v>
      </c>
      <c r="W829" s="304">
        <f t="shared" ca="1" si="352"/>
        <v>27.180807680973292</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0.5296098843787771</v>
      </c>
      <c r="AH829" s="304">
        <f t="shared" ca="1" si="376"/>
        <v>-9.2568033908907665</v>
      </c>
    </row>
    <row r="830" spans="1:34" x14ac:dyDescent="0.2">
      <c r="A830" s="347">
        <f t="shared" ca="1" si="354"/>
        <v>1E-4</v>
      </c>
      <c r="B830" s="304">
        <f t="shared" ca="1" si="355"/>
        <v>37.132100000001287</v>
      </c>
      <c r="D830" s="306">
        <f t="shared" ca="1" si="356"/>
        <v>-0.64152112314845766</v>
      </c>
      <c r="E830" s="307">
        <f t="shared" ca="1" si="357"/>
        <v>-0.57543384768307071</v>
      </c>
      <c r="F830" s="304">
        <f t="shared" ca="1" si="358"/>
        <v>0.86178504541736045</v>
      </c>
      <c r="G830" s="306">
        <f t="shared" ca="1" si="359"/>
        <v>7.2217107581158908</v>
      </c>
      <c r="H830" s="307">
        <f t="shared" ca="1" si="360"/>
        <v>-103.95603925501413</v>
      </c>
      <c r="I830" s="304">
        <f t="shared" ca="1" si="361"/>
        <v>104.20657946532899</v>
      </c>
      <c r="J830" s="306">
        <f t="shared" ca="1" si="362"/>
        <v>837.4075040097224</v>
      </c>
      <c r="K830" s="307">
        <f t="shared" ca="1" si="363"/>
        <v>-13.670891611325532</v>
      </c>
      <c r="L830" s="304">
        <f t="shared" ca="1" si="348"/>
        <v>837.51908697607712</v>
      </c>
      <c r="M830" s="306">
        <f t="shared" ca="1" si="364"/>
        <v>-1.5014388639367968</v>
      </c>
      <c r="N830" s="304">
        <f t="shared" ca="1" si="365"/>
        <v>-86.026110100495515</v>
      </c>
      <c r="P830" s="310">
        <f t="shared" ca="1" si="366"/>
        <v>23</v>
      </c>
      <c r="Q830" s="304">
        <f t="shared" ca="1" si="367"/>
        <v>0</v>
      </c>
      <c r="R830" s="306">
        <f t="shared" ca="1" si="368"/>
        <v>0</v>
      </c>
      <c r="S830" s="307">
        <f t="shared" ca="1" si="369"/>
        <v>2.9362999999999984</v>
      </c>
      <c r="T830" s="304">
        <f t="shared" ca="1" si="349"/>
        <v>28.805102999999985</v>
      </c>
      <c r="U830" s="311">
        <f t="shared" ca="1" si="350"/>
        <v>0</v>
      </c>
      <c r="V830" s="306">
        <f t="shared" ca="1" si="351"/>
        <v>1.2266758297267149</v>
      </c>
      <c r="W830" s="304">
        <f t="shared" ca="1" si="352"/>
        <v>27.180863564420836</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0.52959129571589081</v>
      </c>
      <c r="AH830" s="304">
        <f t="shared" ca="1" si="376"/>
        <v>-9.2568224231084386</v>
      </c>
    </row>
    <row r="831" spans="1:34" x14ac:dyDescent="0.2">
      <c r="A831" s="347">
        <f t="shared" ca="1" si="354"/>
        <v>1E-4</v>
      </c>
      <c r="B831" s="304">
        <f t="shared" ca="1" si="355"/>
        <v>37.132200000001291</v>
      </c>
      <c r="D831" s="306">
        <f t="shared" ca="1" si="356"/>
        <v>-0.64151641734143472</v>
      </c>
      <c r="E831" s="307">
        <f t="shared" ca="1" si="357"/>
        <v>-0.57541444297872957</v>
      </c>
      <c r="F831" s="304">
        <f t="shared" ca="1" si="358"/>
        <v>0.86176858547240598</v>
      </c>
      <c r="G831" s="306">
        <f t="shared" ca="1" si="359"/>
        <v>7.2216466064741569</v>
      </c>
      <c r="H831" s="307">
        <f t="shared" ca="1" si="360"/>
        <v>-103.95609679645843</v>
      </c>
      <c r="I831" s="304">
        <f t="shared" ca="1" si="361"/>
        <v>104.20663242262189</v>
      </c>
      <c r="J831" s="306">
        <f t="shared" ca="1" si="362"/>
        <v>837.4075040097224</v>
      </c>
      <c r="K831" s="307">
        <f t="shared" ca="1" si="363"/>
        <v>-13.681287218128105</v>
      </c>
      <c r="L831" s="304">
        <f t="shared" ca="1" si="348"/>
        <v>837.51925672890536</v>
      </c>
      <c r="M831" s="306">
        <f t="shared" ca="1" si="364"/>
        <v>-1.5014395163437722</v>
      </c>
      <c r="N831" s="304">
        <f t="shared" ca="1" si="365"/>
        <v>-86.026147480661734</v>
      </c>
      <c r="P831" s="310">
        <f t="shared" ca="1" si="366"/>
        <v>23</v>
      </c>
      <c r="Q831" s="304">
        <f t="shared" ca="1" si="367"/>
        <v>0</v>
      </c>
      <c r="R831" s="306">
        <f t="shared" ca="1" si="368"/>
        <v>0</v>
      </c>
      <c r="S831" s="307">
        <f t="shared" ca="1" si="369"/>
        <v>2.9362999999999984</v>
      </c>
      <c r="T831" s="304">
        <f t="shared" ca="1" si="349"/>
        <v>28.805102999999985</v>
      </c>
      <c r="U831" s="311">
        <f t="shared" ca="1" si="350"/>
        <v>0</v>
      </c>
      <c r="V831" s="306">
        <f t="shared" ca="1" si="351"/>
        <v>1.2266771049319343</v>
      </c>
      <c r="W831" s="304">
        <f t="shared" ca="1" si="352"/>
        <v>27.180919447015196</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0.52957270733502071</v>
      </c>
      <c r="AH831" s="304">
        <f t="shared" ca="1" si="376"/>
        <v>-9.2568414550355378</v>
      </c>
    </row>
    <row r="832" spans="1:34" x14ac:dyDescent="0.2">
      <c r="A832" s="347">
        <f t="shared" ca="1" si="354"/>
        <v>1E-4</v>
      </c>
      <c r="B832" s="304">
        <f t="shared" ca="1" si="355"/>
        <v>37.132300000001294</v>
      </c>
      <c r="D832" s="306">
        <f t="shared" ca="1" si="356"/>
        <v>-0.6415117115488691</v>
      </c>
      <c r="E832" s="307">
        <f t="shared" ca="1" si="357"/>
        <v>-0.57539503857060481</v>
      </c>
      <c r="F832" s="304">
        <f t="shared" ca="1" si="358"/>
        <v>0.86175212588425176</v>
      </c>
      <c r="G832" s="306">
        <f t="shared" ca="1" si="359"/>
        <v>7.2215824553030021</v>
      </c>
      <c r="H832" s="307">
        <f t="shared" ca="1" si="360"/>
        <v>-103.95615433596228</v>
      </c>
      <c r="I832" s="304">
        <f t="shared" ca="1" si="361"/>
        <v>104.20668537805599</v>
      </c>
      <c r="J832" s="306">
        <f t="shared" ca="1" si="362"/>
        <v>837.4075040097224</v>
      </c>
      <c r="K832" s="307">
        <f t="shared" ca="1" si="363"/>
        <v>-13.691682830684726</v>
      </c>
      <c r="L832" s="304">
        <f t="shared" ca="1" si="348"/>
        <v>837.51942661082751</v>
      </c>
      <c r="M832" s="306">
        <f t="shared" ca="1" si="364"/>
        <v>-1.5014401687442889</v>
      </c>
      <c r="N832" s="304">
        <f t="shared" ca="1" si="365"/>
        <v>-86.026184860457889</v>
      </c>
      <c r="P832" s="310">
        <f t="shared" ca="1" si="366"/>
        <v>23</v>
      </c>
      <c r="Q832" s="304">
        <f t="shared" ca="1" si="367"/>
        <v>0</v>
      </c>
      <c r="R832" s="306">
        <f t="shared" ca="1" si="368"/>
        <v>0</v>
      </c>
      <c r="S832" s="307">
        <f t="shared" ca="1" si="369"/>
        <v>2.9362999999999984</v>
      </c>
      <c r="T832" s="304">
        <f t="shared" ca="1" si="349"/>
        <v>28.805102999999985</v>
      </c>
      <c r="U832" s="311">
        <f t="shared" ca="1" si="350"/>
        <v>0</v>
      </c>
      <c r="V832" s="306">
        <f t="shared" ca="1" si="351"/>
        <v>1.2266783801391858</v>
      </c>
      <c r="W832" s="304">
        <f t="shared" ca="1" si="352"/>
        <v>27.180975328756379</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0.52955411923615792</v>
      </c>
      <c r="AH832" s="304">
        <f t="shared" ca="1" si="376"/>
        <v>-9.2568604866720747</v>
      </c>
    </row>
    <row r="833" spans="1:34" x14ac:dyDescent="0.2">
      <c r="A833" s="347">
        <f t="shared" ca="1" si="354"/>
        <v>1E-4</v>
      </c>
      <c r="B833" s="304">
        <f t="shared" ca="1" si="355"/>
        <v>37.132400000001297</v>
      </c>
      <c r="D833" s="306">
        <f t="shared" ca="1" si="356"/>
        <v>-0.64150700577076425</v>
      </c>
      <c r="E833" s="307">
        <f t="shared" ca="1" si="357"/>
        <v>-0.57537563445869999</v>
      </c>
      <c r="F833" s="304">
        <f t="shared" ca="1" si="358"/>
        <v>0.8617356666529028</v>
      </c>
      <c r="G833" s="306">
        <f t="shared" ca="1" si="359"/>
        <v>7.2215183046024247</v>
      </c>
      <c r="H833" s="307">
        <f t="shared" ca="1" si="360"/>
        <v>-103.95621187352573</v>
      </c>
      <c r="I833" s="304">
        <f t="shared" ca="1" si="361"/>
        <v>104.20673833163133</v>
      </c>
      <c r="J833" s="306">
        <f t="shared" ca="1" si="362"/>
        <v>837.4075040097224</v>
      </c>
      <c r="K833" s="307">
        <f t="shared" ca="1" si="363"/>
        <v>-13.7020784489952</v>
      </c>
      <c r="L833" s="304">
        <f t="shared" ca="1" si="348"/>
        <v>837.51959662184368</v>
      </c>
      <c r="M833" s="306">
        <f t="shared" ca="1" si="364"/>
        <v>-1.501440821138347</v>
      </c>
      <c r="N833" s="304">
        <f t="shared" ca="1" si="365"/>
        <v>-86.026222239884007</v>
      </c>
      <c r="P833" s="310">
        <f t="shared" ca="1" si="366"/>
        <v>23</v>
      </c>
      <c r="Q833" s="304">
        <f t="shared" ca="1" si="367"/>
        <v>0</v>
      </c>
      <c r="R833" s="306">
        <f t="shared" ca="1" si="368"/>
        <v>0</v>
      </c>
      <c r="S833" s="307">
        <f t="shared" ca="1" si="369"/>
        <v>2.9362999999999984</v>
      </c>
      <c r="T833" s="304">
        <f t="shared" ca="1" si="349"/>
        <v>28.805102999999985</v>
      </c>
      <c r="U833" s="311">
        <f t="shared" ca="1" si="350"/>
        <v>0</v>
      </c>
      <c r="V833" s="306">
        <f t="shared" ca="1" si="351"/>
        <v>1.2266796553484696</v>
      </c>
      <c r="W833" s="304">
        <f t="shared" ca="1" si="352"/>
        <v>27.181031209644388</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0.52953553141930065</v>
      </c>
      <c r="AH833" s="304">
        <f t="shared" ca="1" si="376"/>
        <v>-9.2568795180180476</v>
      </c>
    </row>
    <row r="834" spans="1:34" x14ac:dyDescent="0.2">
      <c r="A834" s="347">
        <f t="shared" ca="1" si="354"/>
        <v>1E-4</v>
      </c>
      <c r="B834" s="304">
        <f t="shared" ca="1" si="355"/>
        <v>37.132500000001301</v>
      </c>
      <c r="D834" s="306">
        <f t="shared" ca="1" si="356"/>
        <v>-0.64150230000712105</v>
      </c>
      <c r="E834" s="307">
        <f t="shared" ca="1" si="357"/>
        <v>-0.575356230643008</v>
      </c>
      <c r="F834" s="304">
        <f t="shared" ca="1" si="358"/>
        <v>0.86171920777835553</v>
      </c>
      <c r="G834" s="306">
        <f t="shared" ca="1" si="359"/>
        <v>7.2214541543724238</v>
      </c>
      <c r="H834" s="307">
        <f t="shared" ca="1" si="360"/>
        <v>-103.9562694091488</v>
      </c>
      <c r="I834" s="304">
        <f t="shared" ca="1" si="361"/>
        <v>104.2067912833479</v>
      </c>
      <c r="J834" s="306">
        <f t="shared" ca="1" si="362"/>
        <v>837.4075040097224</v>
      </c>
      <c r="K834" s="307">
        <f t="shared" ca="1" si="363"/>
        <v>-13.712474073059335</v>
      </c>
      <c r="L834" s="304">
        <f t="shared" ca="1" si="348"/>
        <v>837.51976676195386</v>
      </c>
      <c r="M834" s="306">
        <f t="shared" ca="1" si="364"/>
        <v>-1.5014414735259469</v>
      </c>
      <c r="N834" s="304">
        <f t="shared" ca="1" si="365"/>
        <v>-86.026259618940088</v>
      </c>
      <c r="P834" s="310">
        <f t="shared" ca="1" si="366"/>
        <v>23</v>
      </c>
      <c r="Q834" s="304">
        <f t="shared" ca="1" si="367"/>
        <v>0</v>
      </c>
      <c r="R834" s="306">
        <f t="shared" ca="1" si="368"/>
        <v>0</v>
      </c>
      <c r="S834" s="307">
        <f t="shared" ca="1" si="369"/>
        <v>2.9362999999999984</v>
      </c>
      <c r="T834" s="304">
        <f t="shared" ca="1" si="349"/>
        <v>28.805102999999985</v>
      </c>
      <c r="U834" s="311">
        <f t="shared" ca="1" si="350"/>
        <v>0</v>
      </c>
      <c r="V834" s="306">
        <f t="shared" ca="1" si="351"/>
        <v>1.2266809305597857</v>
      </c>
      <c r="W834" s="304">
        <f t="shared" ca="1" si="352"/>
        <v>27.181087089679234</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0.52951694388444714</v>
      </c>
      <c r="AH834" s="304">
        <f t="shared" ca="1" si="376"/>
        <v>-9.2568985490734601</v>
      </c>
    </row>
    <row r="835" spans="1:34" x14ac:dyDescent="0.2">
      <c r="A835" s="347">
        <f t="shared" ca="1" si="354"/>
        <v>1E-4</v>
      </c>
      <c r="B835" s="304">
        <f t="shared" ca="1" si="355"/>
        <v>37.132600000001304</v>
      </c>
      <c r="D835" s="306">
        <f t="shared" ca="1" si="356"/>
        <v>-0.64149759425793662</v>
      </c>
      <c r="E835" s="307">
        <f t="shared" ca="1" si="357"/>
        <v>-0.57533682712352707</v>
      </c>
      <c r="F835" s="304">
        <f t="shared" ca="1" si="358"/>
        <v>0.86170274926060653</v>
      </c>
      <c r="G835" s="306">
        <f t="shared" ca="1" si="359"/>
        <v>7.2213900046129984</v>
      </c>
      <c r="H835" s="307">
        <f t="shared" ca="1" si="360"/>
        <v>-103.95632694283151</v>
      </c>
      <c r="I835" s="304">
        <f t="shared" ca="1" si="361"/>
        <v>104.20684423320573</v>
      </c>
      <c r="J835" s="306">
        <f t="shared" ca="1" si="362"/>
        <v>837.4075040097224</v>
      </c>
      <c r="K835" s="307">
        <f t="shared" ca="1" si="363"/>
        <v>-13.722869702876935</v>
      </c>
      <c r="L835" s="304">
        <f t="shared" ca="1" si="348"/>
        <v>837.51993703115829</v>
      </c>
      <c r="M835" s="306">
        <f t="shared" ca="1" si="364"/>
        <v>-1.5014421259070885</v>
      </c>
      <c r="N835" s="304">
        <f t="shared" ca="1" si="365"/>
        <v>-86.026296997626133</v>
      </c>
      <c r="P835" s="310">
        <f t="shared" ca="1" si="366"/>
        <v>23</v>
      </c>
      <c r="Q835" s="304">
        <f t="shared" ca="1" si="367"/>
        <v>0</v>
      </c>
      <c r="R835" s="306">
        <f t="shared" ca="1" si="368"/>
        <v>0</v>
      </c>
      <c r="S835" s="307">
        <f t="shared" ca="1" si="369"/>
        <v>2.9362999999999984</v>
      </c>
      <c r="T835" s="304">
        <f t="shared" ca="1" si="349"/>
        <v>28.805102999999985</v>
      </c>
      <c r="U835" s="311">
        <f t="shared" ca="1" si="350"/>
        <v>0</v>
      </c>
      <c r="V835" s="306">
        <f t="shared" ca="1" si="351"/>
        <v>1.2266822057731344</v>
      </c>
      <c r="W835" s="304">
        <f t="shared" ca="1" si="352"/>
        <v>27.181142968860925</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0.52949835663159561</v>
      </c>
      <c r="AH835" s="304">
        <f t="shared" ca="1" si="376"/>
        <v>-9.2569175798383174</v>
      </c>
    </row>
    <row r="836" spans="1:34" x14ac:dyDescent="0.2">
      <c r="A836" s="347">
        <f t="shared" ca="1" si="354"/>
        <v>1E-4</v>
      </c>
      <c r="B836" s="304">
        <f t="shared" ca="1" si="355"/>
        <v>37.132700000001307</v>
      </c>
      <c r="D836" s="306">
        <f t="shared" ca="1" si="356"/>
        <v>-0.64149288852321396</v>
      </c>
      <c r="E836" s="307">
        <f t="shared" ca="1" si="357"/>
        <v>-0.57531742390025542</v>
      </c>
      <c r="F836" s="304">
        <f t="shared" ca="1" si="358"/>
        <v>0.861686291099657</v>
      </c>
      <c r="G836" s="306">
        <f t="shared" ca="1" si="359"/>
        <v>7.2213258553241459</v>
      </c>
      <c r="H836" s="307">
        <f t="shared" ca="1" si="360"/>
        <v>-103.95638447457389</v>
      </c>
      <c r="I836" s="304">
        <f t="shared" ca="1" si="361"/>
        <v>104.20689718120485</v>
      </c>
      <c r="J836" s="306">
        <f t="shared" ca="1" si="362"/>
        <v>837.4075040097224</v>
      </c>
      <c r="K836" s="307">
        <f t="shared" ca="1" si="363"/>
        <v>-13.733265338447804</v>
      </c>
      <c r="L836" s="304">
        <f t="shared" ref="L836:L899" ca="1" si="377">SQRT(pos_x^2+pos_z^2)</f>
        <v>837.5201074294572</v>
      </c>
      <c r="M836" s="306">
        <f t="shared" ca="1" si="364"/>
        <v>-1.5014427782817721</v>
      </c>
      <c r="N836" s="304">
        <f t="shared" ca="1" si="365"/>
        <v>-86.026334375942156</v>
      </c>
      <c r="P836" s="310">
        <f t="shared" ca="1" si="366"/>
        <v>23</v>
      </c>
      <c r="Q836" s="304">
        <f t="shared" ca="1" si="367"/>
        <v>0</v>
      </c>
      <c r="R836" s="306">
        <f t="shared" ca="1" si="368"/>
        <v>0</v>
      </c>
      <c r="S836" s="307">
        <f t="shared" ca="1" si="369"/>
        <v>2.9362999999999984</v>
      </c>
      <c r="T836" s="304">
        <f t="shared" ref="T836:T899" ca="1" si="378">m*g</f>
        <v>28.805102999999985</v>
      </c>
      <c r="U836" s="311">
        <f t="shared" ref="U836:U899" ca="1" si="379">IF(pos_xz&lt;L_rampe,Poids*COS(Beta),0)</f>
        <v>0</v>
      </c>
      <c r="V836" s="306">
        <f t="shared" ref="V836:V899" ca="1" si="380">Rho_moyen*(20000-Alt_rampe-pos_z)/(20000+Alt_rampe+pos_z)</f>
        <v>1.2266834809885152</v>
      </c>
      <c r="W836" s="304">
        <f t="shared" ref="W836:W899" ca="1" si="381">1/2*Rho*Sref*Cx*vit_xz^2</f>
        <v>27.181198847189471</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0.52947976966074428</v>
      </c>
      <c r="AH836" s="304">
        <f t="shared" ca="1" si="376"/>
        <v>-9.2569366103126178</v>
      </c>
    </row>
    <row r="837" spans="1:34" x14ac:dyDescent="0.2">
      <c r="A837" s="347">
        <f t="shared" ref="A837:A900" ca="1" si="383">IF(B836+0.01&lt;=T_ini+ROUNDUP(Temps_fin_propu,0), 0.01, IF(K836&gt;0, 0.1, 0.0001))</f>
        <v>1E-4</v>
      </c>
      <c r="B837" s="304">
        <f t="shared" ref="B837:B900" ca="1" si="384">B836+pas</f>
        <v>37.132800000001311</v>
      </c>
      <c r="D837" s="306">
        <f t="shared" ref="D837:D900" ca="1" si="385">IF(AND(L836&lt;L_rampe,Poussee&lt;Poids*SIN(M836)),0,(-W836+Poussee)/m*COS(M836)-U836/m*SIN(M836))</f>
        <v>-0.6414881828029505</v>
      </c>
      <c r="E837" s="307">
        <f t="shared" ref="E837:E900" ca="1" si="386">IF(AND(L836&lt;L_rampe,Poussee&lt;Poids*SIN(M836)),0,(-W836+Poussee)/m*SIN(M836)+U836/m*COS(M836)-Poids/m)</f>
        <v>-0.57529802097318949</v>
      </c>
      <c r="F837" s="304">
        <f t="shared" ref="F837:F900" ca="1" si="387">SQRT(acc_x^2+acc_z^2)</f>
        <v>0.86166983329550306</v>
      </c>
      <c r="G837" s="306">
        <f t="shared" ref="G837:G900" ca="1" si="388">G836+acc_x*pas</f>
        <v>7.2212617065058655</v>
      </c>
      <c r="H837" s="307">
        <f t="shared" ref="H837:H900" ca="1" si="389">H836+acc_z*pas</f>
        <v>-103.95644200437599</v>
      </c>
      <c r="I837" s="304">
        <f t="shared" ref="I837:I900" ca="1" si="390">SQRT(vit_x^2+vit_z^2)</f>
        <v>104.20695012734532</v>
      </c>
      <c r="J837" s="306">
        <f t="shared" ref="J837:J900" ca="1" si="391">J836+0.5*(vit_x+G836)*pas*(K836&gt;=0)</f>
        <v>837.4075040097224</v>
      </c>
      <c r="K837" s="307">
        <f t="shared" ref="K837:K900" ca="1" si="392">K836+0.5*(vit_z+H836)*pas</f>
        <v>-13.743660979771752</v>
      </c>
      <c r="L837" s="304">
        <f t="shared" ca="1" si="377"/>
        <v>837.52027795685058</v>
      </c>
      <c r="M837" s="306">
        <f t="shared" ref="M837:M900" ca="1" si="393">IF(AND(L836&gt;L_rampe,G837&gt;0),ATAN2(G837,H837),$M$4)</f>
        <v>-1.5014434306499973</v>
      </c>
      <c r="N837" s="304">
        <f t="shared" ref="N837:N900" ca="1" si="394">DEGREES(Beta)</f>
        <v>-86.026371753888156</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2.9362999999999984</v>
      </c>
      <c r="T837" s="304">
        <f t="shared" ca="1" si="378"/>
        <v>28.805102999999985</v>
      </c>
      <c r="U837" s="311">
        <f t="shared" ca="1" si="379"/>
        <v>0</v>
      </c>
      <c r="V837" s="306">
        <f t="shared" ca="1" si="380"/>
        <v>1.2266847562059287</v>
      </c>
      <c r="W837" s="304">
        <f t="shared" ca="1" si="381"/>
        <v>27.181254724664896</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0.52946118297188605</v>
      </c>
      <c r="AH837" s="304">
        <f t="shared" ref="AH837:AH900" ca="1" si="405">IF(AND(L836&lt;L_rampe,Poussee&lt;Poids*SIN(M836)), g*SIN(M836), (-W836+Poussee)/m)</f>
        <v>-9.2569556404963684</v>
      </c>
    </row>
    <row r="838" spans="1:34" x14ac:dyDescent="0.2">
      <c r="A838" s="347">
        <f t="shared" ca="1" si="383"/>
        <v>1E-4</v>
      </c>
      <c r="B838" s="304">
        <f t="shared" ca="1" si="384"/>
        <v>37.132900000001314</v>
      </c>
      <c r="D838" s="306">
        <f t="shared" ca="1" si="385"/>
        <v>-0.6414834770971517</v>
      </c>
      <c r="E838" s="307">
        <f t="shared" ca="1" si="386"/>
        <v>-0.57527861834231864</v>
      </c>
      <c r="F838" s="304">
        <f t="shared" ca="1" si="387"/>
        <v>0.86165337584814172</v>
      </c>
      <c r="G838" s="306">
        <f t="shared" ca="1" si="388"/>
        <v>7.2211975581581562</v>
      </c>
      <c r="H838" s="307">
        <f t="shared" ca="1" si="389"/>
        <v>-103.95649953223783</v>
      </c>
      <c r="I838" s="304">
        <f t="shared" ca="1" si="390"/>
        <v>104.20700307162716</v>
      </c>
      <c r="J838" s="306">
        <f t="shared" ca="1" si="391"/>
        <v>837.4075040097224</v>
      </c>
      <c r="K838" s="307">
        <f t="shared" ca="1" si="392"/>
        <v>-13.754056626848582</v>
      </c>
      <c r="L838" s="304">
        <f t="shared" ca="1" si="377"/>
        <v>837.52044861333843</v>
      </c>
      <c r="M838" s="306">
        <f t="shared" ca="1" si="393"/>
        <v>-1.5014440830117646</v>
      </c>
      <c r="N838" s="304">
        <f t="shared" ca="1" si="394"/>
        <v>-86.026409131464135</v>
      </c>
      <c r="P838" s="310">
        <f t="shared" ca="1" si="395"/>
        <v>23</v>
      </c>
      <c r="Q838" s="304">
        <f t="shared" ca="1" si="396"/>
        <v>0</v>
      </c>
      <c r="R838" s="306">
        <f t="shared" ca="1" si="397"/>
        <v>0</v>
      </c>
      <c r="S838" s="307">
        <f t="shared" ca="1" si="398"/>
        <v>2.9362999999999984</v>
      </c>
      <c r="T838" s="304">
        <f t="shared" ca="1" si="378"/>
        <v>28.805102999999985</v>
      </c>
      <c r="U838" s="311">
        <f t="shared" ca="1" si="379"/>
        <v>0</v>
      </c>
      <c r="V838" s="306">
        <f t="shared" ca="1" si="380"/>
        <v>1.2266860314253738</v>
      </c>
      <c r="W838" s="304">
        <f t="shared" ca="1" si="381"/>
        <v>27.181310601287198</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0.52944259656501735</v>
      </c>
      <c r="AH838" s="304">
        <f t="shared" ca="1" si="405"/>
        <v>-9.2569746703895763</v>
      </c>
    </row>
    <row r="839" spans="1:34" x14ac:dyDescent="0.2">
      <c r="A839" s="347">
        <f t="shared" ca="1" si="383"/>
        <v>1E-4</v>
      </c>
      <c r="B839" s="304">
        <f t="shared" ca="1" si="384"/>
        <v>37.133000000001317</v>
      </c>
      <c r="D839" s="306">
        <f t="shared" ca="1" si="385"/>
        <v>-0.64147877140581433</v>
      </c>
      <c r="E839" s="307">
        <f t="shared" ca="1" si="386"/>
        <v>-0.5752592160076464</v>
      </c>
      <c r="F839" s="304">
        <f t="shared" ca="1" si="387"/>
        <v>0.86163691875757331</v>
      </c>
      <c r="G839" s="306">
        <f t="shared" ca="1" si="388"/>
        <v>7.2211334102810154</v>
      </c>
      <c r="H839" s="307">
        <f t="shared" ca="1" si="389"/>
        <v>-103.95655705815943</v>
      </c>
      <c r="I839" s="304">
        <f t="shared" ca="1" si="390"/>
        <v>104.20705601405038</v>
      </c>
      <c r="J839" s="306">
        <f t="shared" ca="1" si="391"/>
        <v>837.4075040097224</v>
      </c>
      <c r="K839" s="307">
        <f t="shared" ca="1" si="392"/>
        <v>-13.764452279678101</v>
      </c>
      <c r="L839" s="304">
        <f t="shared" ca="1" si="377"/>
        <v>837.52061939892133</v>
      </c>
      <c r="M839" s="306">
        <f t="shared" ca="1" si="393"/>
        <v>-1.5014447353670737</v>
      </c>
      <c r="N839" s="304">
        <f t="shared" ca="1" si="394"/>
        <v>-86.026446508670091</v>
      </c>
      <c r="P839" s="310">
        <f t="shared" ca="1" si="395"/>
        <v>23</v>
      </c>
      <c r="Q839" s="304">
        <f t="shared" ca="1" si="396"/>
        <v>0</v>
      </c>
      <c r="R839" s="306">
        <f t="shared" ca="1" si="397"/>
        <v>0</v>
      </c>
      <c r="S839" s="307">
        <f t="shared" ca="1" si="398"/>
        <v>2.9362999999999984</v>
      </c>
      <c r="T839" s="304">
        <f t="shared" ca="1" si="378"/>
        <v>28.805102999999985</v>
      </c>
      <c r="U839" s="311">
        <f t="shared" ca="1" si="379"/>
        <v>0</v>
      </c>
      <c r="V839" s="306">
        <f t="shared" ca="1" si="380"/>
        <v>1.2266873066468515</v>
      </c>
      <c r="W839" s="304">
        <f t="shared" ca="1" si="381"/>
        <v>27.181366477056386</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0.52942401044013643</v>
      </c>
      <c r="AH839" s="304">
        <f t="shared" ca="1" si="405"/>
        <v>-9.2569936999922398</v>
      </c>
    </row>
    <row r="840" spans="1:34" x14ac:dyDescent="0.2">
      <c r="A840" s="347">
        <f t="shared" ca="1" si="383"/>
        <v>1E-4</v>
      </c>
      <c r="B840" s="304">
        <f t="shared" ca="1" si="384"/>
        <v>37.13310000000132</v>
      </c>
      <c r="D840" s="306">
        <f t="shared" ca="1" si="385"/>
        <v>-0.6414740657289415</v>
      </c>
      <c r="E840" s="307">
        <f t="shared" ca="1" si="386"/>
        <v>-0.57523981396916923</v>
      </c>
      <c r="F840" s="304">
        <f t="shared" ca="1" si="387"/>
        <v>0.86162046202379783</v>
      </c>
      <c r="G840" s="306">
        <f t="shared" ca="1" si="388"/>
        <v>7.2210692628744422</v>
      </c>
      <c r="H840" s="307">
        <f t="shared" ca="1" si="389"/>
        <v>-103.95661458214083</v>
      </c>
      <c r="I840" s="304">
        <f t="shared" ca="1" si="390"/>
        <v>104.20710895461502</v>
      </c>
      <c r="J840" s="306">
        <f t="shared" ca="1" si="391"/>
        <v>837.4075040097224</v>
      </c>
      <c r="K840" s="307">
        <f t="shared" ca="1" si="392"/>
        <v>-13.774847938260116</v>
      </c>
      <c r="L840" s="304">
        <f t="shared" ca="1" si="377"/>
        <v>837.52079031359904</v>
      </c>
      <c r="M840" s="306">
        <f t="shared" ca="1" si="393"/>
        <v>-1.5014453877159251</v>
      </c>
      <c r="N840" s="304">
        <f t="shared" ca="1" si="394"/>
        <v>-86.026483885506039</v>
      </c>
      <c r="P840" s="310">
        <f t="shared" ca="1" si="395"/>
        <v>23</v>
      </c>
      <c r="Q840" s="304">
        <f t="shared" ca="1" si="396"/>
        <v>0</v>
      </c>
      <c r="R840" s="306">
        <f t="shared" ca="1" si="397"/>
        <v>0</v>
      </c>
      <c r="S840" s="307">
        <f t="shared" ca="1" si="398"/>
        <v>2.9362999999999984</v>
      </c>
      <c r="T840" s="304">
        <f t="shared" ca="1" si="378"/>
        <v>28.805102999999985</v>
      </c>
      <c r="U840" s="311">
        <f t="shared" ca="1" si="379"/>
        <v>0</v>
      </c>
      <c r="V840" s="306">
        <f t="shared" ca="1" si="380"/>
        <v>1.2266885818703617</v>
      </c>
      <c r="W840" s="304">
        <f t="shared" ca="1" si="381"/>
        <v>27.181422351972483</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0.52940542459724327</v>
      </c>
      <c r="AH840" s="304">
        <f t="shared" ca="1" si="405"/>
        <v>-9.2570127293043623</v>
      </c>
    </row>
    <row r="841" spans="1:34" x14ac:dyDescent="0.2">
      <c r="A841" s="347">
        <f t="shared" ca="1" si="383"/>
        <v>1E-4</v>
      </c>
      <c r="B841" s="304">
        <f t="shared" ca="1" si="384"/>
        <v>37.133200000001324</v>
      </c>
      <c r="D841" s="306">
        <f t="shared" ca="1" si="385"/>
        <v>-0.64146936006653088</v>
      </c>
      <c r="E841" s="307">
        <f t="shared" ca="1" si="386"/>
        <v>-0.57522041222687648</v>
      </c>
      <c r="F841" s="304">
        <f t="shared" ca="1" si="387"/>
        <v>0.86160400564680661</v>
      </c>
      <c r="G841" s="306">
        <f t="shared" ca="1" si="388"/>
        <v>7.2210051159384356</v>
      </c>
      <c r="H841" s="307">
        <f t="shared" ca="1" si="389"/>
        <v>-103.95667210418205</v>
      </c>
      <c r="I841" s="304">
        <f t="shared" ca="1" si="390"/>
        <v>104.20716189332109</v>
      </c>
      <c r="J841" s="306">
        <f t="shared" ca="1" si="391"/>
        <v>837.4075040097224</v>
      </c>
      <c r="K841" s="307">
        <f t="shared" ca="1" si="392"/>
        <v>-13.785243602594432</v>
      </c>
      <c r="L841" s="304">
        <f t="shared" ca="1" si="377"/>
        <v>837.52096135737168</v>
      </c>
      <c r="M841" s="306">
        <f t="shared" ca="1" si="393"/>
        <v>-1.5014460400583187</v>
      </c>
      <c r="N841" s="304">
        <f t="shared" ca="1" si="394"/>
        <v>-86.026521261971993</v>
      </c>
      <c r="P841" s="310">
        <f t="shared" ca="1" si="395"/>
        <v>23</v>
      </c>
      <c r="Q841" s="304">
        <f t="shared" ca="1" si="396"/>
        <v>0</v>
      </c>
      <c r="R841" s="306">
        <f t="shared" ca="1" si="397"/>
        <v>0</v>
      </c>
      <c r="S841" s="307">
        <f t="shared" ca="1" si="398"/>
        <v>2.9362999999999984</v>
      </c>
      <c r="T841" s="304">
        <f t="shared" ca="1" si="378"/>
        <v>28.805102999999985</v>
      </c>
      <c r="U841" s="311">
        <f t="shared" ca="1" si="379"/>
        <v>0</v>
      </c>
      <c r="V841" s="306">
        <f t="shared" ca="1" si="380"/>
        <v>1.2266898570959037</v>
      </c>
      <c r="W841" s="304">
        <f t="shared" ca="1" si="381"/>
        <v>27.18147822603547</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0.52938683903632366</v>
      </c>
      <c r="AH841" s="304">
        <f t="shared" ca="1" si="405"/>
        <v>-9.2570317583259545</v>
      </c>
    </row>
    <row r="842" spans="1:34" x14ac:dyDescent="0.2">
      <c r="A842" s="347">
        <f t="shared" ca="1" si="383"/>
        <v>1E-4</v>
      </c>
      <c r="B842" s="304">
        <f t="shared" ca="1" si="384"/>
        <v>37.133300000001327</v>
      </c>
      <c r="D842" s="306">
        <f t="shared" ca="1" si="385"/>
        <v>-0.64146465441858269</v>
      </c>
      <c r="E842" s="307">
        <f t="shared" ca="1" si="386"/>
        <v>-0.57520101078077879</v>
      </c>
      <c r="F842" s="304">
        <f t="shared" ca="1" si="387"/>
        <v>0.86158754962660722</v>
      </c>
      <c r="G842" s="306">
        <f t="shared" ca="1" si="388"/>
        <v>7.220940969472994</v>
      </c>
      <c r="H842" s="307">
        <f t="shared" ca="1" si="389"/>
        <v>-103.95672962428313</v>
      </c>
      <c r="I842" s="304">
        <f t="shared" ca="1" si="390"/>
        <v>104.20721483016864</v>
      </c>
      <c r="J842" s="306">
        <f t="shared" ca="1" si="391"/>
        <v>837.4075040097224</v>
      </c>
      <c r="K842" s="307">
        <f t="shared" ca="1" si="392"/>
        <v>-13.795639272680855</v>
      </c>
      <c r="L842" s="304">
        <f t="shared" ca="1" si="377"/>
        <v>837.52113253023958</v>
      </c>
      <c r="M842" s="306">
        <f t="shared" ca="1" si="393"/>
        <v>-1.5014466923942544</v>
      </c>
      <c r="N842" s="304">
        <f t="shared" ca="1" si="394"/>
        <v>-86.026558638067939</v>
      </c>
      <c r="P842" s="310">
        <f t="shared" ca="1" si="395"/>
        <v>23</v>
      </c>
      <c r="Q842" s="304">
        <f t="shared" ca="1" si="396"/>
        <v>0</v>
      </c>
      <c r="R842" s="306">
        <f t="shared" ca="1" si="397"/>
        <v>0</v>
      </c>
      <c r="S842" s="307">
        <f t="shared" ca="1" si="398"/>
        <v>2.9362999999999984</v>
      </c>
      <c r="T842" s="304">
        <f t="shared" ca="1" si="378"/>
        <v>28.805102999999985</v>
      </c>
      <c r="U842" s="311">
        <f t="shared" ca="1" si="379"/>
        <v>0</v>
      </c>
      <c r="V842" s="306">
        <f t="shared" ca="1" si="380"/>
        <v>1.2266911323234784</v>
      </c>
      <c r="W842" s="304">
        <f t="shared" ca="1" si="381"/>
        <v>27.18153409924539</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0.52936825375739005</v>
      </c>
      <c r="AH842" s="304">
        <f t="shared" ca="1" si="405"/>
        <v>-9.2570507870570058</v>
      </c>
    </row>
    <row r="843" spans="1:34" x14ac:dyDescent="0.2">
      <c r="A843" s="347">
        <f t="shared" ca="1" si="383"/>
        <v>1E-4</v>
      </c>
      <c r="B843" s="304">
        <f t="shared" ca="1" si="384"/>
        <v>37.13340000000133</v>
      </c>
      <c r="D843" s="306">
        <f t="shared" ca="1" si="385"/>
        <v>-0.64145994878510104</v>
      </c>
      <c r="E843" s="307">
        <f t="shared" ca="1" si="386"/>
        <v>-0.57518160963085663</v>
      </c>
      <c r="F843" s="304">
        <f t="shared" ca="1" si="387"/>
        <v>0.86157109396318976</v>
      </c>
      <c r="G843" s="306">
        <f t="shared" ca="1" si="388"/>
        <v>7.2208768234781155</v>
      </c>
      <c r="H843" s="307">
        <f t="shared" ca="1" si="389"/>
        <v>-103.95678714244409</v>
      </c>
      <c r="I843" s="304">
        <f t="shared" ca="1" si="390"/>
        <v>104.20726776515768</v>
      </c>
      <c r="J843" s="306">
        <f t="shared" ca="1" si="391"/>
        <v>837.4075040097224</v>
      </c>
      <c r="K843" s="307">
        <f t="shared" ca="1" si="392"/>
        <v>-13.806034948519192</v>
      </c>
      <c r="L843" s="304">
        <f t="shared" ca="1" si="377"/>
        <v>837.52130383220276</v>
      </c>
      <c r="M843" s="306">
        <f t="shared" ca="1" si="393"/>
        <v>-1.5014473447237326</v>
      </c>
      <c r="N843" s="304">
        <f t="shared" ca="1" si="394"/>
        <v>-86.026596013793892</v>
      </c>
      <c r="P843" s="310">
        <f t="shared" ca="1" si="395"/>
        <v>23</v>
      </c>
      <c r="Q843" s="304">
        <f t="shared" ca="1" si="396"/>
        <v>0</v>
      </c>
      <c r="R843" s="306">
        <f t="shared" ca="1" si="397"/>
        <v>0</v>
      </c>
      <c r="S843" s="307">
        <f t="shared" ca="1" si="398"/>
        <v>2.9362999999999984</v>
      </c>
      <c r="T843" s="304">
        <f t="shared" ca="1" si="378"/>
        <v>28.805102999999985</v>
      </c>
      <c r="U843" s="311">
        <f t="shared" ca="1" si="379"/>
        <v>0</v>
      </c>
      <c r="V843" s="306">
        <f t="shared" ca="1" si="380"/>
        <v>1.2266924075530852</v>
      </c>
      <c r="W843" s="304">
        <f t="shared" ca="1" si="381"/>
        <v>27.181589971602239</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0.52934966876042822</v>
      </c>
      <c r="AH843" s="304">
        <f t="shared" ca="1" si="405"/>
        <v>-9.2570698154975322</v>
      </c>
    </row>
    <row r="844" spans="1:34" x14ac:dyDescent="0.2">
      <c r="A844" s="347">
        <f t="shared" ca="1" si="383"/>
        <v>1E-4</v>
      </c>
      <c r="B844" s="304">
        <f t="shared" ca="1" si="384"/>
        <v>37.133500000001334</v>
      </c>
      <c r="D844" s="306">
        <f t="shared" ca="1" si="385"/>
        <v>-0.64145524316608271</v>
      </c>
      <c r="E844" s="307">
        <f t="shared" ca="1" si="386"/>
        <v>-0.57516220877711532</v>
      </c>
      <c r="F844" s="304">
        <f t="shared" ca="1" si="387"/>
        <v>0.86155463865655579</v>
      </c>
      <c r="G844" s="306">
        <f t="shared" ca="1" si="388"/>
        <v>7.2208126779537993</v>
      </c>
      <c r="H844" s="307">
        <f t="shared" ca="1" si="389"/>
        <v>-103.95684465866496</v>
      </c>
      <c r="I844" s="304">
        <f t="shared" ca="1" si="390"/>
        <v>104.20732069828826</v>
      </c>
      <c r="J844" s="306">
        <f t="shared" ca="1" si="391"/>
        <v>837.4075040097224</v>
      </c>
      <c r="K844" s="307">
        <f t="shared" ca="1" si="392"/>
        <v>-13.816430630109249</v>
      </c>
      <c r="L844" s="304">
        <f t="shared" ca="1" si="377"/>
        <v>837.52147526326144</v>
      </c>
      <c r="M844" s="306">
        <f t="shared" ca="1" si="393"/>
        <v>-1.5014479970467531</v>
      </c>
      <c r="N844" s="304">
        <f t="shared" ca="1" si="394"/>
        <v>-86.02663338914985</v>
      </c>
      <c r="P844" s="310">
        <f t="shared" ca="1" si="395"/>
        <v>23</v>
      </c>
      <c r="Q844" s="304">
        <f t="shared" ca="1" si="396"/>
        <v>0</v>
      </c>
      <c r="R844" s="306">
        <f t="shared" ca="1" si="397"/>
        <v>0</v>
      </c>
      <c r="S844" s="307">
        <f t="shared" ca="1" si="398"/>
        <v>2.9362999999999984</v>
      </c>
      <c r="T844" s="304">
        <f t="shared" ca="1" si="378"/>
        <v>28.805102999999985</v>
      </c>
      <c r="U844" s="311">
        <f t="shared" ca="1" si="379"/>
        <v>0</v>
      </c>
      <c r="V844" s="306">
        <f t="shared" ca="1" si="380"/>
        <v>1.2266936827847237</v>
      </c>
      <c r="W844" s="304">
        <f t="shared" ca="1" si="381"/>
        <v>27.181645843106011</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0.52933108404543638</v>
      </c>
      <c r="AH844" s="304">
        <f t="shared" ca="1" si="405"/>
        <v>-9.2570888436475336</v>
      </c>
    </row>
    <row r="845" spans="1:34" x14ac:dyDescent="0.2">
      <c r="A845" s="347">
        <f t="shared" ca="1" si="383"/>
        <v>1E-4</v>
      </c>
      <c r="B845" s="304">
        <f t="shared" ca="1" si="384"/>
        <v>37.133600000001337</v>
      </c>
      <c r="D845" s="306">
        <f t="shared" ca="1" si="385"/>
        <v>-0.64145053756153048</v>
      </c>
      <c r="E845" s="307">
        <f t="shared" ca="1" si="386"/>
        <v>-0.5751428082195531</v>
      </c>
      <c r="F845" s="304">
        <f t="shared" ca="1" si="387"/>
        <v>0.8615381837067061</v>
      </c>
      <c r="G845" s="306">
        <f t="shared" ca="1" si="388"/>
        <v>7.2207485329000436</v>
      </c>
      <c r="H845" s="307">
        <f t="shared" ca="1" si="389"/>
        <v>-103.95690217294579</v>
      </c>
      <c r="I845" s="304">
        <f t="shared" ca="1" si="390"/>
        <v>104.20737362956039</v>
      </c>
      <c r="J845" s="306">
        <f t="shared" ca="1" si="391"/>
        <v>837.4075040097224</v>
      </c>
      <c r="K845" s="307">
        <f t="shared" ca="1" si="392"/>
        <v>-13.826826317450829</v>
      </c>
      <c r="L845" s="304">
        <f t="shared" ca="1" si="377"/>
        <v>837.52164682341561</v>
      </c>
      <c r="M845" s="306">
        <f t="shared" ca="1" si="393"/>
        <v>-1.5014486493633163</v>
      </c>
      <c r="N845" s="304">
        <f t="shared" ca="1" si="394"/>
        <v>-86.026670764135829</v>
      </c>
      <c r="P845" s="310">
        <f t="shared" ca="1" si="395"/>
        <v>23</v>
      </c>
      <c r="Q845" s="304">
        <f t="shared" ca="1" si="396"/>
        <v>0</v>
      </c>
      <c r="R845" s="306">
        <f t="shared" ca="1" si="397"/>
        <v>0</v>
      </c>
      <c r="S845" s="307">
        <f t="shared" ca="1" si="398"/>
        <v>2.9362999999999984</v>
      </c>
      <c r="T845" s="304">
        <f t="shared" ca="1" si="378"/>
        <v>28.805102999999985</v>
      </c>
      <c r="U845" s="311">
        <f t="shared" ca="1" si="379"/>
        <v>0</v>
      </c>
      <c r="V845" s="306">
        <f t="shared" ca="1" si="380"/>
        <v>1.2266949580183946</v>
      </c>
      <c r="W845" s="304">
        <f t="shared" ca="1" si="381"/>
        <v>27.181701713756748</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0.52931249961241988</v>
      </c>
      <c r="AH845" s="304">
        <f t="shared" ca="1" si="405"/>
        <v>-9.2571078715070083</v>
      </c>
    </row>
    <row r="846" spans="1:34" x14ac:dyDescent="0.2">
      <c r="A846" s="347">
        <f t="shared" ca="1" si="383"/>
        <v>1E-4</v>
      </c>
      <c r="B846" s="304">
        <f t="shared" ca="1" si="384"/>
        <v>37.13370000000134</v>
      </c>
      <c r="D846" s="306">
        <f t="shared" ca="1" si="385"/>
        <v>-0.64144583197144212</v>
      </c>
      <c r="E846" s="307">
        <f t="shared" ca="1" si="386"/>
        <v>-0.57512340795816108</v>
      </c>
      <c r="F846" s="304">
        <f t="shared" ca="1" si="387"/>
        <v>0.86152172911363345</v>
      </c>
      <c r="G846" s="306">
        <f t="shared" ca="1" si="388"/>
        <v>7.2206843883168466</v>
      </c>
      <c r="H846" s="307">
        <f t="shared" ca="1" si="389"/>
        <v>-103.95695968528659</v>
      </c>
      <c r="I846" s="304">
        <f t="shared" ca="1" si="390"/>
        <v>104.20742655897412</v>
      </c>
      <c r="J846" s="306">
        <f t="shared" ca="1" si="391"/>
        <v>837.4075040097224</v>
      </c>
      <c r="K846" s="307">
        <f t="shared" ca="1" si="392"/>
        <v>-13.837222010543741</v>
      </c>
      <c r="L846" s="304">
        <f t="shared" ca="1" si="377"/>
        <v>837.52181851266562</v>
      </c>
      <c r="M846" s="306">
        <f t="shared" ca="1" si="393"/>
        <v>-1.5014493016734221</v>
      </c>
      <c r="N846" s="304">
        <f t="shared" ca="1" si="394"/>
        <v>-86.026708138751815</v>
      </c>
      <c r="P846" s="310">
        <f t="shared" ca="1" si="395"/>
        <v>23</v>
      </c>
      <c r="Q846" s="304">
        <f t="shared" ca="1" si="396"/>
        <v>0</v>
      </c>
      <c r="R846" s="306">
        <f t="shared" ca="1" si="397"/>
        <v>0</v>
      </c>
      <c r="S846" s="307">
        <f t="shared" ca="1" si="398"/>
        <v>2.9362999999999984</v>
      </c>
      <c r="T846" s="304">
        <f t="shared" ca="1" si="378"/>
        <v>28.805102999999985</v>
      </c>
      <c r="U846" s="311">
        <f t="shared" ca="1" si="379"/>
        <v>0</v>
      </c>
      <c r="V846" s="306">
        <f t="shared" ca="1" si="380"/>
        <v>1.2266962332540978</v>
      </c>
      <c r="W846" s="304">
        <f t="shared" ca="1" si="381"/>
        <v>27.181757583554443</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0.52929391546136273</v>
      </c>
      <c r="AH846" s="304">
        <f t="shared" ca="1" si="405"/>
        <v>-9.257126899075967</v>
      </c>
    </row>
    <row r="847" spans="1:34" x14ac:dyDescent="0.2">
      <c r="A847" s="347">
        <f t="shared" ca="1" si="383"/>
        <v>1E-4</v>
      </c>
      <c r="B847" s="304">
        <f t="shared" ca="1" si="384"/>
        <v>37.133800000001344</v>
      </c>
      <c r="D847" s="306">
        <f t="shared" ca="1" si="385"/>
        <v>-0.64144112639582063</v>
      </c>
      <c r="E847" s="307">
        <f t="shared" ca="1" si="386"/>
        <v>-0.57510400799293571</v>
      </c>
      <c r="F847" s="304">
        <f t="shared" ca="1" si="387"/>
        <v>0.86150527487733808</v>
      </c>
      <c r="G847" s="306">
        <f t="shared" ca="1" si="388"/>
        <v>7.2206202442042073</v>
      </c>
      <c r="H847" s="307">
        <f t="shared" ca="1" si="389"/>
        <v>-103.95701719568738</v>
      </c>
      <c r="I847" s="304">
        <f t="shared" ca="1" si="390"/>
        <v>104.20747948652944</v>
      </c>
      <c r="J847" s="306">
        <f t="shared" ca="1" si="391"/>
        <v>837.4075040097224</v>
      </c>
      <c r="K847" s="307">
        <f t="shared" ca="1" si="392"/>
        <v>-13.847617709387789</v>
      </c>
      <c r="L847" s="304">
        <f t="shared" ca="1" si="377"/>
        <v>837.52199033101135</v>
      </c>
      <c r="M847" s="306">
        <f t="shared" ca="1" si="393"/>
        <v>-1.5014499539770703</v>
      </c>
      <c r="N847" s="304">
        <f t="shared" ca="1" si="394"/>
        <v>-86.02674551299782</v>
      </c>
      <c r="P847" s="310">
        <f t="shared" ca="1" si="395"/>
        <v>23</v>
      </c>
      <c r="Q847" s="304">
        <f t="shared" ca="1" si="396"/>
        <v>0</v>
      </c>
      <c r="R847" s="306">
        <f t="shared" ca="1" si="397"/>
        <v>0</v>
      </c>
      <c r="S847" s="307">
        <f t="shared" ca="1" si="398"/>
        <v>2.9362999999999984</v>
      </c>
      <c r="T847" s="304">
        <f t="shared" ca="1" si="378"/>
        <v>28.805102999999985</v>
      </c>
      <c r="U847" s="311">
        <f t="shared" ca="1" si="379"/>
        <v>0</v>
      </c>
      <c r="V847" s="306">
        <f t="shared" ca="1" si="380"/>
        <v>1.2266975084918328</v>
      </c>
      <c r="W847" s="304">
        <f t="shared" ca="1" si="381"/>
        <v>27.181813452499092</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0.5292753315922667</v>
      </c>
      <c r="AH847" s="304">
        <f t="shared" ca="1" si="405"/>
        <v>-9.2571459263544114</v>
      </c>
    </row>
    <row r="848" spans="1:34" x14ac:dyDescent="0.2">
      <c r="A848" s="347">
        <f t="shared" ca="1" si="383"/>
        <v>1E-4</v>
      </c>
      <c r="B848" s="304">
        <f t="shared" ca="1" si="384"/>
        <v>37.133900000001347</v>
      </c>
      <c r="D848" s="306">
        <f t="shared" ca="1" si="385"/>
        <v>-0.6414364208346669</v>
      </c>
      <c r="E848" s="307">
        <f t="shared" ca="1" si="386"/>
        <v>-0.57508460832388231</v>
      </c>
      <c r="F848" s="304">
        <f t="shared" ca="1" si="387"/>
        <v>0.86148882099782409</v>
      </c>
      <c r="G848" s="306">
        <f t="shared" ca="1" si="388"/>
        <v>7.2205561005621242</v>
      </c>
      <c r="H848" s="307">
        <f t="shared" ca="1" si="389"/>
        <v>-103.95707470414821</v>
      </c>
      <c r="I848" s="304">
        <f t="shared" ca="1" si="390"/>
        <v>104.2075324122264</v>
      </c>
      <c r="J848" s="306">
        <f t="shared" ca="1" si="391"/>
        <v>837.4075040097224</v>
      </c>
      <c r="K848" s="307">
        <f t="shared" ca="1" si="392"/>
        <v>-13.85801341398278</v>
      </c>
      <c r="L848" s="304">
        <f t="shared" ca="1" si="377"/>
        <v>837.52216227845292</v>
      </c>
      <c r="M848" s="306">
        <f t="shared" ca="1" si="393"/>
        <v>-1.5014506062742614</v>
      </c>
      <c r="N848" s="304">
        <f t="shared" ca="1" si="394"/>
        <v>-86.02678288687386</v>
      </c>
      <c r="P848" s="310">
        <f t="shared" ca="1" si="395"/>
        <v>23</v>
      </c>
      <c r="Q848" s="304">
        <f t="shared" ca="1" si="396"/>
        <v>0</v>
      </c>
      <c r="R848" s="306">
        <f t="shared" ca="1" si="397"/>
        <v>0</v>
      </c>
      <c r="S848" s="307">
        <f t="shared" ca="1" si="398"/>
        <v>2.9362999999999984</v>
      </c>
      <c r="T848" s="304">
        <f t="shared" ca="1" si="378"/>
        <v>28.805102999999985</v>
      </c>
      <c r="U848" s="311">
        <f t="shared" ca="1" si="379"/>
        <v>0</v>
      </c>
      <c r="V848" s="306">
        <f t="shared" ca="1" si="380"/>
        <v>1.2266987837315999</v>
      </c>
      <c r="W848" s="304">
        <f t="shared" ca="1" si="381"/>
        <v>27.181869320590717</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0.52925674800513356</v>
      </c>
      <c r="AH848" s="304">
        <f t="shared" ca="1" si="405"/>
        <v>-9.2571649533423379</v>
      </c>
    </row>
    <row r="849" spans="1:34" x14ac:dyDescent="0.2">
      <c r="A849" s="347">
        <f t="shared" ca="1" si="383"/>
        <v>1E-4</v>
      </c>
      <c r="B849" s="304">
        <f t="shared" ca="1" si="384"/>
        <v>37.13400000000135</v>
      </c>
      <c r="D849" s="306">
        <f t="shared" ca="1" si="385"/>
        <v>-0.64143171528797815</v>
      </c>
      <c r="E849" s="307">
        <f t="shared" ca="1" si="386"/>
        <v>-0.57506520895099023</v>
      </c>
      <c r="F849" s="304">
        <f t="shared" ca="1" si="387"/>
        <v>0.86147236747508271</v>
      </c>
      <c r="G849" s="306">
        <f t="shared" ca="1" si="388"/>
        <v>7.2204919573905952</v>
      </c>
      <c r="H849" s="307">
        <f t="shared" ca="1" si="389"/>
        <v>-103.9571322106691</v>
      </c>
      <c r="I849" s="304">
        <f t="shared" ca="1" si="390"/>
        <v>104.20758533606504</v>
      </c>
      <c r="J849" s="306">
        <f t="shared" ca="1" si="391"/>
        <v>837.4075040097224</v>
      </c>
      <c r="K849" s="307">
        <f t="shared" ca="1" si="392"/>
        <v>-13.868409124328521</v>
      </c>
      <c r="L849" s="304">
        <f t="shared" ca="1" si="377"/>
        <v>837.52233435499079</v>
      </c>
      <c r="M849" s="306">
        <f t="shared" ca="1" si="393"/>
        <v>-1.5014512585649953</v>
      </c>
      <c r="N849" s="304">
        <f t="shared" ca="1" si="394"/>
        <v>-86.026820260379921</v>
      </c>
      <c r="P849" s="310">
        <f t="shared" ca="1" si="395"/>
        <v>23</v>
      </c>
      <c r="Q849" s="304">
        <f t="shared" ca="1" si="396"/>
        <v>0</v>
      </c>
      <c r="R849" s="306">
        <f t="shared" ca="1" si="397"/>
        <v>0</v>
      </c>
      <c r="S849" s="307">
        <f t="shared" ca="1" si="398"/>
        <v>2.9362999999999984</v>
      </c>
      <c r="T849" s="304">
        <f t="shared" ca="1" si="378"/>
        <v>28.805102999999985</v>
      </c>
      <c r="U849" s="311">
        <f t="shared" ca="1" si="379"/>
        <v>0</v>
      </c>
      <c r="V849" s="306">
        <f t="shared" ca="1" si="380"/>
        <v>1.2267000589733992</v>
      </c>
      <c r="W849" s="304">
        <f t="shared" ca="1" si="381"/>
        <v>27.181925187829343</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0.52923816469995799</v>
      </c>
      <c r="AH849" s="304">
        <f t="shared" ca="1" si="405"/>
        <v>-9.2571839800397555</v>
      </c>
    </row>
    <row r="850" spans="1:34" x14ac:dyDescent="0.2">
      <c r="A850" s="347">
        <f t="shared" ca="1" si="383"/>
        <v>1E-4</v>
      </c>
      <c r="B850" s="304">
        <f t="shared" ca="1" si="384"/>
        <v>37.134100000001354</v>
      </c>
      <c r="D850" s="306">
        <f t="shared" ca="1" si="385"/>
        <v>-0.64142700975575784</v>
      </c>
      <c r="E850" s="307">
        <f t="shared" ca="1" si="386"/>
        <v>-0.57504580987425591</v>
      </c>
      <c r="F850" s="304">
        <f t="shared" ca="1" si="387"/>
        <v>0.86145591430911428</v>
      </c>
      <c r="G850" s="306">
        <f t="shared" ca="1" si="388"/>
        <v>7.2204278146896197</v>
      </c>
      <c r="H850" s="307">
        <f t="shared" ca="1" si="389"/>
        <v>-103.9571897152501</v>
      </c>
      <c r="I850" s="304">
        <f t="shared" ca="1" si="390"/>
        <v>104.20763825804538</v>
      </c>
      <c r="J850" s="306">
        <f t="shared" ca="1" si="391"/>
        <v>837.4075040097224</v>
      </c>
      <c r="K850" s="307">
        <f t="shared" ca="1" si="392"/>
        <v>-13.878804840424817</v>
      </c>
      <c r="L850" s="304">
        <f t="shared" ca="1" si="377"/>
        <v>837.52250656062483</v>
      </c>
      <c r="M850" s="306">
        <f t="shared" ca="1" si="393"/>
        <v>-1.5014519108492721</v>
      </c>
      <c r="N850" s="304">
        <f t="shared" ca="1" si="394"/>
        <v>-86.02685763351603</v>
      </c>
      <c r="P850" s="310">
        <f t="shared" ca="1" si="395"/>
        <v>23</v>
      </c>
      <c r="Q850" s="304">
        <f t="shared" ca="1" si="396"/>
        <v>0</v>
      </c>
      <c r="R850" s="306">
        <f t="shared" ca="1" si="397"/>
        <v>0</v>
      </c>
      <c r="S850" s="307">
        <f t="shared" ca="1" si="398"/>
        <v>2.9362999999999984</v>
      </c>
      <c r="T850" s="304">
        <f t="shared" ca="1" si="378"/>
        <v>28.805102999999985</v>
      </c>
      <c r="U850" s="311">
        <f t="shared" ca="1" si="379"/>
        <v>0</v>
      </c>
      <c r="V850" s="306">
        <f t="shared" ca="1" si="380"/>
        <v>1.2267013342172306</v>
      </c>
      <c r="W850" s="304">
        <f t="shared" ca="1" si="381"/>
        <v>27.181981054214969</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0.52921958167673289</v>
      </c>
      <c r="AH850" s="304">
        <f t="shared" ca="1" si="405"/>
        <v>-9.2572030064466695</v>
      </c>
    </row>
    <row r="851" spans="1:34" x14ac:dyDescent="0.2">
      <c r="A851" s="347">
        <f t="shared" ca="1" si="383"/>
        <v>1E-4</v>
      </c>
      <c r="B851" s="304">
        <f t="shared" ca="1" si="384"/>
        <v>37.134200000001357</v>
      </c>
      <c r="D851" s="306">
        <f t="shared" ca="1" si="385"/>
        <v>-0.64142230423800528</v>
      </c>
      <c r="E851" s="307">
        <f t="shared" ca="1" si="386"/>
        <v>-0.57502641109367403</v>
      </c>
      <c r="F851" s="304">
        <f t="shared" ca="1" si="387"/>
        <v>0.86143946149991479</v>
      </c>
      <c r="G851" s="306">
        <f t="shared" ca="1" si="388"/>
        <v>7.2203636724591957</v>
      </c>
      <c r="H851" s="307">
        <f t="shared" ca="1" si="389"/>
        <v>-103.95724721789121</v>
      </c>
      <c r="I851" s="304">
        <f t="shared" ca="1" si="390"/>
        <v>104.20769117816745</v>
      </c>
      <c r="J851" s="306">
        <f t="shared" ca="1" si="391"/>
        <v>837.4075040097224</v>
      </c>
      <c r="K851" s="307">
        <f t="shared" ca="1" si="392"/>
        <v>-13.889200562271474</v>
      </c>
      <c r="L851" s="304">
        <f t="shared" ca="1" si="377"/>
        <v>837.52267889535517</v>
      </c>
      <c r="M851" s="306">
        <f t="shared" ca="1" si="393"/>
        <v>-1.5014525631270919</v>
      </c>
      <c r="N851" s="304">
        <f t="shared" ca="1" si="394"/>
        <v>-86.026895006282174</v>
      </c>
      <c r="P851" s="310">
        <f t="shared" ca="1" si="395"/>
        <v>23</v>
      </c>
      <c r="Q851" s="304">
        <f t="shared" ca="1" si="396"/>
        <v>0</v>
      </c>
      <c r="R851" s="306">
        <f t="shared" ca="1" si="397"/>
        <v>0</v>
      </c>
      <c r="S851" s="307">
        <f t="shared" ca="1" si="398"/>
        <v>2.9362999999999984</v>
      </c>
      <c r="T851" s="304">
        <f t="shared" ca="1" si="378"/>
        <v>28.805102999999985</v>
      </c>
      <c r="U851" s="311">
        <f t="shared" ca="1" si="379"/>
        <v>0</v>
      </c>
      <c r="V851" s="306">
        <f t="shared" ca="1" si="380"/>
        <v>1.2267026094630942</v>
      </c>
      <c r="W851" s="304">
        <f t="shared" ca="1" si="381"/>
        <v>27.18203691974761</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0.52920099893545469</v>
      </c>
      <c r="AH851" s="304">
        <f t="shared" ca="1" si="405"/>
        <v>-9.2572220325630834</v>
      </c>
    </row>
    <row r="852" spans="1:34" x14ac:dyDescent="0.2">
      <c r="A852" s="347">
        <f t="shared" ca="1" si="383"/>
        <v>1E-4</v>
      </c>
      <c r="B852" s="304">
        <f t="shared" ca="1" si="384"/>
        <v>37.13430000000136</v>
      </c>
      <c r="D852" s="306">
        <f t="shared" ca="1" si="385"/>
        <v>-0.64141759873472126</v>
      </c>
      <c r="E852" s="307">
        <f t="shared" ca="1" si="386"/>
        <v>-0.57500701260924281</v>
      </c>
      <c r="F852" s="304">
        <f t="shared" ca="1" si="387"/>
        <v>0.86142300904748403</v>
      </c>
      <c r="G852" s="306">
        <f t="shared" ca="1" si="388"/>
        <v>7.2202995306993225</v>
      </c>
      <c r="H852" s="307">
        <f t="shared" ca="1" si="389"/>
        <v>-103.95730471859247</v>
      </c>
      <c r="I852" s="304">
        <f t="shared" ca="1" si="390"/>
        <v>104.20774409643126</v>
      </c>
      <c r="J852" s="306">
        <f t="shared" ca="1" si="391"/>
        <v>837.4075040097224</v>
      </c>
      <c r="K852" s="307">
        <f t="shared" ca="1" si="392"/>
        <v>-13.899596289868299</v>
      </c>
      <c r="L852" s="304">
        <f t="shared" ca="1" si="377"/>
        <v>837.52285135918214</v>
      </c>
      <c r="M852" s="306">
        <f t="shared" ca="1" si="393"/>
        <v>-1.5014532153984546</v>
      </c>
      <c r="N852" s="304">
        <f t="shared" ca="1" si="394"/>
        <v>-86.026932378678353</v>
      </c>
      <c r="P852" s="310">
        <f t="shared" ca="1" si="395"/>
        <v>23</v>
      </c>
      <c r="Q852" s="304">
        <f t="shared" ca="1" si="396"/>
        <v>0</v>
      </c>
      <c r="R852" s="306">
        <f t="shared" ca="1" si="397"/>
        <v>0</v>
      </c>
      <c r="S852" s="307">
        <f t="shared" ca="1" si="398"/>
        <v>2.9362999999999984</v>
      </c>
      <c r="T852" s="304">
        <f t="shared" ca="1" si="378"/>
        <v>28.805102999999985</v>
      </c>
      <c r="U852" s="311">
        <f t="shared" ca="1" si="379"/>
        <v>0</v>
      </c>
      <c r="V852" s="306">
        <f t="shared" ca="1" si="380"/>
        <v>1.2267038847109895</v>
      </c>
      <c r="W852" s="304">
        <f t="shared" ca="1" si="381"/>
        <v>27.182092784427255</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0.52918241647611808</v>
      </c>
      <c r="AH852" s="304">
        <f t="shared" ca="1" si="405"/>
        <v>-9.2572410583890008</v>
      </c>
    </row>
    <row r="853" spans="1:34" x14ac:dyDescent="0.2">
      <c r="A853" s="347">
        <f t="shared" ca="1" si="383"/>
        <v>1E-4</v>
      </c>
      <c r="B853" s="304">
        <f t="shared" ca="1" si="384"/>
        <v>37.134400000001364</v>
      </c>
      <c r="D853" s="306">
        <f t="shared" ca="1" si="385"/>
        <v>-0.64141289324590667</v>
      </c>
      <c r="E853" s="307">
        <f t="shared" ca="1" si="386"/>
        <v>-0.57498761442096225</v>
      </c>
      <c r="F853" s="304">
        <f t="shared" ca="1" si="387"/>
        <v>0.86140655695182289</v>
      </c>
      <c r="G853" s="306">
        <f t="shared" ca="1" si="388"/>
        <v>7.2202353894099982</v>
      </c>
      <c r="H853" s="307">
        <f t="shared" ca="1" si="389"/>
        <v>-103.9573622173539</v>
      </c>
      <c r="I853" s="304">
        <f t="shared" ca="1" si="390"/>
        <v>104.20779701283685</v>
      </c>
      <c r="J853" s="306">
        <f t="shared" ca="1" si="391"/>
        <v>837.4075040097224</v>
      </c>
      <c r="K853" s="307">
        <f t="shared" ca="1" si="392"/>
        <v>-13.909992023215096</v>
      </c>
      <c r="L853" s="304">
        <f t="shared" ca="1" si="377"/>
        <v>837.52302395210552</v>
      </c>
      <c r="M853" s="306">
        <f t="shared" ca="1" si="393"/>
        <v>-1.5014538676633604</v>
      </c>
      <c r="N853" s="304">
        <f t="shared" ca="1" si="394"/>
        <v>-86.026969750704581</v>
      </c>
      <c r="P853" s="310">
        <f t="shared" ca="1" si="395"/>
        <v>23</v>
      </c>
      <c r="Q853" s="304">
        <f t="shared" ca="1" si="396"/>
        <v>0</v>
      </c>
      <c r="R853" s="306">
        <f t="shared" ca="1" si="397"/>
        <v>0</v>
      </c>
      <c r="S853" s="307">
        <f t="shared" ca="1" si="398"/>
        <v>2.9362999999999984</v>
      </c>
      <c r="T853" s="304">
        <f t="shared" ca="1" si="378"/>
        <v>28.805102999999985</v>
      </c>
      <c r="U853" s="311">
        <f t="shared" ca="1" si="379"/>
        <v>0</v>
      </c>
      <c r="V853" s="306">
        <f t="shared" ca="1" si="380"/>
        <v>1.2267051599609167</v>
      </c>
      <c r="W853" s="304">
        <f t="shared" ca="1" si="381"/>
        <v>27.182148648253918</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0.52916383429873193</v>
      </c>
      <c r="AH853" s="304">
        <f t="shared" ca="1" si="405"/>
        <v>-9.2572600839244181</v>
      </c>
    </row>
    <row r="854" spans="1:34" x14ac:dyDescent="0.2">
      <c r="A854" s="347">
        <f t="shared" ca="1" si="383"/>
        <v>1E-4</v>
      </c>
      <c r="B854" s="304">
        <f t="shared" ca="1" si="384"/>
        <v>37.134500000001367</v>
      </c>
      <c r="D854" s="306">
        <f t="shared" ca="1" si="385"/>
        <v>-0.64140818777156094</v>
      </c>
      <c r="E854" s="307">
        <f t="shared" ca="1" si="386"/>
        <v>-0.57496821652883057</v>
      </c>
      <c r="F854" s="304">
        <f t="shared" ca="1" si="387"/>
        <v>0.8613901052129298</v>
      </c>
      <c r="G854" s="306">
        <f t="shared" ca="1" si="388"/>
        <v>7.2201712485912211</v>
      </c>
      <c r="H854" s="307">
        <f t="shared" ca="1" si="389"/>
        <v>-103.95741971417556</v>
      </c>
      <c r="I854" s="304">
        <f t="shared" ca="1" si="390"/>
        <v>104.20784992738426</v>
      </c>
      <c r="J854" s="306">
        <f t="shared" ca="1" si="391"/>
        <v>837.4075040097224</v>
      </c>
      <c r="K854" s="307">
        <f t="shared" ca="1" si="392"/>
        <v>-13.920387762311673</v>
      </c>
      <c r="L854" s="304">
        <f t="shared" ca="1" si="377"/>
        <v>837.52319667412576</v>
      </c>
      <c r="M854" s="306">
        <f t="shared" ca="1" si="393"/>
        <v>-1.5014545199218097</v>
      </c>
      <c r="N854" s="304">
        <f t="shared" ca="1" si="394"/>
        <v>-86.027007122360871</v>
      </c>
      <c r="P854" s="310">
        <f t="shared" ca="1" si="395"/>
        <v>23</v>
      </c>
      <c r="Q854" s="304">
        <f t="shared" ca="1" si="396"/>
        <v>0</v>
      </c>
      <c r="R854" s="306">
        <f t="shared" ca="1" si="397"/>
        <v>0</v>
      </c>
      <c r="S854" s="307">
        <f t="shared" ca="1" si="398"/>
        <v>2.9362999999999984</v>
      </c>
      <c r="T854" s="304">
        <f t="shared" ca="1" si="378"/>
        <v>28.805102999999985</v>
      </c>
      <c r="U854" s="311">
        <f t="shared" ca="1" si="379"/>
        <v>0</v>
      </c>
      <c r="V854" s="306">
        <f t="shared" ca="1" si="380"/>
        <v>1.226706435212876</v>
      </c>
      <c r="W854" s="304">
        <f t="shared" ca="1" si="381"/>
        <v>27.182204511227635</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0.52914525240328736</v>
      </c>
      <c r="AH854" s="304">
        <f t="shared" ca="1" si="405"/>
        <v>-9.2572791091693407</v>
      </c>
    </row>
    <row r="855" spans="1:34" x14ac:dyDescent="0.2">
      <c r="A855" s="347">
        <f t="shared" ca="1" si="383"/>
        <v>1E-4</v>
      </c>
      <c r="B855" s="304">
        <f t="shared" ca="1" si="384"/>
        <v>37.13460000000137</v>
      </c>
      <c r="D855" s="306">
        <f t="shared" ca="1" si="385"/>
        <v>-0.64140348231168354</v>
      </c>
      <c r="E855" s="307">
        <f t="shared" ca="1" si="386"/>
        <v>-0.57494881893283711</v>
      </c>
      <c r="F855" s="304">
        <f t="shared" ca="1" si="387"/>
        <v>0.86137365383079745</v>
      </c>
      <c r="G855" s="306">
        <f t="shared" ca="1" si="388"/>
        <v>7.2201071082429902</v>
      </c>
      <c r="H855" s="307">
        <f t="shared" ca="1" si="389"/>
        <v>-103.95747720905744</v>
      </c>
      <c r="I855" s="304">
        <f t="shared" ca="1" si="390"/>
        <v>104.2079028400735</v>
      </c>
      <c r="J855" s="306">
        <f t="shared" ca="1" si="391"/>
        <v>837.4075040097224</v>
      </c>
      <c r="K855" s="307">
        <f t="shared" ca="1" si="392"/>
        <v>-13.930783507157836</v>
      </c>
      <c r="L855" s="304">
        <f t="shared" ca="1" si="377"/>
        <v>837.52336952524297</v>
      </c>
      <c r="M855" s="306">
        <f t="shared" ca="1" si="393"/>
        <v>-1.5014551721738021</v>
      </c>
      <c r="N855" s="304">
        <f t="shared" ca="1" si="394"/>
        <v>-86.027044493647224</v>
      </c>
      <c r="P855" s="310">
        <f t="shared" ca="1" si="395"/>
        <v>23</v>
      </c>
      <c r="Q855" s="304">
        <f t="shared" ca="1" si="396"/>
        <v>0</v>
      </c>
      <c r="R855" s="306">
        <f t="shared" ca="1" si="397"/>
        <v>0</v>
      </c>
      <c r="S855" s="307">
        <f t="shared" ca="1" si="398"/>
        <v>2.9362999999999984</v>
      </c>
      <c r="T855" s="304">
        <f t="shared" ca="1" si="378"/>
        <v>28.805102999999985</v>
      </c>
      <c r="U855" s="311">
        <f t="shared" ca="1" si="379"/>
        <v>0</v>
      </c>
      <c r="V855" s="306">
        <f t="shared" ca="1" si="380"/>
        <v>1.2267077104668676</v>
      </c>
      <c r="W855" s="304">
        <f t="shared" ca="1" si="381"/>
        <v>27.182260373348406</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0.52912667078977371</v>
      </c>
      <c r="AH855" s="304">
        <f t="shared" ca="1" si="405"/>
        <v>-9.2572981341237774</v>
      </c>
    </row>
    <row r="856" spans="1:34" x14ac:dyDescent="0.2">
      <c r="A856" s="347">
        <f t="shared" ca="1" si="383"/>
        <v>1E-4</v>
      </c>
      <c r="B856" s="304">
        <f t="shared" ca="1" si="384"/>
        <v>37.134700000001374</v>
      </c>
      <c r="D856" s="306">
        <f t="shared" ca="1" si="385"/>
        <v>-0.64139877686627744</v>
      </c>
      <c r="E856" s="307">
        <f t="shared" ca="1" si="386"/>
        <v>-0.57492942163297656</v>
      </c>
      <c r="F856" s="304">
        <f t="shared" ca="1" si="387"/>
        <v>0.86135720280542472</v>
      </c>
      <c r="G856" s="306">
        <f t="shared" ca="1" si="388"/>
        <v>7.2200429683653038</v>
      </c>
      <c r="H856" s="307">
        <f t="shared" ca="1" si="389"/>
        <v>-103.95753470199961</v>
      </c>
      <c r="I856" s="304">
        <f t="shared" ca="1" si="390"/>
        <v>104.2079557509046</v>
      </c>
      <c r="J856" s="306">
        <f t="shared" ca="1" si="391"/>
        <v>837.4075040097224</v>
      </c>
      <c r="K856" s="307">
        <f t="shared" ca="1" si="392"/>
        <v>-13.941179257753388</v>
      </c>
      <c r="L856" s="304">
        <f t="shared" ca="1" si="377"/>
        <v>837.52354250545704</v>
      </c>
      <c r="M856" s="306">
        <f t="shared" ca="1" si="393"/>
        <v>-1.5014558244193377</v>
      </c>
      <c r="N856" s="304">
        <f t="shared" ca="1" si="394"/>
        <v>-86.027081864563613</v>
      </c>
      <c r="P856" s="310">
        <f t="shared" ca="1" si="395"/>
        <v>23</v>
      </c>
      <c r="Q856" s="304">
        <f t="shared" ca="1" si="396"/>
        <v>0</v>
      </c>
      <c r="R856" s="306">
        <f t="shared" ca="1" si="397"/>
        <v>0</v>
      </c>
      <c r="S856" s="307">
        <f t="shared" ca="1" si="398"/>
        <v>2.9362999999999984</v>
      </c>
      <c r="T856" s="304">
        <f t="shared" ca="1" si="378"/>
        <v>28.805102999999985</v>
      </c>
      <c r="U856" s="311">
        <f t="shared" ca="1" si="379"/>
        <v>0</v>
      </c>
      <c r="V856" s="306">
        <f t="shared" ca="1" si="380"/>
        <v>1.2267089857228903</v>
      </c>
      <c r="W856" s="304">
        <f t="shared" ca="1" si="381"/>
        <v>27.182316234616209</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0.52910808945819277</v>
      </c>
      <c r="AH856" s="304">
        <f t="shared" ca="1" si="405"/>
        <v>-9.2573171587877336</v>
      </c>
    </row>
    <row r="857" spans="1:34" x14ac:dyDescent="0.2">
      <c r="A857" s="347">
        <f t="shared" ca="1" si="383"/>
        <v>1E-4</v>
      </c>
      <c r="B857" s="304">
        <f t="shared" ca="1" si="384"/>
        <v>37.134800000001377</v>
      </c>
      <c r="D857" s="306">
        <f t="shared" ca="1" si="385"/>
        <v>-0.64139407143534322</v>
      </c>
      <c r="E857" s="307">
        <f t="shared" ca="1" si="386"/>
        <v>-0.57491002462926133</v>
      </c>
      <c r="F857" s="304">
        <f t="shared" ca="1" si="387"/>
        <v>0.86134075213682071</v>
      </c>
      <c r="G857" s="306">
        <f t="shared" ca="1" si="388"/>
        <v>7.2199788289581601</v>
      </c>
      <c r="H857" s="307">
        <f t="shared" ca="1" si="389"/>
        <v>-103.95759219300207</v>
      </c>
      <c r="I857" s="304">
        <f t="shared" ca="1" si="390"/>
        <v>104.20800865987762</v>
      </c>
      <c r="J857" s="306">
        <f t="shared" ca="1" si="391"/>
        <v>837.4075040097224</v>
      </c>
      <c r="K857" s="307">
        <f t="shared" ca="1" si="392"/>
        <v>-13.951575014098138</v>
      </c>
      <c r="L857" s="304">
        <f t="shared" ca="1" si="377"/>
        <v>837.52371561476832</v>
      </c>
      <c r="M857" s="306">
        <f t="shared" ca="1" si="393"/>
        <v>-1.5014564766584171</v>
      </c>
      <c r="N857" s="304">
        <f t="shared" ca="1" si="394"/>
        <v>-86.027119235110106</v>
      </c>
      <c r="P857" s="310">
        <f t="shared" ca="1" si="395"/>
        <v>23</v>
      </c>
      <c r="Q857" s="304">
        <f t="shared" ca="1" si="396"/>
        <v>0</v>
      </c>
      <c r="R857" s="306">
        <f t="shared" ca="1" si="397"/>
        <v>0</v>
      </c>
      <c r="S857" s="307">
        <f t="shared" ca="1" si="398"/>
        <v>2.9362999999999984</v>
      </c>
      <c r="T857" s="304">
        <f t="shared" ca="1" si="378"/>
        <v>28.805102999999985</v>
      </c>
      <c r="U857" s="311">
        <f t="shared" ca="1" si="379"/>
        <v>0</v>
      </c>
      <c r="V857" s="306">
        <f t="shared" ca="1" si="380"/>
        <v>1.2267102609809457</v>
      </c>
      <c r="W857" s="304">
        <f t="shared" ca="1" si="381"/>
        <v>27.182372095031109</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0.52908950840854807</v>
      </c>
      <c r="AH857" s="304">
        <f t="shared" ca="1" si="405"/>
        <v>-9.2573361831611969</v>
      </c>
    </row>
    <row r="858" spans="1:34" x14ac:dyDescent="0.2">
      <c r="A858" s="347">
        <f t="shared" ca="1" si="383"/>
        <v>1E-4</v>
      </c>
      <c r="B858" s="304">
        <f t="shared" ca="1" si="384"/>
        <v>37.13490000000138</v>
      </c>
      <c r="D858" s="306">
        <f t="shared" ca="1" si="385"/>
        <v>-0.6413893660188773</v>
      </c>
      <c r="E858" s="307">
        <f t="shared" ca="1" si="386"/>
        <v>-0.57489062792166656</v>
      </c>
      <c r="F858" s="304">
        <f t="shared" ca="1" si="387"/>
        <v>0.86132430182496622</v>
      </c>
      <c r="G858" s="306">
        <f t="shared" ca="1" si="388"/>
        <v>7.2199146900215583</v>
      </c>
      <c r="H858" s="307">
        <f t="shared" ca="1" si="389"/>
        <v>-103.95764968206487</v>
      </c>
      <c r="I858" s="304">
        <f t="shared" ca="1" si="390"/>
        <v>104.20806156699255</v>
      </c>
      <c r="J858" s="306">
        <f t="shared" ca="1" si="391"/>
        <v>837.4075040097224</v>
      </c>
      <c r="K858" s="307">
        <f t="shared" ca="1" si="392"/>
        <v>-13.96197077619189</v>
      </c>
      <c r="L858" s="304">
        <f t="shared" ca="1" si="377"/>
        <v>837.5238888531768</v>
      </c>
      <c r="M858" s="306">
        <f t="shared" ca="1" si="393"/>
        <v>-1.5014571288910397</v>
      </c>
      <c r="N858" s="304">
        <f t="shared" ca="1" si="394"/>
        <v>-86.027156605286635</v>
      </c>
      <c r="P858" s="310">
        <f t="shared" ca="1" si="395"/>
        <v>23</v>
      </c>
      <c r="Q858" s="304">
        <f t="shared" ca="1" si="396"/>
        <v>0</v>
      </c>
      <c r="R858" s="306">
        <f t="shared" ca="1" si="397"/>
        <v>0</v>
      </c>
      <c r="S858" s="307">
        <f t="shared" ca="1" si="398"/>
        <v>2.9362999999999984</v>
      </c>
      <c r="T858" s="304">
        <f t="shared" ca="1" si="378"/>
        <v>28.805102999999985</v>
      </c>
      <c r="U858" s="311">
        <f t="shared" ca="1" si="379"/>
        <v>0</v>
      </c>
      <c r="V858" s="306">
        <f t="shared" ca="1" si="380"/>
        <v>1.2267115362410326</v>
      </c>
      <c r="W858" s="304">
        <f t="shared" ca="1" si="381"/>
        <v>27.182427954593074</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0.52907092764082186</v>
      </c>
      <c r="AH858" s="304">
        <f t="shared" ca="1" si="405"/>
        <v>-9.2573552072441938</v>
      </c>
    </row>
    <row r="859" spans="1:34" x14ac:dyDescent="0.2">
      <c r="A859" s="347">
        <f t="shared" ca="1" si="383"/>
        <v>1E-4</v>
      </c>
      <c r="B859" s="304">
        <f t="shared" ca="1" si="384"/>
        <v>37.135000000001384</v>
      </c>
      <c r="D859" s="306">
        <f t="shared" ca="1" si="385"/>
        <v>-0.6413846606168857</v>
      </c>
      <c r="E859" s="307">
        <f t="shared" ca="1" si="386"/>
        <v>-0.57487123151020469</v>
      </c>
      <c r="F859" s="304">
        <f t="shared" ca="1" si="387"/>
        <v>0.86130785186987413</v>
      </c>
      <c r="G859" s="306">
        <f t="shared" ca="1" si="388"/>
        <v>7.2198505515554965</v>
      </c>
      <c r="H859" s="307">
        <f t="shared" ca="1" si="389"/>
        <v>-103.95770716918803</v>
      </c>
      <c r="I859" s="304">
        <f t="shared" ca="1" si="390"/>
        <v>104.20811447224945</v>
      </c>
      <c r="J859" s="306">
        <f t="shared" ca="1" si="391"/>
        <v>837.4075040097224</v>
      </c>
      <c r="K859" s="307">
        <f t="shared" ca="1" si="392"/>
        <v>-13.972366544034452</v>
      </c>
      <c r="L859" s="304">
        <f t="shared" ca="1" si="377"/>
        <v>837.52406222068282</v>
      </c>
      <c r="M859" s="306">
        <f t="shared" ca="1" si="393"/>
        <v>-1.5014577811172061</v>
      </c>
      <c r="N859" s="304">
        <f t="shared" ca="1" si="394"/>
        <v>-86.027193975093255</v>
      </c>
      <c r="P859" s="310">
        <f t="shared" ca="1" si="395"/>
        <v>23</v>
      </c>
      <c r="Q859" s="304">
        <f t="shared" ca="1" si="396"/>
        <v>0</v>
      </c>
      <c r="R859" s="306">
        <f t="shared" ca="1" si="397"/>
        <v>0</v>
      </c>
      <c r="S859" s="307">
        <f t="shared" ca="1" si="398"/>
        <v>2.9362999999999984</v>
      </c>
      <c r="T859" s="304">
        <f t="shared" ca="1" si="378"/>
        <v>28.805102999999985</v>
      </c>
      <c r="U859" s="311">
        <f t="shared" ca="1" si="379"/>
        <v>0</v>
      </c>
      <c r="V859" s="306">
        <f t="shared" ca="1" si="380"/>
        <v>1.2267128115031516</v>
      </c>
      <c r="W859" s="304">
        <f t="shared" ca="1" si="381"/>
        <v>27.182483813302142</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0.5290523471550248</v>
      </c>
      <c r="AH859" s="304">
        <f t="shared" ca="1" si="405"/>
        <v>-9.2573742310367084</v>
      </c>
    </row>
    <row r="860" spans="1:34" x14ac:dyDescent="0.2">
      <c r="A860" s="347">
        <f t="shared" ca="1" si="383"/>
        <v>1E-4</v>
      </c>
      <c r="B860" s="304">
        <f t="shared" ca="1" si="384"/>
        <v>37.135100000001387</v>
      </c>
      <c r="D860" s="306">
        <f t="shared" ca="1" si="385"/>
        <v>-0.64137995522936453</v>
      </c>
      <c r="E860" s="307">
        <f t="shared" ca="1" si="386"/>
        <v>-0.57485183539486151</v>
      </c>
      <c r="F860" s="304">
        <f t="shared" ca="1" si="387"/>
        <v>0.86129140227153245</v>
      </c>
      <c r="G860" s="306">
        <f t="shared" ca="1" si="388"/>
        <v>7.2197864135599739</v>
      </c>
      <c r="H860" s="307">
        <f t="shared" ca="1" si="389"/>
        <v>-103.95776465437156</v>
      </c>
      <c r="I860" s="304">
        <f t="shared" ca="1" si="390"/>
        <v>104.2081673756483</v>
      </c>
      <c r="J860" s="306">
        <f t="shared" ca="1" si="391"/>
        <v>837.4075040097224</v>
      </c>
      <c r="K860" s="307">
        <f t="shared" ca="1" si="392"/>
        <v>-13.98276231762563</v>
      </c>
      <c r="L860" s="304">
        <f t="shared" ca="1" si="377"/>
        <v>837.52423571728627</v>
      </c>
      <c r="M860" s="306">
        <f t="shared" ca="1" si="393"/>
        <v>-1.5014584333369161</v>
      </c>
      <c r="N860" s="304">
        <f t="shared" ca="1" si="394"/>
        <v>-86.027231344529952</v>
      </c>
      <c r="P860" s="310">
        <f t="shared" ca="1" si="395"/>
        <v>23</v>
      </c>
      <c r="Q860" s="304">
        <f t="shared" ca="1" si="396"/>
        <v>0</v>
      </c>
      <c r="R860" s="306">
        <f t="shared" ca="1" si="397"/>
        <v>0</v>
      </c>
      <c r="S860" s="307">
        <f t="shared" ca="1" si="398"/>
        <v>2.9362999999999984</v>
      </c>
      <c r="T860" s="304">
        <f t="shared" ca="1" si="378"/>
        <v>28.805102999999985</v>
      </c>
      <c r="U860" s="311">
        <f t="shared" ca="1" si="379"/>
        <v>0</v>
      </c>
      <c r="V860" s="306">
        <f t="shared" ca="1" si="380"/>
        <v>1.2267140867673019</v>
      </c>
      <c r="W860" s="304">
        <f t="shared" ca="1" si="381"/>
        <v>27.182539671158274</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0.5290337669511409</v>
      </c>
      <c r="AH860" s="304">
        <f t="shared" ca="1" si="405"/>
        <v>-9.2573932545387585</v>
      </c>
    </row>
    <row r="861" spans="1:34" x14ac:dyDescent="0.2">
      <c r="A861" s="347">
        <f t="shared" ca="1" si="383"/>
        <v>1E-4</v>
      </c>
      <c r="B861" s="304">
        <f t="shared" ca="1" si="384"/>
        <v>37.13520000000139</v>
      </c>
      <c r="D861" s="306">
        <f t="shared" ca="1" si="385"/>
        <v>-0.64137524985631544</v>
      </c>
      <c r="E861" s="307">
        <f t="shared" ca="1" si="386"/>
        <v>-0.57483243957564945</v>
      </c>
      <c r="F861" s="304">
        <f t="shared" ca="1" si="387"/>
        <v>0.86127495302995072</v>
      </c>
      <c r="G861" s="306">
        <f t="shared" ca="1" si="388"/>
        <v>7.2197222760349886</v>
      </c>
      <c r="H861" s="307">
        <f t="shared" ca="1" si="389"/>
        <v>-103.95782213761552</v>
      </c>
      <c r="I861" s="304">
        <f t="shared" ca="1" si="390"/>
        <v>104.20822027718917</v>
      </c>
      <c r="J861" s="306">
        <f t="shared" ca="1" si="391"/>
        <v>837.4075040097224</v>
      </c>
      <c r="K861" s="307">
        <f t="shared" ca="1" si="392"/>
        <v>-13.99315809696523</v>
      </c>
      <c r="L861" s="304">
        <f t="shared" ca="1" si="377"/>
        <v>837.52440934298738</v>
      </c>
      <c r="M861" s="306">
        <f t="shared" ca="1" si="393"/>
        <v>-1.5014590855501699</v>
      </c>
      <c r="N861" s="304">
        <f t="shared" ca="1" si="394"/>
        <v>-86.02726871359674</v>
      </c>
      <c r="P861" s="310">
        <f t="shared" ca="1" si="395"/>
        <v>23</v>
      </c>
      <c r="Q861" s="304">
        <f t="shared" ca="1" si="396"/>
        <v>0</v>
      </c>
      <c r="R861" s="306">
        <f t="shared" ca="1" si="397"/>
        <v>0</v>
      </c>
      <c r="S861" s="307">
        <f t="shared" ca="1" si="398"/>
        <v>2.9362999999999984</v>
      </c>
      <c r="T861" s="304">
        <f t="shared" ca="1" si="378"/>
        <v>28.805102999999985</v>
      </c>
      <c r="U861" s="311">
        <f t="shared" ca="1" si="379"/>
        <v>0</v>
      </c>
      <c r="V861" s="306">
        <f t="shared" ca="1" si="380"/>
        <v>1.2267153620334845</v>
      </c>
      <c r="W861" s="304">
        <f t="shared" ca="1" si="381"/>
        <v>27.182595528161542</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0.52901518702918615</v>
      </c>
      <c r="AH861" s="304">
        <f t="shared" ca="1" si="405"/>
        <v>-9.257412277750328</v>
      </c>
    </row>
    <row r="862" spans="1:34" x14ac:dyDescent="0.2">
      <c r="A862" s="347">
        <f t="shared" ca="1" si="383"/>
        <v>1E-4</v>
      </c>
      <c r="B862" s="304">
        <f t="shared" ca="1" si="384"/>
        <v>37.135300000001394</v>
      </c>
      <c r="D862" s="306">
        <f t="shared" ca="1" si="385"/>
        <v>-0.64137054449773923</v>
      </c>
      <c r="E862" s="307">
        <f t="shared" ca="1" si="386"/>
        <v>-0.57481304405254541</v>
      </c>
      <c r="F862" s="304">
        <f t="shared" ca="1" si="387"/>
        <v>0.8612585041451144</v>
      </c>
      <c r="G862" s="306">
        <f t="shared" ca="1" si="388"/>
        <v>7.219658138980539</v>
      </c>
      <c r="H862" s="307">
        <f t="shared" ca="1" si="389"/>
        <v>-103.95787961891993</v>
      </c>
      <c r="I862" s="304">
        <f t="shared" ca="1" si="390"/>
        <v>104.20827317687208</v>
      </c>
      <c r="J862" s="306">
        <f t="shared" ca="1" si="391"/>
        <v>837.4075040097224</v>
      </c>
      <c r="K862" s="307">
        <f t="shared" ca="1" si="392"/>
        <v>-14.003553882053057</v>
      </c>
      <c r="L862" s="304">
        <f t="shared" ca="1" si="377"/>
        <v>837.52458309778626</v>
      </c>
      <c r="M862" s="306">
        <f t="shared" ca="1" si="393"/>
        <v>-1.5014597377569676</v>
      </c>
      <c r="N862" s="304">
        <f t="shared" ca="1" si="394"/>
        <v>-86.02730608229362</v>
      </c>
      <c r="P862" s="310">
        <f t="shared" ca="1" si="395"/>
        <v>23</v>
      </c>
      <c r="Q862" s="304">
        <f t="shared" ca="1" si="396"/>
        <v>0</v>
      </c>
      <c r="R862" s="306">
        <f t="shared" ca="1" si="397"/>
        <v>0</v>
      </c>
      <c r="S862" s="307">
        <f t="shared" ca="1" si="398"/>
        <v>2.9362999999999984</v>
      </c>
      <c r="T862" s="304">
        <f t="shared" ca="1" si="378"/>
        <v>28.805102999999985</v>
      </c>
      <c r="U862" s="311">
        <f t="shared" ca="1" si="379"/>
        <v>0</v>
      </c>
      <c r="V862" s="306">
        <f t="shared" ca="1" si="380"/>
        <v>1.2267166373016991</v>
      </c>
      <c r="W862" s="304">
        <f t="shared" ca="1" si="381"/>
        <v>27.182651384311932</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0.52899660738913568</v>
      </c>
      <c r="AH862" s="304">
        <f t="shared" ca="1" si="405"/>
        <v>-9.2574313006714419</v>
      </c>
    </row>
    <row r="863" spans="1:34" x14ac:dyDescent="0.2">
      <c r="A863" s="347">
        <f t="shared" ca="1" si="383"/>
        <v>1E-4</v>
      </c>
      <c r="B863" s="304">
        <f t="shared" ca="1" si="384"/>
        <v>37.135400000001397</v>
      </c>
      <c r="D863" s="306">
        <f t="shared" ca="1" si="385"/>
        <v>-0.64136583915363643</v>
      </c>
      <c r="E863" s="307">
        <f t="shared" ca="1" si="386"/>
        <v>-0.57479364882555295</v>
      </c>
      <c r="F863" s="304">
        <f t="shared" ca="1" si="387"/>
        <v>0.86124205561702649</v>
      </c>
      <c r="G863" s="306">
        <f t="shared" ca="1" si="388"/>
        <v>7.2195940023966232</v>
      </c>
      <c r="H863" s="307">
        <f t="shared" ca="1" si="389"/>
        <v>-103.95793709828482</v>
      </c>
      <c r="I863" s="304">
        <f t="shared" ca="1" si="390"/>
        <v>104.20832607469704</v>
      </c>
      <c r="J863" s="306">
        <f t="shared" ca="1" si="391"/>
        <v>837.4075040097224</v>
      </c>
      <c r="K863" s="307">
        <f t="shared" ca="1" si="392"/>
        <v>-14.013949672888916</v>
      </c>
      <c r="L863" s="304">
        <f t="shared" ca="1" si="377"/>
        <v>837.52475698168325</v>
      </c>
      <c r="M863" s="306">
        <f t="shared" ca="1" si="393"/>
        <v>-1.5014603899573091</v>
      </c>
      <c r="N863" s="304">
        <f t="shared" ca="1" si="394"/>
        <v>-86.027343450620592</v>
      </c>
      <c r="P863" s="310">
        <f t="shared" ca="1" si="395"/>
        <v>23</v>
      </c>
      <c r="Q863" s="304">
        <f t="shared" ca="1" si="396"/>
        <v>0</v>
      </c>
      <c r="R863" s="306">
        <f t="shared" ca="1" si="397"/>
        <v>0</v>
      </c>
      <c r="S863" s="307">
        <f t="shared" ca="1" si="398"/>
        <v>2.9362999999999984</v>
      </c>
      <c r="T863" s="304">
        <f t="shared" ca="1" si="378"/>
        <v>28.805102999999985</v>
      </c>
      <c r="U863" s="311">
        <f t="shared" ca="1" si="379"/>
        <v>0</v>
      </c>
      <c r="V863" s="306">
        <f t="shared" ca="1" si="380"/>
        <v>1.2267179125719452</v>
      </c>
      <c r="W863" s="304">
        <f t="shared" ca="1" si="381"/>
        <v>27.182707239609421</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0.52897802803099481</v>
      </c>
      <c r="AH863" s="304">
        <f t="shared" ca="1" si="405"/>
        <v>-9.2574503233020966</v>
      </c>
    </row>
    <row r="864" spans="1:34" x14ac:dyDescent="0.2">
      <c r="A864" s="347">
        <f t="shared" ca="1" si="383"/>
        <v>1E-4</v>
      </c>
      <c r="B864" s="304">
        <f t="shared" ca="1" si="384"/>
        <v>37.1355000000014</v>
      </c>
      <c r="D864" s="306">
        <f t="shared" ca="1" si="385"/>
        <v>-0.64136113382400761</v>
      </c>
      <c r="E864" s="307">
        <f t="shared" ca="1" si="386"/>
        <v>-0.57477425389468095</v>
      </c>
      <c r="F864" s="304">
        <f t="shared" ca="1" si="387"/>
        <v>0.86122560744569354</v>
      </c>
      <c r="G864" s="306">
        <f t="shared" ca="1" si="388"/>
        <v>7.2195298662832412</v>
      </c>
      <c r="H864" s="307">
        <f t="shared" ca="1" si="389"/>
        <v>-103.9579945757102</v>
      </c>
      <c r="I864" s="304">
        <f t="shared" ca="1" si="390"/>
        <v>104.2083789706641</v>
      </c>
      <c r="J864" s="306">
        <f t="shared" ca="1" si="391"/>
        <v>837.4075040097224</v>
      </c>
      <c r="K864" s="307">
        <f t="shared" ca="1" si="392"/>
        <v>-14.024345469472616</v>
      </c>
      <c r="L864" s="304">
        <f t="shared" ca="1" si="377"/>
        <v>837.52493099467813</v>
      </c>
      <c r="M864" s="306">
        <f t="shared" ca="1" si="393"/>
        <v>-1.5014610421511947</v>
      </c>
      <c r="N864" s="304">
        <f t="shared" ca="1" si="394"/>
        <v>-86.027380818577655</v>
      </c>
      <c r="P864" s="310">
        <f t="shared" ca="1" si="395"/>
        <v>23</v>
      </c>
      <c r="Q864" s="304">
        <f t="shared" ca="1" si="396"/>
        <v>0</v>
      </c>
      <c r="R864" s="306">
        <f t="shared" ca="1" si="397"/>
        <v>0</v>
      </c>
      <c r="S864" s="307">
        <f t="shared" ca="1" si="398"/>
        <v>2.9362999999999984</v>
      </c>
      <c r="T864" s="304">
        <f t="shared" ca="1" si="378"/>
        <v>28.805102999999985</v>
      </c>
      <c r="U864" s="311">
        <f t="shared" ca="1" si="379"/>
        <v>0</v>
      </c>
      <c r="V864" s="306">
        <f t="shared" ca="1" si="380"/>
        <v>1.2267191878442232</v>
      </c>
      <c r="W864" s="304">
        <f t="shared" ca="1" si="381"/>
        <v>27.182763094054071</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0.52895944895477065</v>
      </c>
      <c r="AH864" s="304">
        <f t="shared" ca="1" si="405"/>
        <v>-9.2574693456422832</v>
      </c>
    </row>
    <row r="865" spans="1:34" x14ac:dyDescent="0.2">
      <c r="A865" s="347">
        <f t="shared" ca="1" si="383"/>
        <v>1E-4</v>
      </c>
      <c r="B865" s="304">
        <f t="shared" ca="1" si="384"/>
        <v>37.135600000001403</v>
      </c>
      <c r="D865" s="306">
        <f t="shared" ca="1" si="385"/>
        <v>-0.64135642850885299</v>
      </c>
      <c r="E865" s="307">
        <f t="shared" ca="1" si="386"/>
        <v>-0.5747548592599081</v>
      </c>
      <c r="F865" s="304">
        <f t="shared" ca="1" si="387"/>
        <v>0.86120915963110156</v>
      </c>
      <c r="G865" s="306">
        <f t="shared" ca="1" si="388"/>
        <v>7.2194657306403904</v>
      </c>
      <c r="H865" s="307">
        <f t="shared" ca="1" si="389"/>
        <v>-103.95805205119613</v>
      </c>
      <c r="I865" s="304">
        <f t="shared" ca="1" si="390"/>
        <v>104.20843186477329</v>
      </c>
      <c r="J865" s="306">
        <f t="shared" ca="1" si="391"/>
        <v>837.4075040097224</v>
      </c>
      <c r="K865" s="307">
        <f t="shared" ca="1" si="392"/>
        <v>-14.034741271803961</v>
      </c>
      <c r="L865" s="304">
        <f t="shared" ca="1" si="377"/>
        <v>837.52510513677123</v>
      </c>
      <c r="M865" s="306">
        <f t="shared" ca="1" si="393"/>
        <v>-1.5014616943386243</v>
      </c>
      <c r="N865" s="304">
        <f t="shared" ca="1" si="394"/>
        <v>-86.027418186164823</v>
      </c>
      <c r="P865" s="310">
        <f t="shared" ca="1" si="395"/>
        <v>23</v>
      </c>
      <c r="Q865" s="304">
        <f t="shared" ca="1" si="396"/>
        <v>0</v>
      </c>
      <c r="R865" s="306">
        <f t="shared" ca="1" si="397"/>
        <v>0</v>
      </c>
      <c r="S865" s="307">
        <f t="shared" ca="1" si="398"/>
        <v>2.9362999999999984</v>
      </c>
      <c r="T865" s="304">
        <f t="shared" ca="1" si="378"/>
        <v>28.805102999999985</v>
      </c>
      <c r="U865" s="311">
        <f t="shared" ca="1" si="379"/>
        <v>0</v>
      </c>
      <c r="V865" s="306">
        <f t="shared" ca="1" si="380"/>
        <v>1.2267204631185329</v>
      </c>
      <c r="W865" s="304">
        <f t="shared" ca="1" si="381"/>
        <v>27.182818947645867</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0.52894087016044189</v>
      </c>
      <c r="AH865" s="304">
        <f t="shared" ca="1" si="405"/>
        <v>-9.257488367692023</v>
      </c>
    </row>
    <row r="866" spans="1:34" x14ac:dyDescent="0.2">
      <c r="A866" s="347">
        <f t="shared" ca="1" si="383"/>
        <v>1E-4</v>
      </c>
      <c r="B866" s="304">
        <f t="shared" ca="1" si="384"/>
        <v>37.135700000001407</v>
      </c>
      <c r="D866" s="306">
        <f t="shared" ca="1" si="385"/>
        <v>-0.64135172320817313</v>
      </c>
      <c r="E866" s="307">
        <f t="shared" ca="1" si="386"/>
        <v>-0.57473546492123972</v>
      </c>
      <c r="F866" s="304">
        <f t="shared" ca="1" si="387"/>
        <v>0.86119271217325499</v>
      </c>
      <c r="G866" s="306">
        <f t="shared" ca="1" si="388"/>
        <v>7.2194015954680699</v>
      </c>
      <c r="H866" s="307">
        <f t="shared" ca="1" si="389"/>
        <v>-103.95810952474262</v>
      </c>
      <c r="I866" s="304">
        <f t="shared" ca="1" si="390"/>
        <v>104.20848475702461</v>
      </c>
      <c r="J866" s="306">
        <f t="shared" ca="1" si="391"/>
        <v>837.4075040097224</v>
      </c>
      <c r="K866" s="307">
        <f t="shared" ca="1" si="392"/>
        <v>-14.045137079882759</v>
      </c>
      <c r="L866" s="304">
        <f t="shared" ca="1" si="377"/>
        <v>837.52527940796267</v>
      </c>
      <c r="M866" s="306">
        <f t="shared" ca="1" si="393"/>
        <v>-1.501462346519598</v>
      </c>
      <c r="N866" s="304">
        <f t="shared" ca="1" si="394"/>
        <v>-86.027455553382097</v>
      </c>
      <c r="P866" s="310">
        <f t="shared" ca="1" si="395"/>
        <v>23</v>
      </c>
      <c r="Q866" s="304">
        <f t="shared" ca="1" si="396"/>
        <v>0</v>
      </c>
      <c r="R866" s="306">
        <f t="shared" ca="1" si="397"/>
        <v>0</v>
      </c>
      <c r="S866" s="307">
        <f t="shared" ca="1" si="398"/>
        <v>2.9362999999999984</v>
      </c>
      <c r="T866" s="304">
        <f t="shared" ca="1" si="378"/>
        <v>28.805102999999985</v>
      </c>
      <c r="U866" s="311">
        <f t="shared" ca="1" si="379"/>
        <v>0</v>
      </c>
      <c r="V866" s="306">
        <f t="shared" ca="1" si="380"/>
        <v>1.2267217383948745</v>
      </c>
      <c r="W866" s="304">
        <f t="shared" ca="1" si="381"/>
        <v>27.182874800384809</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0.52892229164801563</v>
      </c>
      <c r="AH866" s="304">
        <f t="shared" ca="1" si="405"/>
        <v>-9.2575073894513107</v>
      </c>
    </row>
    <row r="867" spans="1:34" x14ac:dyDescent="0.2">
      <c r="A867" s="347">
        <f t="shared" ca="1" si="383"/>
        <v>1E-4</v>
      </c>
      <c r="B867" s="304">
        <f t="shared" ca="1" si="384"/>
        <v>37.13580000000141</v>
      </c>
      <c r="D867" s="306">
        <f t="shared" ca="1" si="385"/>
        <v>-0.64134701792196913</v>
      </c>
      <c r="E867" s="307">
        <f t="shared" ca="1" si="386"/>
        <v>-0.57471607087867405</v>
      </c>
      <c r="F867" s="304">
        <f t="shared" ca="1" si="387"/>
        <v>0.86117626507215339</v>
      </c>
      <c r="G867" s="306">
        <f t="shared" ca="1" si="388"/>
        <v>7.2193374607662779</v>
      </c>
      <c r="H867" s="307">
        <f t="shared" ca="1" si="389"/>
        <v>-103.95816699634972</v>
      </c>
      <c r="I867" s="304">
        <f t="shared" ca="1" si="390"/>
        <v>104.20853764741813</v>
      </c>
      <c r="J867" s="306">
        <f t="shared" ca="1" si="391"/>
        <v>837.4075040097224</v>
      </c>
      <c r="K867" s="307">
        <f t="shared" ca="1" si="392"/>
        <v>-14.055532893708813</v>
      </c>
      <c r="L867" s="304">
        <f t="shared" ca="1" si="377"/>
        <v>837.52545380825256</v>
      </c>
      <c r="M867" s="306">
        <f t="shared" ca="1" si="393"/>
        <v>-1.5014629986941159</v>
      </c>
      <c r="N867" s="304">
        <f t="shared" ca="1" si="394"/>
        <v>-86.027492920229477</v>
      </c>
      <c r="P867" s="310">
        <f t="shared" ca="1" si="395"/>
        <v>23</v>
      </c>
      <c r="Q867" s="304">
        <f t="shared" ca="1" si="396"/>
        <v>0</v>
      </c>
      <c r="R867" s="306">
        <f t="shared" ca="1" si="397"/>
        <v>0</v>
      </c>
      <c r="S867" s="307">
        <f t="shared" ca="1" si="398"/>
        <v>2.9362999999999984</v>
      </c>
      <c r="T867" s="304">
        <f t="shared" ca="1" si="378"/>
        <v>28.805102999999985</v>
      </c>
      <c r="U867" s="311">
        <f t="shared" ca="1" si="379"/>
        <v>0</v>
      </c>
      <c r="V867" s="306">
        <f t="shared" ca="1" si="380"/>
        <v>1.2267230136732474</v>
      </c>
      <c r="W867" s="304">
        <f t="shared" ca="1" si="381"/>
        <v>27.18293065227093</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0.52890371341749187</v>
      </c>
      <c r="AH867" s="304">
        <f t="shared" ca="1" si="405"/>
        <v>-9.2575264109201463</v>
      </c>
    </row>
    <row r="868" spans="1:34" x14ac:dyDescent="0.2">
      <c r="A868" s="347">
        <f t="shared" ca="1" si="383"/>
        <v>1E-4</v>
      </c>
      <c r="B868" s="304">
        <f t="shared" ca="1" si="384"/>
        <v>37.135900000001413</v>
      </c>
      <c r="D868" s="306">
        <f t="shared" ca="1" si="385"/>
        <v>-0.64134231265024033</v>
      </c>
      <c r="E868" s="307">
        <f t="shared" ca="1" si="386"/>
        <v>-0.57469667713220218</v>
      </c>
      <c r="F868" s="304">
        <f t="shared" ca="1" si="387"/>
        <v>0.86115981832779065</v>
      </c>
      <c r="G868" s="306">
        <f t="shared" ca="1" si="388"/>
        <v>7.2192733265350126</v>
      </c>
      <c r="H868" s="307">
        <f t="shared" ca="1" si="389"/>
        <v>-103.95822446601743</v>
      </c>
      <c r="I868" s="304">
        <f t="shared" ca="1" si="390"/>
        <v>104.20859053595382</v>
      </c>
      <c r="J868" s="306">
        <f t="shared" ca="1" si="391"/>
        <v>837.4075040097224</v>
      </c>
      <c r="K868" s="307">
        <f t="shared" ca="1" si="392"/>
        <v>-14.065928713281931</v>
      </c>
      <c r="L868" s="304">
        <f t="shared" ca="1" si="377"/>
        <v>837.52562833764102</v>
      </c>
      <c r="M868" s="306">
        <f t="shared" ca="1" si="393"/>
        <v>-1.5014636508621784</v>
      </c>
      <c r="N868" s="304">
        <f t="shared" ca="1" si="394"/>
        <v>-86.027530286706991</v>
      </c>
      <c r="P868" s="310">
        <f t="shared" ca="1" si="395"/>
        <v>23</v>
      </c>
      <c r="Q868" s="304">
        <f t="shared" ca="1" si="396"/>
        <v>0</v>
      </c>
      <c r="R868" s="306">
        <f t="shared" ca="1" si="397"/>
        <v>0</v>
      </c>
      <c r="S868" s="307">
        <f t="shared" ca="1" si="398"/>
        <v>2.9362999999999984</v>
      </c>
      <c r="T868" s="304">
        <f t="shared" ca="1" si="378"/>
        <v>28.805102999999985</v>
      </c>
      <c r="U868" s="311">
        <f t="shared" ca="1" si="379"/>
        <v>0</v>
      </c>
      <c r="V868" s="306">
        <f t="shared" ca="1" si="380"/>
        <v>1.226724288953652</v>
      </c>
      <c r="W868" s="304">
        <f t="shared" ca="1" si="381"/>
        <v>27.182986503304207</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0.52888513546885996</v>
      </c>
      <c r="AH868" s="304">
        <f t="shared" ca="1" si="405"/>
        <v>-9.2575454320985404</v>
      </c>
    </row>
    <row r="869" spans="1:34" x14ac:dyDescent="0.2">
      <c r="A869" s="347">
        <f t="shared" ca="1" si="383"/>
        <v>1E-4</v>
      </c>
      <c r="B869" s="304">
        <f t="shared" ca="1" si="384"/>
        <v>37.136000000001417</v>
      </c>
      <c r="D869" s="306">
        <f t="shared" ca="1" si="385"/>
        <v>-0.64133760739298551</v>
      </c>
      <c r="E869" s="307">
        <f t="shared" ca="1" si="386"/>
        <v>-0.57467728368182769</v>
      </c>
      <c r="F869" s="304">
        <f t="shared" ca="1" si="387"/>
        <v>0.86114337194016832</v>
      </c>
      <c r="G869" s="306">
        <f t="shared" ca="1" si="388"/>
        <v>7.2192091927742732</v>
      </c>
      <c r="H869" s="307">
        <f t="shared" ca="1" si="389"/>
        <v>-103.95828193374579</v>
      </c>
      <c r="I869" s="304">
        <f t="shared" ca="1" si="390"/>
        <v>104.20864342263177</v>
      </c>
      <c r="J869" s="306">
        <f t="shared" ca="1" si="391"/>
        <v>837.4075040097224</v>
      </c>
      <c r="K869" s="307">
        <f t="shared" ca="1" si="392"/>
        <v>-14.076324538601918</v>
      </c>
      <c r="L869" s="304">
        <f t="shared" ca="1" si="377"/>
        <v>837.52580299612816</v>
      </c>
      <c r="M869" s="306">
        <f t="shared" ca="1" si="393"/>
        <v>-1.5014643030237849</v>
      </c>
      <c r="N869" s="304">
        <f t="shared" ca="1" si="394"/>
        <v>-86.027567652814596</v>
      </c>
      <c r="P869" s="310">
        <f t="shared" ca="1" si="395"/>
        <v>23</v>
      </c>
      <c r="Q869" s="304">
        <f t="shared" ca="1" si="396"/>
        <v>0</v>
      </c>
      <c r="R869" s="306">
        <f t="shared" ca="1" si="397"/>
        <v>0</v>
      </c>
      <c r="S869" s="307">
        <f t="shared" ca="1" si="398"/>
        <v>2.9362999999999984</v>
      </c>
      <c r="T869" s="304">
        <f t="shared" ca="1" si="378"/>
        <v>28.805102999999985</v>
      </c>
      <c r="U869" s="311">
        <f t="shared" ca="1" si="379"/>
        <v>0</v>
      </c>
      <c r="V869" s="306">
        <f t="shared" ca="1" si="380"/>
        <v>1.2267255642360886</v>
      </c>
      <c r="W869" s="304">
        <f t="shared" ca="1" si="381"/>
        <v>27.183042353484694</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0.52886655780212344</v>
      </c>
      <c r="AH869" s="304">
        <f t="shared" ca="1" si="405"/>
        <v>-9.2575644529864878</v>
      </c>
    </row>
    <row r="870" spans="1:34" x14ac:dyDescent="0.2">
      <c r="A870" s="347">
        <f t="shared" ca="1" si="383"/>
        <v>1E-4</v>
      </c>
      <c r="B870" s="304">
        <f t="shared" ca="1" si="384"/>
        <v>37.13610000000142</v>
      </c>
      <c r="D870" s="306">
        <f t="shared" ca="1" si="385"/>
        <v>-0.64133290215021077</v>
      </c>
      <c r="E870" s="307">
        <f t="shared" ca="1" si="386"/>
        <v>-0.57465789052753813</v>
      </c>
      <c r="F870" s="304">
        <f t="shared" ca="1" si="387"/>
        <v>0.86112692590928308</v>
      </c>
      <c r="G870" s="306">
        <f t="shared" ca="1" si="388"/>
        <v>7.2191450594840578</v>
      </c>
      <c r="H870" s="307">
        <f t="shared" ca="1" si="389"/>
        <v>-103.95833939953485</v>
      </c>
      <c r="I870" s="304">
        <f t="shared" ca="1" si="390"/>
        <v>104.20869630745197</v>
      </c>
      <c r="J870" s="306">
        <f t="shared" ca="1" si="391"/>
        <v>837.4075040097224</v>
      </c>
      <c r="K870" s="307">
        <f t="shared" ca="1" si="392"/>
        <v>-14.086720369668582</v>
      </c>
      <c r="L870" s="304">
        <f t="shared" ca="1" si="377"/>
        <v>837.5259777837141</v>
      </c>
      <c r="M870" s="306">
        <f t="shared" ca="1" si="393"/>
        <v>-1.5014649551789361</v>
      </c>
      <c r="N870" s="304">
        <f t="shared" ca="1" si="394"/>
        <v>-86.02760501855235</v>
      </c>
      <c r="P870" s="310">
        <f t="shared" ca="1" si="395"/>
        <v>23</v>
      </c>
      <c r="Q870" s="304">
        <f t="shared" ca="1" si="396"/>
        <v>0</v>
      </c>
      <c r="R870" s="306">
        <f t="shared" ca="1" si="397"/>
        <v>0</v>
      </c>
      <c r="S870" s="307">
        <f t="shared" ca="1" si="398"/>
        <v>2.9362999999999984</v>
      </c>
      <c r="T870" s="304">
        <f t="shared" ca="1" si="378"/>
        <v>28.805102999999985</v>
      </c>
      <c r="U870" s="311">
        <f t="shared" ca="1" si="379"/>
        <v>0</v>
      </c>
      <c r="V870" s="306">
        <f t="shared" ca="1" si="380"/>
        <v>1.2267268395205568</v>
      </c>
      <c r="W870" s="304">
        <f t="shared" ca="1" si="381"/>
        <v>27.183098202812371</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0.5288479804172681</v>
      </c>
      <c r="AH870" s="304">
        <f t="shared" ca="1" si="405"/>
        <v>-9.2575834735840044</v>
      </c>
    </row>
    <row r="871" spans="1:34" x14ac:dyDescent="0.2">
      <c r="A871" s="347">
        <f t="shared" ca="1" si="383"/>
        <v>1E-4</v>
      </c>
      <c r="B871" s="304">
        <f t="shared" ca="1" si="384"/>
        <v>37.136200000001423</v>
      </c>
      <c r="D871" s="306">
        <f t="shared" ca="1" si="385"/>
        <v>-0.64132819692191045</v>
      </c>
      <c r="E871" s="307">
        <f t="shared" ca="1" si="386"/>
        <v>-0.57463849766933706</v>
      </c>
      <c r="F871" s="304">
        <f t="shared" ca="1" si="387"/>
        <v>0.86111048023513304</v>
      </c>
      <c r="G871" s="306">
        <f t="shared" ca="1" si="388"/>
        <v>7.2190809266643656</v>
      </c>
      <c r="H871" s="307">
        <f t="shared" ca="1" si="389"/>
        <v>-103.95839686338462</v>
      </c>
      <c r="I871" s="304">
        <f t="shared" ca="1" si="390"/>
        <v>104.20874919041447</v>
      </c>
      <c r="J871" s="306">
        <f t="shared" ca="1" si="391"/>
        <v>837.4075040097224</v>
      </c>
      <c r="K871" s="307">
        <f t="shared" ca="1" si="392"/>
        <v>-14.097116206481727</v>
      </c>
      <c r="L871" s="304">
        <f t="shared" ca="1" si="377"/>
        <v>837.52615270039917</v>
      </c>
      <c r="M871" s="306">
        <f t="shared" ca="1" si="393"/>
        <v>-1.5014656073276318</v>
      </c>
      <c r="N871" s="304">
        <f t="shared" ca="1" si="394"/>
        <v>-86.027642383920238</v>
      </c>
      <c r="P871" s="310">
        <f t="shared" ca="1" si="395"/>
        <v>23</v>
      </c>
      <c r="Q871" s="304">
        <f t="shared" ca="1" si="396"/>
        <v>0</v>
      </c>
      <c r="R871" s="306">
        <f t="shared" ca="1" si="397"/>
        <v>0</v>
      </c>
      <c r="S871" s="307">
        <f t="shared" ca="1" si="398"/>
        <v>2.9362999999999984</v>
      </c>
      <c r="T871" s="304">
        <f t="shared" ca="1" si="378"/>
        <v>28.805102999999985</v>
      </c>
      <c r="U871" s="311">
        <f t="shared" ca="1" si="379"/>
        <v>0</v>
      </c>
      <c r="V871" s="306">
        <f t="shared" ca="1" si="380"/>
        <v>1.2267281148070568</v>
      </c>
      <c r="W871" s="304">
        <f t="shared" ca="1" si="381"/>
        <v>27.183154051287261</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0.52882940331430284</v>
      </c>
      <c r="AH871" s="304">
        <f t="shared" ca="1" si="405"/>
        <v>-9.257602493891083</v>
      </c>
    </row>
    <row r="872" spans="1:34" x14ac:dyDescent="0.2">
      <c r="A872" s="347">
        <f t="shared" ca="1" si="383"/>
        <v>1E-4</v>
      </c>
      <c r="B872" s="304">
        <f t="shared" ca="1" si="384"/>
        <v>37.136300000001427</v>
      </c>
      <c r="D872" s="306">
        <f t="shared" ca="1" si="385"/>
        <v>-0.641323491708088</v>
      </c>
      <c r="E872" s="307">
        <f t="shared" ca="1" si="386"/>
        <v>-0.57461910510721559</v>
      </c>
      <c r="F872" s="304">
        <f t="shared" ca="1" si="387"/>
        <v>0.86109403491771519</v>
      </c>
      <c r="G872" s="306">
        <f t="shared" ca="1" si="388"/>
        <v>7.2190167943151948</v>
      </c>
      <c r="H872" s="307">
        <f t="shared" ca="1" si="389"/>
        <v>-103.95845432529514</v>
      </c>
      <c r="I872" s="304">
        <f t="shared" ca="1" si="390"/>
        <v>104.20880207151927</v>
      </c>
      <c r="J872" s="306">
        <f t="shared" ca="1" si="391"/>
        <v>837.4075040097224</v>
      </c>
      <c r="K872" s="307">
        <f t="shared" ca="1" si="392"/>
        <v>-14.107512049041162</v>
      </c>
      <c r="L872" s="304">
        <f t="shared" ca="1" si="377"/>
        <v>837.52632774618326</v>
      </c>
      <c r="M872" s="306">
        <f t="shared" ca="1" si="393"/>
        <v>-1.501466259469872</v>
      </c>
      <c r="N872" s="304">
        <f t="shared" ca="1" si="394"/>
        <v>-86.027679748918246</v>
      </c>
      <c r="P872" s="310">
        <f t="shared" ca="1" si="395"/>
        <v>23</v>
      </c>
      <c r="Q872" s="304">
        <f t="shared" ca="1" si="396"/>
        <v>0</v>
      </c>
      <c r="R872" s="306">
        <f t="shared" ca="1" si="397"/>
        <v>0</v>
      </c>
      <c r="S872" s="307">
        <f t="shared" ca="1" si="398"/>
        <v>2.9362999999999984</v>
      </c>
      <c r="T872" s="304">
        <f t="shared" ca="1" si="378"/>
        <v>28.805102999999985</v>
      </c>
      <c r="U872" s="311">
        <f t="shared" ca="1" si="379"/>
        <v>0</v>
      </c>
      <c r="V872" s="306">
        <f t="shared" ca="1" si="380"/>
        <v>1.2267293900955885</v>
      </c>
      <c r="W872" s="304">
        <f t="shared" ca="1" si="381"/>
        <v>27.183209898909372</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0.5288108264932152</v>
      </c>
      <c r="AH872" s="304">
        <f t="shared" ca="1" si="405"/>
        <v>-9.2576215139077327</v>
      </c>
    </row>
    <row r="873" spans="1:34" x14ac:dyDescent="0.2">
      <c r="A873" s="347">
        <f t="shared" ca="1" si="383"/>
        <v>1E-4</v>
      </c>
      <c r="B873" s="304">
        <f t="shared" ca="1" si="384"/>
        <v>37.13640000000143</v>
      </c>
      <c r="D873" s="306">
        <f t="shared" ca="1" si="385"/>
        <v>-0.64131878650874463</v>
      </c>
      <c r="E873" s="307">
        <f t="shared" ca="1" si="386"/>
        <v>-0.57459971284117195</v>
      </c>
      <c r="F873" s="304">
        <f t="shared" ca="1" si="387"/>
        <v>0.86107758995702943</v>
      </c>
      <c r="G873" s="306">
        <f t="shared" ca="1" si="388"/>
        <v>7.2189526624365437</v>
      </c>
      <c r="H873" s="307">
        <f t="shared" ca="1" si="389"/>
        <v>-103.95851178526642</v>
      </c>
      <c r="I873" s="304">
        <f t="shared" ca="1" si="390"/>
        <v>104.20885495076644</v>
      </c>
      <c r="J873" s="306">
        <f t="shared" ca="1" si="391"/>
        <v>837.4075040097224</v>
      </c>
      <c r="K873" s="307">
        <f t="shared" ca="1" si="392"/>
        <v>-14.11790789734669</v>
      </c>
      <c r="L873" s="304">
        <f t="shared" ca="1" si="377"/>
        <v>837.52650292106648</v>
      </c>
      <c r="M873" s="306">
        <f t="shared" ca="1" si="393"/>
        <v>-1.5014669116056572</v>
      </c>
      <c r="N873" s="304">
        <f t="shared" ca="1" si="394"/>
        <v>-86.027717113546402</v>
      </c>
      <c r="P873" s="310">
        <f t="shared" ca="1" si="395"/>
        <v>23</v>
      </c>
      <c r="Q873" s="304">
        <f t="shared" ca="1" si="396"/>
        <v>0</v>
      </c>
      <c r="R873" s="306">
        <f t="shared" ca="1" si="397"/>
        <v>0</v>
      </c>
      <c r="S873" s="307">
        <f t="shared" ca="1" si="398"/>
        <v>2.9362999999999984</v>
      </c>
      <c r="T873" s="304">
        <f t="shared" ca="1" si="378"/>
        <v>28.805102999999985</v>
      </c>
      <c r="U873" s="311">
        <f t="shared" ca="1" si="379"/>
        <v>0</v>
      </c>
      <c r="V873" s="306">
        <f t="shared" ca="1" si="380"/>
        <v>1.2267306653861514</v>
      </c>
      <c r="W873" s="304">
        <f t="shared" ca="1" si="381"/>
        <v>27.1832657456787</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0.5287922499540052</v>
      </c>
      <c r="AH873" s="304">
        <f t="shared" ca="1" si="405"/>
        <v>-9.2576405336339569</v>
      </c>
    </row>
    <row r="874" spans="1:34" x14ac:dyDescent="0.2">
      <c r="A874" s="347">
        <f t="shared" ca="1" si="383"/>
        <v>1E-4</v>
      </c>
      <c r="B874" s="304">
        <f t="shared" ca="1" si="384"/>
        <v>37.136500000001433</v>
      </c>
      <c r="D874" s="306">
        <f t="shared" ca="1" si="385"/>
        <v>-0.64131408132387702</v>
      </c>
      <c r="E874" s="307">
        <f t="shared" ca="1" si="386"/>
        <v>-0.57458032087120792</v>
      </c>
      <c r="F874" s="304">
        <f t="shared" ca="1" si="387"/>
        <v>0.86106114535307454</v>
      </c>
      <c r="G874" s="306">
        <f t="shared" ca="1" si="388"/>
        <v>7.2188885310284112</v>
      </c>
      <c r="H874" s="307">
        <f t="shared" ca="1" si="389"/>
        <v>-103.95856924329851</v>
      </c>
      <c r="I874" s="304">
        <f t="shared" ca="1" si="390"/>
        <v>104.20890782815596</v>
      </c>
      <c r="J874" s="306">
        <f t="shared" ca="1" si="391"/>
        <v>837.4075040097224</v>
      </c>
      <c r="K874" s="307">
        <f t="shared" ca="1" si="392"/>
        <v>-14.128303751398118</v>
      </c>
      <c r="L874" s="304">
        <f t="shared" ca="1" si="377"/>
        <v>837.52667822504918</v>
      </c>
      <c r="M874" s="306">
        <f t="shared" ca="1" si="393"/>
        <v>-1.5014675637349868</v>
      </c>
      <c r="N874" s="304">
        <f t="shared" ca="1" si="394"/>
        <v>-86.027754477804677</v>
      </c>
      <c r="P874" s="310">
        <f t="shared" ca="1" si="395"/>
        <v>23</v>
      </c>
      <c r="Q874" s="304">
        <f t="shared" ca="1" si="396"/>
        <v>0</v>
      </c>
      <c r="R874" s="306">
        <f t="shared" ca="1" si="397"/>
        <v>0</v>
      </c>
      <c r="S874" s="307">
        <f t="shared" ca="1" si="398"/>
        <v>2.9362999999999984</v>
      </c>
      <c r="T874" s="304">
        <f t="shared" ca="1" si="378"/>
        <v>28.805102999999985</v>
      </c>
      <c r="U874" s="311">
        <f t="shared" ca="1" si="379"/>
        <v>0</v>
      </c>
      <c r="V874" s="306">
        <f t="shared" ca="1" si="380"/>
        <v>1.2267319406787456</v>
      </c>
      <c r="W874" s="304">
        <f t="shared" ca="1" si="381"/>
        <v>27.183321591595252</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0.52877367369667461</v>
      </c>
      <c r="AH874" s="304">
        <f t="shared" ca="1" si="405"/>
        <v>-9.2576595530697521</v>
      </c>
    </row>
    <row r="875" spans="1:34" x14ac:dyDescent="0.2">
      <c r="A875" s="347">
        <f t="shared" ca="1" si="383"/>
        <v>1E-4</v>
      </c>
      <c r="B875" s="304">
        <f t="shared" ca="1" si="384"/>
        <v>37.136600000001437</v>
      </c>
      <c r="D875" s="306">
        <f t="shared" ca="1" si="385"/>
        <v>-0.64130937615349071</v>
      </c>
      <c r="E875" s="307">
        <f t="shared" ca="1" si="386"/>
        <v>-0.57456092919731994</v>
      </c>
      <c r="F875" s="304">
        <f t="shared" ca="1" si="387"/>
        <v>0.86104470110585263</v>
      </c>
      <c r="G875" s="306">
        <f t="shared" ca="1" si="388"/>
        <v>7.2188244000907957</v>
      </c>
      <c r="H875" s="307">
        <f t="shared" ca="1" si="389"/>
        <v>-103.95862669939143</v>
      </c>
      <c r="I875" s="304">
        <f t="shared" ca="1" si="390"/>
        <v>104.20896070368788</v>
      </c>
      <c r="J875" s="306">
        <f t="shared" ca="1" si="391"/>
        <v>837.4075040097224</v>
      </c>
      <c r="K875" s="307">
        <f t="shared" ca="1" si="392"/>
        <v>-14.138699611195252</v>
      </c>
      <c r="L875" s="304">
        <f t="shared" ca="1" si="377"/>
        <v>837.52685365813124</v>
      </c>
      <c r="M875" s="306">
        <f t="shared" ca="1" si="393"/>
        <v>-1.5014682158578616</v>
      </c>
      <c r="N875" s="304">
        <f t="shared" ca="1" si="394"/>
        <v>-86.02779184169313</v>
      </c>
      <c r="P875" s="310">
        <f t="shared" ca="1" si="395"/>
        <v>23</v>
      </c>
      <c r="Q875" s="304">
        <f t="shared" ca="1" si="396"/>
        <v>0</v>
      </c>
      <c r="R875" s="306">
        <f t="shared" ca="1" si="397"/>
        <v>0</v>
      </c>
      <c r="S875" s="307">
        <f t="shared" ca="1" si="398"/>
        <v>2.9362999999999984</v>
      </c>
      <c r="T875" s="304">
        <f t="shared" ca="1" si="378"/>
        <v>28.805102999999985</v>
      </c>
      <c r="U875" s="311">
        <f t="shared" ca="1" si="379"/>
        <v>0</v>
      </c>
      <c r="V875" s="306">
        <f t="shared" ca="1" si="380"/>
        <v>1.2267332159733717</v>
      </c>
      <c r="W875" s="304">
        <f t="shared" ca="1" si="381"/>
        <v>27.183377436659061</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0.52875509772121987</v>
      </c>
      <c r="AH875" s="304">
        <f t="shared" ca="1" si="405"/>
        <v>-9.2576785722151236</v>
      </c>
    </row>
    <row r="876" spans="1:34" x14ac:dyDescent="0.2">
      <c r="A876" s="347">
        <f t="shared" ca="1" si="383"/>
        <v>1E-4</v>
      </c>
      <c r="B876" s="304">
        <f t="shared" ca="1" si="384"/>
        <v>37.13670000000144</v>
      </c>
      <c r="D876" s="306">
        <f t="shared" ca="1" si="385"/>
        <v>-0.64130467099758093</v>
      </c>
      <c r="E876" s="307">
        <f t="shared" ca="1" si="386"/>
        <v>-0.57454153781949913</v>
      </c>
      <c r="F876" s="304">
        <f t="shared" ca="1" si="387"/>
        <v>0.86102825721535436</v>
      </c>
      <c r="G876" s="306">
        <f t="shared" ca="1" si="388"/>
        <v>7.2187602696236963</v>
      </c>
      <c r="H876" s="307">
        <f t="shared" ca="1" si="389"/>
        <v>-103.95868415354521</v>
      </c>
      <c r="I876" s="304">
        <f t="shared" ca="1" si="390"/>
        <v>104.20901357736224</v>
      </c>
      <c r="J876" s="306">
        <f t="shared" ca="1" si="391"/>
        <v>837.4075040097224</v>
      </c>
      <c r="K876" s="307">
        <f t="shared" ca="1" si="392"/>
        <v>-14.149095476737898</v>
      </c>
      <c r="L876" s="304">
        <f t="shared" ca="1" si="377"/>
        <v>837.52702922031301</v>
      </c>
      <c r="M876" s="306">
        <f t="shared" ca="1" si="393"/>
        <v>-1.5014688679742811</v>
      </c>
      <c r="N876" s="304">
        <f t="shared" ca="1" si="394"/>
        <v>-86.027829205211731</v>
      </c>
      <c r="P876" s="310">
        <f t="shared" ca="1" si="395"/>
        <v>23</v>
      </c>
      <c r="Q876" s="304">
        <f t="shared" ca="1" si="396"/>
        <v>0</v>
      </c>
      <c r="R876" s="306">
        <f t="shared" ca="1" si="397"/>
        <v>0</v>
      </c>
      <c r="S876" s="307">
        <f t="shared" ca="1" si="398"/>
        <v>2.9362999999999984</v>
      </c>
      <c r="T876" s="304">
        <f t="shared" ca="1" si="378"/>
        <v>28.805102999999985</v>
      </c>
      <c r="U876" s="311">
        <f t="shared" ca="1" si="379"/>
        <v>0</v>
      </c>
      <c r="V876" s="306">
        <f t="shared" ca="1" si="380"/>
        <v>1.22673449127003</v>
      </c>
      <c r="W876" s="304">
        <f t="shared" ca="1" si="381"/>
        <v>27.183433280870137</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0.52873652202763033</v>
      </c>
      <c r="AH876" s="304">
        <f t="shared" ca="1" si="405"/>
        <v>-9.2576975910700803</v>
      </c>
    </row>
    <row r="877" spans="1:34" x14ac:dyDescent="0.2">
      <c r="A877" s="347">
        <f t="shared" ca="1" si="383"/>
        <v>1E-4</v>
      </c>
      <c r="B877" s="304">
        <f t="shared" ca="1" si="384"/>
        <v>37.136800000001443</v>
      </c>
      <c r="D877" s="306">
        <f t="shared" ca="1" si="385"/>
        <v>-0.64129996585615279</v>
      </c>
      <c r="E877" s="307">
        <f t="shared" ca="1" si="386"/>
        <v>-0.57452214673773838</v>
      </c>
      <c r="F877" s="304">
        <f t="shared" ca="1" si="387"/>
        <v>0.86101181368157909</v>
      </c>
      <c r="G877" s="306">
        <f t="shared" ca="1" si="388"/>
        <v>7.2186961396271103</v>
      </c>
      <c r="H877" s="307">
        <f t="shared" ca="1" si="389"/>
        <v>-103.95874160575988</v>
      </c>
      <c r="I877" s="304">
        <f t="shared" ca="1" si="390"/>
        <v>104.20906644917906</v>
      </c>
      <c r="J877" s="306">
        <f t="shared" ca="1" si="391"/>
        <v>837.4075040097224</v>
      </c>
      <c r="K877" s="307">
        <f t="shared" ca="1" si="392"/>
        <v>-14.159491348025863</v>
      </c>
      <c r="L877" s="304">
        <f t="shared" ca="1" si="377"/>
        <v>837.52720491159448</v>
      </c>
      <c r="M877" s="306">
        <f t="shared" ca="1" si="393"/>
        <v>-1.5014695200842456</v>
      </c>
      <c r="N877" s="304">
        <f t="shared" ca="1" si="394"/>
        <v>-86.027866568360466</v>
      </c>
      <c r="P877" s="310">
        <f t="shared" ca="1" si="395"/>
        <v>23</v>
      </c>
      <c r="Q877" s="304">
        <f t="shared" ca="1" si="396"/>
        <v>0</v>
      </c>
      <c r="R877" s="306">
        <f t="shared" ca="1" si="397"/>
        <v>0</v>
      </c>
      <c r="S877" s="307">
        <f t="shared" ca="1" si="398"/>
        <v>2.9362999999999984</v>
      </c>
      <c r="T877" s="304">
        <f t="shared" ca="1" si="378"/>
        <v>28.805102999999985</v>
      </c>
      <c r="U877" s="311">
        <f t="shared" ca="1" si="379"/>
        <v>0</v>
      </c>
      <c r="V877" s="306">
        <f t="shared" ca="1" si="380"/>
        <v>1.2267357665687189</v>
      </c>
      <c r="W877" s="304">
        <f t="shared" ca="1" si="381"/>
        <v>27.183489124228469</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0.52871794661590421</v>
      </c>
      <c r="AH877" s="304">
        <f t="shared" ca="1" si="405"/>
        <v>-9.2577166096346257</v>
      </c>
    </row>
    <row r="878" spans="1:34" x14ac:dyDescent="0.2">
      <c r="A878" s="347">
        <f t="shared" ca="1" si="383"/>
        <v>1E-4</v>
      </c>
      <c r="B878" s="304">
        <f t="shared" ca="1" si="384"/>
        <v>37.136900000001447</v>
      </c>
      <c r="D878" s="306">
        <f t="shared" ca="1" si="385"/>
        <v>-0.64129526072920551</v>
      </c>
      <c r="E878" s="307">
        <f t="shared" ca="1" si="386"/>
        <v>-0.57450275595204303</v>
      </c>
      <c r="F878" s="304">
        <f t="shared" ca="1" si="387"/>
        <v>0.86099537050452979</v>
      </c>
      <c r="G878" s="306">
        <f t="shared" ca="1" si="388"/>
        <v>7.2186320101010377</v>
      </c>
      <c r="H878" s="307">
        <f t="shared" ca="1" si="389"/>
        <v>-103.95879905603547</v>
      </c>
      <c r="I878" s="304">
        <f t="shared" ca="1" si="390"/>
        <v>104.20911931913837</v>
      </c>
      <c r="J878" s="306">
        <f t="shared" ca="1" si="391"/>
        <v>837.4075040097224</v>
      </c>
      <c r="K878" s="307">
        <f t="shared" ca="1" si="392"/>
        <v>-14.169887225058954</v>
      </c>
      <c r="L878" s="304">
        <f t="shared" ca="1" si="377"/>
        <v>837.52738073197588</v>
      </c>
      <c r="M878" s="306">
        <f t="shared" ca="1" si="393"/>
        <v>-1.5014701721877555</v>
      </c>
      <c r="N878" s="304">
        <f t="shared" ca="1" si="394"/>
        <v>-86.027903931139392</v>
      </c>
      <c r="P878" s="310">
        <f t="shared" ca="1" si="395"/>
        <v>23</v>
      </c>
      <c r="Q878" s="304">
        <f t="shared" ca="1" si="396"/>
        <v>0</v>
      </c>
      <c r="R878" s="306">
        <f t="shared" ca="1" si="397"/>
        <v>0</v>
      </c>
      <c r="S878" s="307">
        <f t="shared" ca="1" si="398"/>
        <v>2.9362999999999984</v>
      </c>
      <c r="T878" s="304">
        <f t="shared" ca="1" si="378"/>
        <v>28.805102999999985</v>
      </c>
      <c r="U878" s="311">
        <f t="shared" ca="1" si="379"/>
        <v>0</v>
      </c>
      <c r="V878" s="306">
        <f t="shared" ca="1" si="380"/>
        <v>1.2267370418694397</v>
      </c>
      <c r="W878" s="304">
        <f t="shared" ca="1" si="381"/>
        <v>27.183544966734086</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0.52869937148604329</v>
      </c>
      <c r="AH878" s="304">
        <f t="shared" ca="1" si="405"/>
        <v>-9.2577356279087581</v>
      </c>
    </row>
    <row r="879" spans="1:34" x14ac:dyDescent="0.2">
      <c r="A879" s="347">
        <f t="shared" ca="1" si="383"/>
        <v>1E-4</v>
      </c>
      <c r="B879" s="304">
        <f t="shared" ca="1" si="384"/>
        <v>37.13700000000145</v>
      </c>
      <c r="D879" s="306">
        <f t="shared" ca="1" si="385"/>
        <v>-0.6412905556167362</v>
      </c>
      <c r="E879" s="307">
        <f t="shared" ca="1" si="386"/>
        <v>-0.57448336546240419</v>
      </c>
      <c r="F879" s="304">
        <f t="shared" ca="1" si="387"/>
        <v>0.86097892768419859</v>
      </c>
      <c r="G879" s="306">
        <f t="shared" ca="1" si="388"/>
        <v>7.2185678810454759</v>
      </c>
      <c r="H879" s="307">
        <f t="shared" ca="1" si="389"/>
        <v>-103.95885650437202</v>
      </c>
      <c r="I879" s="304">
        <f t="shared" ca="1" si="390"/>
        <v>104.2091721872402</v>
      </c>
      <c r="J879" s="306">
        <f t="shared" ca="1" si="391"/>
        <v>837.4075040097224</v>
      </c>
      <c r="K879" s="307">
        <f t="shared" ca="1" si="392"/>
        <v>-14.180283107836974</v>
      </c>
      <c r="L879" s="304">
        <f t="shared" ca="1" si="377"/>
        <v>837.52755668145721</v>
      </c>
      <c r="M879" s="306">
        <f t="shared" ca="1" si="393"/>
        <v>-1.5014708242848103</v>
      </c>
      <c r="N879" s="304">
        <f t="shared" ca="1" si="394"/>
        <v>-86.027941293548466</v>
      </c>
      <c r="P879" s="310">
        <f t="shared" ca="1" si="395"/>
        <v>23</v>
      </c>
      <c r="Q879" s="304">
        <f t="shared" ca="1" si="396"/>
        <v>0</v>
      </c>
      <c r="R879" s="306">
        <f t="shared" ca="1" si="397"/>
        <v>0</v>
      </c>
      <c r="S879" s="307">
        <f t="shared" ca="1" si="398"/>
        <v>2.9362999999999984</v>
      </c>
      <c r="T879" s="304">
        <f t="shared" ca="1" si="378"/>
        <v>28.805102999999985</v>
      </c>
      <c r="U879" s="311">
        <f t="shared" ca="1" si="379"/>
        <v>0</v>
      </c>
      <c r="V879" s="306">
        <f t="shared" ca="1" si="380"/>
        <v>1.2267383171721919</v>
      </c>
      <c r="W879" s="304">
        <f t="shared" ca="1" si="381"/>
        <v>27.183600808386998</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0.52868079663803869</v>
      </c>
      <c r="AH879" s="304">
        <f t="shared" ca="1" si="405"/>
        <v>-9.2577546458924846</v>
      </c>
    </row>
    <row r="880" spans="1:34" x14ac:dyDescent="0.2">
      <c r="A880" s="347">
        <f t="shared" ca="1" si="383"/>
        <v>1E-4</v>
      </c>
      <c r="B880" s="304">
        <f t="shared" ca="1" si="384"/>
        <v>37.137100000001453</v>
      </c>
      <c r="D880" s="306">
        <f t="shared" ca="1" si="385"/>
        <v>-0.64128585051875009</v>
      </c>
      <c r="E880" s="307">
        <f t="shared" ca="1" si="386"/>
        <v>-0.57446397526881654</v>
      </c>
      <c r="F880" s="304">
        <f t="shared" ca="1" si="387"/>
        <v>0.86096248522058616</v>
      </c>
      <c r="G880" s="306">
        <f t="shared" ca="1" si="388"/>
        <v>7.2185037524604239</v>
      </c>
      <c r="H880" s="307">
        <f t="shared" ca="1" si="389"/>
        <v>-103.95891395076954</v>
      </c>
      <c r="I880" s="304">
        <f t="shared" ca="1" si="390"/>
        <v>104.20922505348454</v>
      </c>
      <c r="J880" s="306">
        <f t="shared" ca="1" si="391"/>
        <v>837.4075040097224</v>
      </c>
      <c r="K880" s="307">
        <f t="shared" ca="1" si="392"/>
        <v>-14.190678996359731</v>
      </c>
      <c r="L880" s="304">
        <f t="shared" ca="1" si="377"/>
        <v>837.52773276003882</v>
      </c>
      <c r="M880" s="306">
        <f t="shared" ca="1" si="393"/>
        <v>-1.5014714763754105</v>
      </c>
      <c r="N880" s="304">
        <f t="shared" ca="1" si="394"/>
        <v>-86.027978655587717</v>
      </c>
      <c r="P880" s="310">
        <f t="shared" ca="1" si="395"/>
        <v>23</v>
      </c>
      <c r="Q880" s="304">
        <f t="shared" ca="1" si="396"/>
        <v>0</v>
      </c>
      <c r="R880" s="306">
        <f t="shared" ca="1" si="397"/>
        <v>0</v>
      </c>
      <c r="S880" s="307">
        <f t="shared" ca="1" si="398"/>
        <v>2.9362999999999984</v>
      </c>
      <c r="T880" s="304">
        <f t="shared" ca="1" si="378"/>
        <v>28.805102999999985</v>
      </c>
      <c r="U880" s="311">
        <f t="shared" ca="1" si="379"/>
        <v>0</v>
      </c>
      <c r="V880" s="306">
        <f t="shared" ca="1" si="380"/>
        <v>1.2267395924769755</v>
      </c>
      <c r="W880" s="304">
        <f t="shared" ca="1" si="381"/>
        <v>27.183656649187178</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0.52866222207188862</v>
      </c>
      <c r="AH880" s="304">
        <f t="shared" ca="1" si="405"/>
        <v>-9.2577736635858106</v>
      </c>
    </row>
    <row r="881" spans="1:34" x14ac:dyDescent="0.2">
      <c r="A881" s="347">
        <f t="shared" ca="1" si="383"/>
        <v>1E-4</v>
      </c>
      <c r="B881" s="304">
        <f t="shared" ca="1" si="384"/>
        <v>37.137200000001457</v>
      </c>
      <c r="D881" s="306">
        <f t="shared" ca="1" si="385"/>
        <v>-0.6412811454352435</v>
      </c>
      <c r="E881" s="307">
        <f t="shared" ca="1" si="386"/>
        <v>-0.57444458537129073</v>
      </c>
      <c r="F881" s="304">
        <f t="shared" ca="1" si="387"/>
        <v>0.86094604311369716</v>
      </c>
      <c r="G881" s="306">
        <f t="shared" ca="1" si="388"/>
        <v>7.2184396243458799</v>
      </c>
      <c r="H881" s="307">
        <f t="shared" ca="1" si="389"/>
        <v>-103.95897139522808</v>
      </c>
      <c r="I881" s="304">
        <f t="shared" ca="1" si="390"/>
        <v>104.20927791787147</v>
      </c>
      <c r="J881" s="306">
        <f t="shared" ca="1" si="391"/>
        <v>837.4075040097224</v>
      </c>
      <c r="K881" s="307">
        <f t="shared" ca="1" si="392"/>
        <v>-14.20107489062703</v>
      </c>
      <c r="L881" s="304">
        <f t="shared" ca="1" si="377"/>
        <v>837.52790896772058</v>
      </c>
      <c r="M881" s="306">
        <f t="shared" ca="1" si="393"/>
        <v>-1.5014721284595558</v>
      </c>
      <c r="N881" s="304">
        <f t="shared" ca="1" si="394"/>
        <v>-86.02801601725713</v>
      </c>
      <c r="P881" s="310">
        <f t="shared" ca="1" si="395"/>
        <v>23</v>
      </c>
      <c r="Q881" s="304">
        <f t="shared" ca="1" si="396"/>
        <v>0</v>
      </c>
      <c r="R881" s="306">
        <f t="shared" ca="1" si="397"/>
        <v>0</v>
      </c>
      <c r="S881" s="307">
        <f t="shared" ca="1" si="398"/>
        <v>2.9362999999999984</v>
      </c>
      <c r="T881" s="304">
        <f t="shared" ca="1" si="378"/>
        <v>28.805102999999985</v>
      </c>
      <c r="U881" s="311">
        <f t="shared" ca="1" si="379"/>
        <v>0</v>
      </c>
      <c r="V881" s="306">
        <f t="shared" ca="1" si="380"/>
        <v>1.2267408677837908</v>
      </c>
      <c r="W881" s="304">
        <f t="shared" ca="1" si="381"/>
        <v>27.183712489134685</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0.5286436477876002</v>
      </c>
      <c r="AH881" s="304">
        <f t="shared" ca="1" si="405"/>
        <v>-9.2577926809887252</v>
      </c>
    </row>
    <row r="882" spans="1:34" x14ac:dyDescent="0.2">
      <c r="A882" s="347">
        <f t="shared" ca="1" si="383"/>
        <v>1E-4</v>
      </c>
      <c r="B882" s="304">
        <f t="shared" ca="1" si="384"/>
        <v>37.13730000000146</v>
      </c>
      <c r="D882" s="306">
        <f t="shared" ca="1" si="385"/>
        <v>-0.641276440366221</v>
      </c>
      <c r="E882" s="307">
        <f t="shared" ca="1" si="386"/>
        <v>-0.57442519576980722</v>
      </c>
      <c r="F882" s="304">
        <f t="shared" ca="1" si="387"/>
        <v>0.86092960136352192</v>
      </c>
      <c r="G882" s="306">
        <f t="shared" ca="1" si="388"/>
        <v>7.2183754967018432</v>
      </c>
      <c r="H882" s="307">
        <f t="shared" ca="1" si="389"/>
        <v>-103.95902883774765</v>
      </c>
      <c r="I882" s="304">
        <f t="shared" ca="1" si="390"/>
        <v>104.20933078040102</v>
      </c>
      <c r="J882" s="306">
        <f t="shared" ca="1" si="391"/>
        <v>837.4075040097224</v>
      </c>
      <c r="K882" s="307">
        <f t="shared" ca="1" si="392"/>
        <v>-14.211470790638678</v>
      </c>
      <c r="L882" s="304">
        <f t="shared" ca="1" si="377"/>
        <v>837.52808530450272</v>
      </c>
      <c r="M882" s="306">
        <f t="shared" ca="1" si="393"/>
        <v>-1.5014727805372465</v>
      </c>
      <c r="N882" s="304">
        <f t="shared" ca="1" si="394"/>
        <v>-86.02805337855672</v>
      </c>
      <c r="P882" s="310">
        <f t="shared" ca="1" si="395"/>
        <v>23</v>
      </c>
      <c r="Q882" s="304">
        <f t="shared" ca="1" si="396"/>
        <v>0</v>
      </c>
      <c r="R882" s="306">
        <f t="shared" ca="1" si="397"/>
        <v>0</v>
      </c>
      <c r="S882" s="307">
        <f t="shared" ca="1" si="398"/>
        <v>2.9362999999999984</v>
      </c>
      <c r="T882" s="304">
        <f t="shared" ca="1" si="378"/>
        <v>28.805102999999985</v>
      </c>
      <c r="U882" s="311">
        <f t="shared" ca="1" si="379"/>
        <v>0</v>
      </c>
      <c r="V882" s="306">
        <f t="shared" ca="1" si="380"/>
        <v>1.2267421430926373</v>
      </c>
      <c r="W882" s="304">
        <f t="shared" ca="1" si="381"/>
        <v>27.183768328229515</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0.52862507378515566</v>
      </c>
      <c r="AH882" s="304">
        <f t="shared" ca="1" si="405"/>
        <v>-9.2578116981012499</v>
      </c>
    </row>
    <row r="883" spans="1:34" x14ac:dyDescent="0.2">
      <c r="A883" s="347">
        <f t="shared" ca="1" si="383"/>
        <v>1E-4</v>
      </c>
      <c r="B883" s="304">
        <f t="shared" ca="1" si="384"/>
        <v>37.137400000001463</v>
      </c>
      <c r="D883" s="306">
        <f t="shared" ca="1" si="385"/>
        <v>-0.64127173531168113</v>
      </c>
      <c r="E883" s="307">
        <f t="shared" ca="1" si="386"/>
        <v>-0.57440580646436423</v>
      </c>
      <c r="F883" s="304">
        <f t="shared" ca="1" si="387"/>
        <v>0.86091315997005846</v>
      </c>
      <c r="G883" s="306">
        <f t="shared" ca="1" si="388"/>
        <v>7.2183113695283119</v>
      </c>
      <c r="H883" s="307">
        <f t="shared" ca="1" si="389"/>
        <v>-103.9590862783283</v>
      </c>
      <c r="I883" s="304">
        <f t="shared" ca="1" si="390"/>
        <v>104.20938364107317</v>
      </c>
      <c r="J883" s="306">
        <f t="shared" ca="1" si="391"/>
        <v>837.4075040097224</v>
      </c>
      <c r="K883" s="307">
        <f t="shared" ca="1" si="392"/>
        <v>-14.221866696394482</v>
      </c>
      <c r="L883" s="304">
        <f t="shared" ca="1" si="377"/>
        <v>837.52826177038537</v>
      </c>
      <c r="M883" s="306">
        <f t="shared" ca="1" si="393"/>
        <v>-1.5014734326084829</v>
      </c>
      <c r="N883" s="304">
        <f t="shared" ca="1" si="394"/>
        <v>-86.028090739486501</v>
      </c>
      <c r="P883" s="310">
        <f t="shared" ca="1" si="395"/>
        <v>23</v>
      </c>
      <c r="Q883" s="304">
        <f t="shared" ca="1" si="396"/>
        <v>0</v>
      </c>
      <c r="R883" s="306">
        <f t="shared" ca="1" si="397"/>
        <v>0</v>
      </c>
      <c r="S883" s="307">
        <f t="shared" ca="1" si="398"/>
        <v>2.9362999999999984</v>
      </c>
      <c r="T883" s="304">
        <f t="shared" ca="1" si="378"/>
        <v>28.805102999999985</v>
      </c>
      <c r="U883" s="311">
        <f t="shared" ca="1" si="379"/>
        <v>0</v>
      </c>
      <c r="V883" s="306">
        <f t="shared" ca="1" si="380"/>
        <v>1.2267434184035146</v>
      </c>
      <c r="W883" s="304">
        <f t="shared" ca="1" si="381"/>
        <v>27.183824166471648</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0.52860650006455501</v>
      </c>
      <c r="AH883" s="304">
        <f t="shared" ca="1" si="405"/>
        <v>-9.2578307149233829</v>
      </c>
    </row>
    <row r="884" spans="1:34" x14ac:dyDescent="0.2">
      <c r="A884" s="347">
        <f t="shared" ca="1" si="383"/>
        <v>1E-4</v>
      </c>
      <c r="B884" s="304">
        <f t="shared" ca="1" si="384"/>
        <v>37.137500000001467</v>
      </c>
      <c r="D884" s="306">
        <f t="shared" ca="1" si="385"/>
        <v>-0.64126703027162246</v>
      </c>
      <c r="E884" s="307">
        <f t="shared" ca="1" si="386"/>
        <v>-0.57438641745497065</v>
      </c>
      <c r="F884" s="304">
        <f t="shared" ca="1" si="387"/>
        <v>0.86089671893331188</v>
      </c>
      <c r="G884" s="306">
        <f t="shared" ca="1" si="388"/>
        <v>7.2182472428252851</v>
      </c>
      <c r="H884" s="307">
        <f t="shared" ca="1" si="389"/>
        <v>-103.95914371697005</v>
      </c>
      <c r="I884" s="304">
        <f t="shared" ca="1" si="390"/>
        <v>104.20943649988799</v>
      </c>
      <c r="J884" s="306">
        <f t="shared" ca="1" si="391"/>
        <v>837.4075040097224</v>
      </c>
      <c r="K884" s="307">
        <f t="shared" ca="1" si="392"/>
        <v>-14.232262607894247</v>
      </c>
      <c r="L884" s="304">
        <f t="shared" ca="1" si="377"/>
        <v>837.52843836536874</v>
      </c>
      <c r="M884" s="306">
        <f t="shared" ca="1" si="393"/>
        <v>-1.5014740846732648</v>
      </c>
      <c r="N884" s="304">
        <f t="shared" ca="1" si="394"/>
        <v>-86.028128100046473</v>
      </c>
      <c r="P884" s="310">
        <f t="shared" ca="1" si="395"/>
        <v>23</v>
      </c>
      <c r="Q884" s="304">
        <f t="shared" ca="1" si="396"/>
        <v>0</v>
      </c>
      <c r="R884" s="306">
        <f t="shared" ca="1" si="397"/>
        <v>0</v>
      </c>
      <c r="S884" s="307">
        <f t="shared" ca="1" si="398"/>
        <v>2.9362999999999984</v>
      </c>
      <c r="T884" s="304">
        <f t="shared" ca="1" si="378"/>
        <v>28.805102999999985</v>
      </c>
      <c r="U884" s="311">
        <f t="shared" ca="1" si="379"/>
        <v>0</v>
      </c>
      <c r="V884" s="306">
        <f t="shared" ca="1" si="380"/>
        <v>1.2267446937164241</v>
      </c>
      <c r="W884" s="304">
        <f t="shared" ca="1" si="381"/>
        <v>27.183880003861127</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0.52858792662580534</v>
      </c>
      <c r="AH884" s="304">
        <f t="shared" ca="1" si="405"/>
        <v>-9.2578497314551189</v>
      </c>
    </row>
    <row r="885" spans="1:34" x14ac:dyDescent="0.2">
      <c r="A885" s="347">
        <f t="shared" ca="1" si="383"/>
        <v>1E-4</v>
      </c>
      <c r="B885" s="304">
        <f t="shared" ca="1" si="384"/>
        <v>37.13760000000147</v>
      </c>
      <c r="D885" s="306">
        <f t="shared" ca="1" si="385"/>
        <v>-0.64126232524604676</v>
      </c>
      <c r="E885" s="307">
        <f t="shared" ca="1" si="386"/>
        <v>-0.57436702874161405</v>
      </c>
      <c r="F885" s="304">
        <f t="shared" ca="1" si="387"/>
        <v>0.8608802782532754</v>
      </c>
      <c r="G885" s="306">
        <f t="shared" ca="1" si="388"/>
        <v>7.2181831165927601</v>
      </c>
      <c r="H885" s="307">
        <f t="shared" ca="1" si="389"/>
        <v>-103.95920115367292</v>
      </c>
      <c r="I885" s="304">
        <f t="shared" ca="1" si="390"/>
        <v>104.20948935684549</v>
      </c>
      <c r="J885" s="306">
        <f t="shared" ca="1" si="391"/>
        <v>837.4075040097224</v>
      </c>
      <c r="K885" s="307">
        <f t="shared" ca="1" si="392"/>
        <v>-14.242658525137779</v>
      </c>
      <c r="L885" s="304">
        <f t="shared" ca="1" si="377"/>
        <v>837.52861508945284</v>
      </c>
      <c r="M885" s="306">
        <f t="shared" ca="1" si="393"/>
        <v>-1.5014747367315924</v>
      </c>
      <c r="N885" s="304">
        <f t="shared" ca="1" si="394"/>
        <v>-86.02816546023665</v>
      </c>
      <c r="P885" s="310">
        <f t="shared" ca="1" si="395"/>
        <v>23</v>
      </c>
      <c r="Q885" s="304">
        <f t="shared" ca="1" si="396"/>
        <v>0</v>
      </c>
      <c r="R885" s="306">
        <f t="shared" ca="1" si="397"/>
        <v>0</v>
      </c>
      <c r="S885" s="307">
        <f t="shared" ca="1" si="398"/>
        <v>2.9362999999999984</v>
      </c>
      <c r="T885" s="304">
        <f t="shared" ca="1" si="378"/>
        <v>28.805102999999985</v>
      </c>
      <c r="U885" s="311">
        <f t="shared" ca="1" si="379"/>
        <v>0</v>
      </c>
      <c r="V885" s="306">
        <f t="shared" ca="1" si="380"/>
        <v>1.2267459690313649</v>
      </c>
      <c r="W885" s="304">
        <f t="shared" ca="1" si="381"/>
        <v>27.183935840397968</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0.52856935346889244</v>
      </c>
      <c r="AH885" s="304">
        <f t="shared" ca="1" si="405"/>
        <v>-9.2578687476964685</v>
      </c>
    </row>
    <row r="886" spans="1:34" x14ac:dyDescent="0.2">
      <c r="A886" s="347">
        <f t="shared" ca="1" si="383"/>
        <v>1E-4</v>
      </c>
      <c r="B886" s="304">
        <f t="shared" ca="1" si="384"/>
        <v>37.137700000001473</v>
      </c>
      <c r="D886" s="306">
        <f t="shared" ca="1" si="385"/>
        <v>-0.64125762023495569</v>
      </c>
      <c r="E886" s="307">
        <f t="shared" ca="1" si="386"/>
        <v>-0.57434764032428376</v>
      </c>
      <c r="F886" s="304">
        <f t="shared" ca="1" si="387"/>
        <v>0.86086383792994325</v>
      </c>
      <c r="G886" s="306">
        <f t="shared" ca="1" si="388"/>
        <v>7.218118990830737</v>
      </c>
      <c r="H886" s="307">
        <f t="shared" ca="1" si="389"/>
        <v>-103.95925858843695</v>
      </c>
      <c r="I886" s="304">
        <f t="shared" ca="1" si="390"/>
        <v>104.2095422119457</v>
      </c>
      <c r="J886" s="306">
        <f t="shared" ca="1" si="391"/>
        <v>837.4075040097224</v>
      </c>
      <c r="K886" s="307">
        <f t="shared" ca="1" si="392"/>
        <v>-14.253054448124885</v>
      </c>
      <c r="L886" s="304">
        <f t="shared" ca="1" si="377"/>
        <v>837.52879194263789</v>
      </c>
      <c r="M886" s="306">
        <f t="shared" ca="1" si="393"/>
        <v>-1.5014753887834655</v>
      </c>
      <c r="N886" s="304">
        <f t="shared" ca="1" si="394"/>
        <v>-86.028202820057004</v>
      </c>
      <c r="P886" s="310">
        <f t="shared" ca="1" si="395"/>
        <v>23</v>
      </c>
      <c r="Q886" s="304">
        <f t="shared" ca="1" si="396"/>
        <v>0</v>
      </c>
      <c r="R886" s="306">
        <f t="shared" ca="1" si="397"/>
        <v>0</v>
      </c>
      <c r="S886" s="307">
        <f t="shared" ca="1" si="398"/>
        <v>2.9362999999999984</v>
      </c>
      <c r="T886" s="304">
        <f t="shared" ca="1" si="378"/>
        <v>28.805102999999985</v>
      </c>
      <c r="U886" s="311">
        <f t="shared" ca="1" si="379"/>
        <v>0</v>
      </c>
      <c r="V886" s="306">
        <f t="shared" ca="1" si="380"/>
        <v>1.2267472443483367</v>
      </c>
      <c r="W886" s="304">
        <f t="shared" ca="1" si="381"/>
        <v>27.183991676082147</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0.528550780593811</v>
      </c>
      <c r="AH886" s="304">
        <f t="shared" ca="1" si="405"/>
        <v>-9.2578877636474424</v>
      </c>
    </row>
    <row r="887" spans="1:34" x14ac:dyDescent="0.2">
      <c r="A887" s="347">
        <f t="shared" ca="1" si="383"/>
        <v>1E-4</v>
      </c>
      <c r="B887" s="304">
        <f t="shared" ca="1" si="384"/>
        <v>37.137800000001477</v>
      </c>
      <c r="D887" s="306">
        <f t="shared" ca="1" si="385"/>
        <v>-0.64125291523834926</v>
      </c>
      <c r="E887" s="307">
        <f t="shared" ca="1" si="386"/>
        <v>-0.57432825220299044</v>
      </c>
      <c r="F887" s="304">
        <f t="shared" ca="1" si="387"/>
        <v>0.86084739796332277</v>
      </c>
      <c r="G887" s="306">
        <f t="shared" ca="1" si="388"/>
        <v>7.2180548655392132</v>
      </c>
      <c r="H887" s="307">
        <f t="shared" ca="1" si="389"/>
        <v>-103.95931602126217</v>
      </c>
      <c r="I887" s="304">
        <f t="shared" ca="1" si="390"/>
        <v>104.20959506518865</v>
      </c>
      <c r="J887" s="306">
        <f t="shared" ca="1" si="391"/>
        <v>837.4075040097224</v>
      </c>
      <c r="K887" s="307">
        <f t="shared" ca="1" si="392"/>
        <v>-14.263450376855371</v>
      </c>
      <c r="L887" s="304">
        <f t="shared" ca="1" si="377"/>
        <v>837.5289689249239</v>
      </c>
      <c r="M887" s="306">
        <f t="shared" ca="1" si="393"/>
        <v>-1.5014760408288848</v>
      </c>
      <c r="N887" s="304">
        <f t="shared" ca="1" si="394"/>
        <v>-86.028240179507577</v>
      </c>
      <c r="P887" s="310">
        <f t="shared" ca="1" si="395"/>
        <v>23</v>
      </c>
      <c r="Q887" s="304">
        <f t="shared" ca="1" si="396"/>
        <v>0</v>
      </c>
      <c r="R887" s="306">
        <f t="shared" ca="1" si="397"/>
        <v>0</v>
      </c>
      <c r="S887" s="307">
        <f t="shared" ca="1" si="398"/>
        <v>2.9362999999999984</v>
      </c>
      <c r="T887" s="304">
        <f t="shared" ca="1" si="378"/>
        <v>28.805102999999985</v>
      </c>
      <c r="U887" s="311">
        <f t="shared" ca="1" si="379"/>
        <v>0</v>
      </c>
      <c r="V887" s="306">
        <f t="shared" ca="1" si="380"/>
        <v>1.2267485196673404</v>
      </c>
      <c r="W887" s="304">
        <f t="shared" ca="1" si="381"/>
        <v>27.184047510913711</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0.52853220800056988</v>
      </c>
      <c r="AH887" s="304">
        <f t="shared" ca="1" si="405"/>
        <v>-9.2579067793080281</v>
      </c>
    </row>
    <row r="888" spans="1:34" x14ac:dyDescent="0.2">
      <c r="A888" s="347">
        <f t="shared" ca="1" si="383"/>
        <v>1E-4</v>
      </c>
      <c r="B888" s="304">
        <f t="shared" ca="1" si="384"/>
        <v>37.13790000000148</v>
      </c>
      <c r="D888" s="306">
        <f t="shared" ca="1" si="385"/>
        <v>-0.64124821025622547</v>
      </c>
      <c r="E888" s="307">
        <f t="shared" ca="1" si="386"/>
        <v>-0.57430886437771989</v>
      </c>
      <c r="F888" s="304">
        <f t="shared" ca="1" si="387"/>
        <v>0.86083095835340318</v>
      </c>
      <c r="G888" s="306">
        <f t="shared" ca="1" si="388"/>
        <v>7.2179907407181876</v>
      </c>
      <c r="H888" s="307">
        <f t="shared" ca="1" si="389"/>
        <v>-103.95937345214861</v>
      </c>
      <c r="I888" s="304">
        <f t="shared" ca="1" si="390"/>
        <v>104.20964791657437</v>
      </c>
      <c r="J888" s="306">
        <f t="shared" ca="1" si="391"/>
        <v>837.4075040097224</v>
      </c>
      <c r="K888" s="307">
        <f t="shared" ca="1" si="392"/>
        <v>-14.273846311329041</v>
      </c>
      <c r="L888" s="304">
        <f t="shared" ca="1" si="377"/>
        <v>837.5291460363112</v>
      </c>
      <c r="M888" s="306">
        <f t="shared" ca="1" si="393"/>
        <v>-1.5014766928678496</v>
      </c>
      <c r="N888" s="304">
        <f t="shared" ca="1" si="394"/>
        <v>-86.028277538588341</v>
      </c>
      <c r="P888" s="310">
        <f t="shared" ca="1" si="395"/>
        <v>23</v>
      </c>
      <c r="Q888" s="304">
        <f t="shared" ca="1" si="396"/>
        <v>0</v>
      </c>
      <c r="R888" s="306">
        <f t="shared" ca="1" si="397"/>
        <v>0</v>
      </c>
      <c r="S888" s="307">
        <f t="shared" ca="1" si="398"/>
        <v>2.9362999999999984</v>
      </c>
      <c r="T888" s="304">
        <f t="shared" ca="1" si="378"/>
        <v>28.805102999999985</v>
      </c>
      <c r="U888" s="311">
        <f t="shared" ca="1" si="379"/>
        <v>0</v>
      </c>
      <c r="V888" s="306">
        <f t="shared" ca="1" si="380"/>
        <v>1.2267497949883748</v>
      </c>
      <c r="W888" s="304">
        <f t="shared" ca="1" si="381"/>
        <v>27.184103344892634</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0.52851363568915311</v>
      </c>
      <c r="AH888" s="304">
        <f t="shared" ca="1" si="405"/>
        <v>-9.2579257946782434</v>
      </c>
    </row>
    <row r="889" spans="1:34" x14ac:dyDescent="0.2">
      <c r="A889" s="347">
        <f t="shared" ca="1" si="383"/>
        <v>1E-4</v>
      </c>
      <c r="B889" s="304">
        <f t="shared" ca="1" si="384"/>
        <v>37.138000000001483</v>
      </c>
      <c r="D889" s="306">
        <f t="shared" ca="1" si="385"/>
        <v>-0.64124350528858898</v>
      </c>
      <c r="E889" s="307">
        <f t="shared" ca="1" si="386"/>
        <v>-0.57428947684847742</v>
      </c>
      <c r="F889" s="304">
        <f t="shared" ca="1" si="387"/>
        <v>0.8608145191001918</v>
      </c>
      <c r="G889" s="306">
        <f t="shared" ca="1" si="388"/>
        <v>7.2179266163676585</v>
      </c>
      <c r="H889" s="307">
        <f t="shared" ca="1" si="389"/>
        <v>-103.9594308810963</v>
      </c>
      <c r="I889" s="304">
        <f t="shared" ca="1" si="390"/>
        <v>104.2097007661029</v>
      </c>
      <c r="J889" s="306">
        <f t="shared" ca="1" si="391"/>
        <v>837.4075040097224</v>
      </c>
      <c r="K889" s="307">
        <f t="shared" ca="1" si="392"/>
        <v>-14.284242251545704</v>
      </c>
      <c r="L889" s="304">
        <f t="shared" ca="1" si="377"/>
        <v>837.52932327679969</v>
      </c>
      <c r="M889" s="306">
        <f t="shared" ca="1" si="393"/>
        <v>-1.5014773449003604</v>
      </c>
      <c r="N889" s="304">
        <f t="shared" ca="1" si="394"/>
        <v>-86.02831489729931</v>
      </c>
      <c r="P889" s="310">
        <f t="shared" ca="1" si="395"/>
        <v>23</v>
      </c>
      <c r="Q889" s="304">
        <f t="shared" ca="1" si="396"/>
        <v>0</v>
      </c>
      <c r="R889" s="306">
        <f t="shared" ca="1" si="397"/>
        <v>0</v>
      </c>
      <c r="S889" s="307">
        <f t="shared" ca="1" si="398"/>
        <v>2.9362999999999984</v>
      </c>
      <c r="T889" s="304">
        <f t="shared" ca="1" si="378"/>
        <v>28.805102999999985</v>
      </c>
      <c r="U889" s="311">
        <f t="shared" ca="1" si="379"/>
        <v>0</v>
      </c>
      <c r="V889" s="306">
        <f t="shared" ca="1" si="380"/>
        <v>1.2267510703114408</v>
      </c>
      <c r="W889" s="304">
        <f t="shared" ca="1" si="381"/>
        <v>27.184159178018959</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0.52849506365956955</v>
      </c>
      <c r="AH889" s="304">
        <f t="shared" ca="1" si="405"/>
        <v>-9.2579448097580794</v>
      </c>
    </row>
    <row r="890" spans="1:34" x14ac:dyDescent="0.2">
      <c r="A890" s="347">
        <f t="shared" ca="1" si="383"/>
        <v>1E-4</v>
      </c>
      <c r="B890" s="304">
        <f t="shared" ca="1" si="384"/>
        <v>37.138100000001486</v>
      </c>
      <c r="D890" s="306">
        <f t="shared" ca="1" si="385"/>
        <v>-0.64123880033543756</v>
      </c>
      <c r="E890" s="307">
        <f t="shared" ca="1" si="386"/>
        <v>-0.57427008961525239</v>
      </c>
      <c r="F890" s="304">
        <f t="shared" ca="1" si="387"/>
        <v>0.86079808020368009</v>
      </c>
      <c r="G890" s="306">
        <f t="shared" ca="1" si="388"/>
        <v>7.2178624924876251</v>
      </c>
      <c r="H890" s="307">
        <f t="shared" ca="1" si="389"/>
        <v>-103.95948830810526</v>
      </c>
      <c r="I890" s="304">
        <f t="shared" ca="1" si="390"/>
        <v>104.20975361377424</v>
      </c>
      <c r="J890" s="306">
        <f t="shared" ca="1" si="391"/>
        <v>837.4075040097224</v>
      </c>
      <c r="K890" s="307">
        <f t="shared" ca="1" si="392"/>
        <v>-14.294638197505165</v>
      </c>
      <c r="L890" s="304">
        <f t="shared" ca="1" si="377"/>
        <v>837.52950064638969</v>
      </c>
      <c r="M890" s="306">
        <f t="shared" ca="1" si="393"/>
        <v>-1.5014779969264174</v>
      </c>
      <c r="N890" s="304">
        <f t="shared" ca="1" si="394"/>
        <v>-86.028352255640513</v>
      </c>
      <c r="P890" s="310">
        <f t="shared" ca="1" si="395"/>
        <v>23</v>
      </c>
      <c r="Q890" s="304">
        <f t="shared" ca="1" si="396"/>
        <v>0</v>
      </c>
      <c r="R890" s="306">
        <f t="shared" ca="1" si="397"/>
        <v>0</v>
      </c>
      <c r="S890" s="307">
        <f t="shared" ca="1" si="398"/>
        <v>2.9362999999999984</v>
      </c>
      <c r="T890" s="304">
        <f t="shared" ca="1" si="378"/>
        <v>28.805102999999985</v>
      </c>
      <c r="U890" s="311">
        <f t="shared" ca="1" si="379"/>
        <v>0</v>
      </c>
      <c r="V890" s="306">
        <f t="shared" ca="1" si="380"/>
        <v>1.2267523456365381</v>
      </c>
      <c r="W890" s="304">
        <f t="shared" ca="1" si="381"/>
        <v>27.184215010292672</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0.52847649191180501</v>
      </c>
      <c r="AH890" s="304">
        <f t="shared" ca="1" si="405"/>
        <v>-9.2579638245475504</v>
      </c>
    </row>
    <row r="891" spans="1:34" x14ac:dyDescent="0.2">
      <c r="A891" s="347">
        <f t="shared" ca="1" si="383"/>
        <v>1E-4</v>
      </c>
      <c r="B891" s="304">
        <f t="shared" ca="1" si="384"/>
        <v>37.13820000000149</v>
      </c>
      <c r="D891" s="306">
        <f t="shared" ca="1" si="385"/>
        <v>-0.64123409539677179</v>
      </c>
      <c r="E891" s="307">
        <f t="shared" ca="1" si="386"/>
        <v>-0.57425070267804479</v>
      </c>
      <c r="F891" s="304">
        <f t="shared" ca="1" si="387"/>
        <v>0.86078164166386839</v>
      </c>
      <c r="G891" s="306">
        <f t="shared" ca="1" si="388"/>
        <v>7.2177983690780856</v>
      </c>
      <c r="H891" s="307">
        <f t="shared" ca="1" si="389"/>
        <v>-103.95954573317553</v>
      </c>
      <c r="I891" s="304">
        <f t="shared" ca="1" si="390"/>
        <v>104.20980645958844</v>
      </c>
      <c r="J891" s="306">
        <f t="shared" ca="1" si="391"/>
        <v>837.4075040097224</v>
      </c>
      <c r="K891" s="307">
        <f t="shared" ca="1" si="392"/>
        <v>-14.305034149207229</v>
      </c>
      <c r="L891" s="304">
        <f t="shared" ca="1" si="377"/>
        <v>837.52967814508111</v>
      </c>
      <c r="M891" s="306">
        <f t="shared" ca="1" si="393"/>
        <v>-1.5014786489460206</v>
      </c>
      <c r="N891" s="304">
        <f t="shared" ca="1" si="394"/>
        <v>-86.028389613611935</v>
      </c>
      <c r="P891" s="310">
        <f t="shared" ca="1" si="395"/>
        <v>23</v>
      </c>
      <c r="Q891" s="304">
        <f t="shared" ca="1" si="396"/>
        <v>0</v>
      </c>
      <c r="R891" s="306">
        <f t="shared" ca="1" si="397"/>
        <v>0</v>
      </c>
      <c r="S891" s="307">
        <f t="shared" ca="1" si="398"/>
        <v>2.9362999999999984</v>
      </c>
      <c r="T891" s="304">
        <f t="shared" ca="1" si="378"/>
        <v>28.805102999999985</v>
      </c>
      <c r="U891" s="311">
        <f t="shared" ca="1" si="379"/>
        <v>0</v>
      </c>
      <c r="V891" s="306">
        <f t="shared" ca="1" si="380"/>
        <v>1.2267536209636667</v>
      </c>
      <c r="W891" s="304">
        <f t="shared" ca="1" si="381"/>
        <v>27.184270841713793</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0.52845792044586126</v>
      </c>
      <c r="AH891" s="304">
        <f t="shared" ca="1" si="405"/>
        <v>-9.2579828390466528</v>
      </c>
    </row>
    <row r="892" spans="1:34" x14ac:dyDescent="0.2">
      <c r="A892" s="347">
        <f t="shared" ca="1" si="383"/>
        <v>1E-4</v>
      </c>
      <c r="B892" s="304">
        <f t="shared" ca="1" si="384"/>
        <v>37.138300000001493</v>
      </c>
      <c r="D892" s="306">
        <f t="shared" ca="1" si="385"/>
        <v>-0.64122939047259098</v>
      </c>
      <c r="E892" s="307">
        <f t="shared" ca="1" si="386"/>
        <v>-0.57423131603685107</v>
      </c>
      <c r="F892" s="304">
        <f t="shared" ca="1" si="387"/>
        <v>0.86076520348075436</v>
      </c>
      <c r="G892" s="306">
        <f t="shared" ca="1" si="388"/>
        <v>7.2177342461390381</v>
      </c>
      <c r="H892" s="307">
        <f t="shared" ca="1" si="389"/>
        <v>-103.95960315630714</v>
      </c>
      <c r="I892" s="304">
        <f t="shared" ca="1" si="390"/>
        <v>104.20985930354553</v>
      </c>
      <c r="J892" s="306">
        <f t="shared" ca="1" si="391"/>
        <v>837.4075040097224</v>
      </c>
      <c r="K892" s="307">
        <f t="shared" ca="1" si="392"/>
        <v>-14.315430106651704</v>
      </c>
      <c r="L892" s="304">
        <f t="shared" ca="1" si="377"/>
        <v>837.52985577287427</v>
      </c>
      <c r="M892" s="306">
        <f t="shared" ca="1" si="393"/>
        <v>-1.5014793009591698</v>
      </c>
      <c r="N892" s="304">
        <f t="shared" ca="1" si="394"/>
        <v>-86.028426971213563</v>
      </c>
      <c r="P892" s="310">
        <f t="shared" ca="1" si="395"/>
        <v>23</v>
      </c>
      <c r="Q892" s="304">
        <f t="shared" ca="1" si="396"/>
        <v>0</v>
      </c>
      <c r="R892" s="306">
        <f t="shared" ca="1" si="397"/>
        <v>0</v>
      </c>
      <c r="S892" s="307">
        <f t="shared" ca="1" si="398"/>
        <v>2.9362999999999984</v>
      </c>
      <c r="T892" s="304">
        <f t="shared" ca="1" si="378"/>
        <v>28.805102999999985</v>
      </c>
      <c r="U892" s="311">
        <f t="shared" ca="1" si="379"/>
        <v>0</v>
      </c>
      <c r="V892" s="306">
        <f t="shared" ca="1" si="380"/>
        <v>1.2267548962928263</v>
      </c>
      <c r="W892" s="304">
        <f t="shared" ca="1" si="381"/>
        <v>27.184326672282339</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0.52843934926173652</v>
      </c>
      <c r="AH892" s="304">
        <f t="shared" ca="1" si="405"/>
        <v>-9.2580018532553918</v>
      </c>
    </row>
    <row r="893" spans="1:34" x14ac:dyDescent="0.2">
      <c r="A893" s="347">
        <f t="shared" ca="1" si="383"/>
        <v>1E-4</v>
      </c>
      <c r="B893" s="304">
        <f t="shared" ca="1" si="384"/>
        <v>37.138400000001496</v>
      </c>
      <c r="D893" s="306">
        <f t="shared" ca="1" si="385"/>
        <v>-0.64122468556289858</v>
      </c>
      <c r="E893" s="307">
        <f t="shared" ca="1" si="386"/>
        <v>-0.57421192969166235</v>
      </c>
      <c r="F893" s="304">
        <f t="shared" ca="1" si="387"/>
        <v>0.86074876565433467</v>
      </c>
      <c r="G893" s="306">
        <f t="shared" ca="1" si="388"/>
        <v>7.2176701236704819</v>
      </c>
      <c r="H893" s="307">
        <f t="shared" ca="1" si="389"/>
        <v>-103.9596605775001</v>
      </c>
      <c r="I893" s="304">
        <f t="shared" ca="1" si="390"/>
        <v>104.2099121456455</v>
      </c>
      <c r="J893" s="306">
        <f t="shared" ca="1" si="391"/>
        <v>837.4075040097224</v>
      </c>
      <c r="K893" s="307">
        <f t="shared" ca="1" si="392"/>
        <v>-14.325826069838394</v>
      </c>
      <c r="L893" s="304">
        <f t="shared" ca="1" si="377"/>
        <v>837.5300335297693</v>
      </c>
      <c r="M893" s="306">
        <f t="shared" ca="1" si="393"/>
        <v>-1.5014799529658651</v>
      </c>
      <c r="N893" s="304">
        <f t="shared" ca="1" si="394"/>
        <v>-86.028464328445423</v>
      </c>
      <c r="P893" s="310">
        <f t="shared" ca="1" si="395"/>
        <v>23</v>
      </c>
      <c r="Q893" s="304">
        <f t="shared" ca="1" si="396"/>
        <v>0</v>
      </c>
      <c r="R893" s="306">
        <f t="shared" ca="1" si="397"/>
        <v>0</v>
      </c>
      <c r="S893" s="307">
        <f t="shared" ca="1" si="398"/>
        <v>2.9362999999999984</v>
      </c>
      <c r="T893" s="304">
        <f t="shared" ca="1" si="378"/>
        <v>28.805102999999985</v>
      </c>
      <c r="U893" s="311">
        <f t="shared" ca="1" si="379"/>
        <v>0</v>
      </c>
      <c r="V893" s="306">
        <f t="shared" ca="1" si="380"/>
        <v>1.2267561716240172</v>
      </c>
      <c r="W893" s="304">
        <f t="shared" ca="1" si="381"/>
        <v>27.184382501998293</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0.52842077835942192</v>
      </c>
      <c r="AH893" s="304">
        <f t="shared" ca="1" si="405"/>
        <v>-9.2580208671737747</v>
      </c>
    </row>
    <row r="894" spans="1:34" x14ac:dyDescent="0.2">
      <c r="A894" s="347">
        <f t="shared" ca="1" si="383"/>
        <v>1E-4</v>
      </c>
      <c r="B894" s="304">
        <f t="shared" ca="1" si="384"/>
        <v>37.1385000000015</v>
      </c>
      <c r="D894" s="306">
        <f t="shared" ca="1" si="385"/>
        <v>-0.64121998066769514</v>
      </c>
      <c r="E894" s="307">
        <f t="shared" ca="1" si="386"/>
        <v>-0.57419254364248751</v>
      </c>
      <c r="F894" s="304">
        <f t="shared" ca="1" si="387"/>
        <v>0.86073232818461587</v>
      </c>
      <c r="G894" s="306">
        <f t="shared" ca="1" si="388"/>
        <v>7.2176060016724151</v>
      </c>
      <c r="H894" s="307">
        <f t="shared" ca="1" si="389"/>
        <v>-103.95971799675446</v>
      </c>
      <c r="I894" s="304">
        <f t="shared" ca="1" si="390"/>
        <v>104.20996498588842</v>
      </c>
      <c r="J894" s="306">
        <f t="shared" ca="1" si="391"/>
        <v>837.4075040097224</v>
      </c>
      <c r="K894" s="307">
        <f t="shared" ca="1" si="392"/>
        <v>-14.336222038767106</v>
      </c>
      <c r="L894" s="304">
        <f t="shared" ca="1" si="377"/>
        <v>837.53021141576619</v>
      </c>
      <c r="M894" s="306">
        <f t="shared" ca="1" si="393"/>
        <v>-1.5014806049661071</v>
      </c>
      <c r="N894" s="304">
        <f t="shared" ca="1" si="394"/>
        <v>-86.028501685307532</v>
      </c>
      <c r="P894" s="310">
        <f t="shared" ca="1" si="395"/>
        <v>23</v>
      </c>
      <c r="Q894" s="304">
        <f t="shared" ca="1" si="396"/>
        <v>0</v>
      </c>
      <c r="R894" s="306">
        <f t="shared" ca="1" si="397"/>
        <v>0</v>
      </c>
      <c r="S894" s="307">
        <f t="shared" ca="1" si="398"/>
        <v>2.9362999999999984</v>
      </c>
      <c r="T894" s="304">
        <f t="shared" ca="1" si="378"/>
        <v>28.805102999999985</v>
      </c>
      <c r="U894" s="311">
        <f t="shared" ca="1" si="379"/>
        <v>0</v>
      </c>
      <c r="V894" s="306">
        <f t="shared" ca="1" si="380"/>
        <v>1.2267574469572391</v>
      </c>
      <c r="W894" s="304">
        <f t="shared" ca="1" si="381"/>
        <v>27.184438330861685</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0.52840220773892632</v>
      </c>
      <c r="AH894" s="304">
        <f t="shared" ca="1" si="405"/>
        <v>-9.2580398808017943</v>
      </c>
    </row>
    <row r="895" spans="1:34" x14ac:dyDescent="0.2">
      <c r="A895" s="347">
        <f t="shared" ca="1" si="383"/>
        <v>1E-4</v>
      </c>
      <c r="B895" s="304">
        <f t="shared" ca="1" si="384"/>
        <v>37.138600000001503</v>
      </c>
      <c r="D895" s="306">
        <f t="shared" ca="1" si="385"/>
        <v>-0.64121527578697612</v>
      </c>
      <c r="E895" s="307">
        <f t="shared" ca="1" si="386"/>
        <v>-0.57417315788931589</v>
      </c>
      <c r="F895" s="304">
        <f t="shared" ca="1" si="387"/>
        <v>0.86071589107158764</v>
      </c>
      <c r="G895" s="306">
        <f t="shared" ca="1" si="388"/>
        <v>7.2175418801448368</v>
      </c>
      <c r="H895" s="307">
        <f t="shared" ca="1" si="389"/>
        <v>-103.95977541407025</v>
      </c>
      <c r="I895" s="304">
        <f t="shared" ca="1" si="390"/>
        <v>104.21001782427432</v>
      </c>
      <c r="J895" s="306">
        <f t="shared" ca="1" si="391"/>
        <v>837.4075040097224</v>
      </c>
      <c r="K895" s="307">
        <f t="shared" ca="1" si="392"/>
        <v>-14.346618013437647</v>
      </c>
      <c r="L895" s="304">
        <f t="shared" ca="1" si="377"/>
        <v>837.53038943086517</v>
      </c>
      <c r="M895" s="306">
        <f t="shared" ca="1" si="393"/>
        <v>-1.5014812569598952</v>
      </c>
      <c r="N895" s="304">
        <f t="shared" ca="1" si="394"/>
        <v>-86.02853904179986</v>
      </c>
      <c r="P895" s="310">
        <f t="shared" ca="1" si="395"/>
        <v>23</v>
      </c>
      <c r="Q895" s="304">
        <f t="shared" ca="1" si="396"/>
        <v>0</v>
      </c>
      <c r="R895" s="306">
        <f t="shared" ca="1" si="397"/>
        <v>0</v>
      </c>
      <c r="S895" s="307">
        <f t="shared" ca="1" si="398"/>
        <v>2.9362999999999984</v>
      </c>
      <c r="T895" s="304">
        <f t="shared" ca="1" si="378"/>
        <v>28.805102999999985</v>
      </c>
      <c r="U895" s="311">
        <f t="shared" ca="1" si="379"/>
        <v>0</v>
      </c>
      <c r="V895" s="306">
        <f t="shared" ca="1" si="380"/>
        <v>1.2267587222924925</v>
      </c>
      <c r="W895" s="304">
        <f t="shared" ca="1" si="381"/>
        <v>27.184494158872539</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0.52838363740023908</v>
      </c>
      <c r="AH895" s="304">
        <f t="shared" ca="1" si="405"/>
        <v>-9.2580588941394613</v>
      </c>
    </row>
    <row r="896" spans="1:34" x14ac:dyDescent="0.2">
      <c r="A896" s="347">
        <f t="shared" ca="1" si="383"/>
        <v>1E-4</v>
      </c>
      <c r="B896" s="304">
        <f t="shared" ca="1" si="384"/>
        <v>37.138700000001506</v>
      </c>
      <c r="D896" s="306">
        <f t="shared" ca="1" si="385"/>
        <v>-0.64121057092074929</v>
      </c>
      <c r="E896" s="307">
        <f t="shared" ca="1" si="386"/>
        <v>-0.57415377243213861</v>
      </c>
      <c r="F896" s="304">
        <f t="shared" ca="1" si="387"/>
        <v>0.86069945431525008</v>
      </c>
      <c r="G896" s="306">
        <f t="shared" ca="1" si="388"/>
        <v>7.2174777590877444</v>
      </c>
      <c r="H896" s="307">
        <f t="shared" ca="1" si="389"/>
        <v>-103.95983282944749</v>
      </c>
      <c r="I896" s="304">
        <f t="shared" ca="1" si="390"/>
        <v>104.2100706608032</v>
      </c>
      <c r="J896" s="306">
        <f t="shared" ca="1" si="391"/>
        <v>837.4075040097224</v>
      </c>
      <c r="K896" s="307">
        <f t="shared" ca="1" si="392"/>
        <v>-14.357013993849822</v>
      </c>
      <c r="L896" s="304">
        <f t="shared" ca="1" si="377"/>
        <v>837.53056757506647</v>
      </c>
      <c r="M896" s="306">
        <f t="shared" ca="1" si="393"/>
        <v>-1.5014819089472302</v>
      </c>
      <c r="N896" s="304">
        <f t="shared" ca="1" si="394"/>
        <v>-86.02857639792245</v>
      </c>
      <c r="P896" s="310">
        <f t="shared" ca="1" si="395"/>
        <v>23</v>
      </c>
      <c r="Q896" s="304">
        <f t="shared" ca="1" si="396"/>
        <v>0</v>
      </c>
      <c r="R896" s="306">
        <f t="shared" ca="1" si="397"/>
        <v>0</v>
      </c>
      <c r="S896" s="307">
        <f t="shared" ca="1" si="398"/>
        <v>2.9362999999999984</v>
      </c>
      <c r="T896" s="304">
        <f t="shared" ca="1" si="378"/>
        <v>28.805102999999985</v>
      </c>
      <c r="U896" s="311">
        <f t="shared" ca="1" si="379"/>
        <v>0</v>
      </c>
      <c r="V896" s="306">
        <f t="shared" ca="1" si="380"/>
        <v>1.2267599976297765</v>
      </c>
      <c r="W896" s="304">
        <f t="shared" ca="1" si="381"/>
        <v>27.184549986030827</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0.52836506734334776</v>
      </c>
      <c r="AH896" s="304">
        <f t="shared" ca="1" si="405"/>
        <v>-9.2580779071867845</v>
      </c>
    </row>
    <row r="897" spans="1:34" x14ac:dyDescent="0.2">
      <c r="A897" s="347">
        <f t="shared" ca="1" si="383"/>
        <v>1E-4</v>
      </c>
      <c r="B897" s="304">
        <f t="shared" ca="1" si="384"/>
        <v>37.13880000000151</v>
      </c>
      <c r="D897" s="306">
        <f t="shared" ca="1" si="385"/>
        <v>-0.64120586606900654</v>
      </c>
      <c r="E897" s="307">
        <f t="shared" ca="1" si="386"/>
        <v>-0.57413438727096278</v>
      </c>
      <c r="F897" s="304">
        <f t="shared" ca="1" si="387"/>
        <v>0.86068301791560209</v>
      </c>
      <c r="G897" s="306">
        <f t="shared" ca="1" si="388"/>
        <v>7.2174136385011378</v>
      </c>
      <c r="H897" s="307">
        <f t="shared" ca="1" si="389"/>
        <v>-103.95989024288622</v>
      </c>
      <c r="I897" s="304">
        <f t="shared" ca="1" si="390"/>
        <v>104.2101234954751</v>
      </c>
      <c r="J897" s="306">
        <f t="shared" ca="1" si="391"/>
        <v>837.4075040097224</v>
      </c>
      <c r="K897" s="307">
        <f t="shared" ca="1" si="392"/>
        <v>-14.367409980003439</v>
      </c>
      <c r="L897" s="304">
        <f t="shared" ca="1" si="377"/>
        <v>837.53074584836986</v>
      </c>
      <c r="M897" s="306">
        <f t="shared" ca="1" si="393"/>
        <v>-1.5014825609281115</v>
      </c>
      <c r="N897" s="304">
        <f t="shared" ca="1" si="394"/>
        <v>-86.028613753675273</v>
      </c>
      <c r="P897" s="310">
        <f t="shared" ca="1" si="395"/>
        <v>23</v>
      </c>
      <c r="Q897" s="304">
        <f t="shared" ca="1" si="396"/>
        <v>0</v>
      </c>
      <c r="R897" s="306">
        <f t="shared" ca="1" si="397"/>
        <v>0</v>
      </c>
      <c r="S897" s="307">
        <f t="shared" ca="1" si="398"/>
        <v>2.9362999999999984</v>
      </c>
      <c r="T897" s="304">
        <f t="shared" ca="1" si="378"/>
        <v>28.805102999999985</v>
      </c>
      <c r="U897" s="311">
        <f t="shared" ca="1" si="379"/>
        <v>0</v>
      </c>
      <c r="V897" s="306">
        <f t="shared" ca="1" si="380"/>
        <v>1.2267612729690922</v>
      </c>
      <c r="W897" s="304">
        <f t="shared" ca="1" si="381"/>
        <v>27.184605812336606</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0.52834649756826835</v>
      </c>
      <c r="AH897" s="304">
        <f t="shared" ca="1" si="405"/>
        <v>-9.2580969199437533</v>
      </c>
    </row>
    <row r="898" spans="1:34" x14ac:dyDescent="0.2">
      <c r="A898" s="347">
        <f t="shared" ca="1" si="383"/>
        <v>1E-4</v>
      </c>
      <c r="B898" s="304">
        <f t="shared" ca="1" si="384"/>
        <v>37.138900000001513</v>
      </c>
      <c r="D898" s="306">
        <f t="shared" ca="1" si="385"/>
        <v>-0.64120116123175641</v>
      </c>
      <c r="E898" s="307">
        <f t="shared" ca="1" si="386"/>
        <v>-0.57411500240577418</v>
      </c>
      <c r="F898" s="304">
        <f t="shared" ca="1" si="387"/>
        <v>0.86066658187264067</v>
      </c>
      <c r="G898" s="306">
        <f t="shared" ca="1" si="388"/>
        <v>7.2173495183850145</v>
      </c>
      <c r="H898" s="307">
        <f t="shared" ca="1" si="389"/>
        <v>-103.95994765438645</v>
      </c>
      <c r="I898" s="304">
        <f t="shared" ca="1" si="390"/>
        <v>104.21017632829005</v>
      </c>
      <c r="J898" s="306">
        <f t="shared" ca="1" si="391"/>
        <v>837.4075040097224</v>
      </c>
      <c r="K898" s="307">
        <f t="shared" ca="1" si="392"/>
        <v>-14.377805971898303</v>
      </c>
      <c r="L898" s="304">
        <f t="shared" ca="1" si="377"/>
        <v>837.5309242507758</v>
      </c>
      <c r="M898" s="306">
        <f t="shared" ca="1" si="393"/>
        <v>-1.5014832129025395</v>
      </c>
      <c r="N898" s="304">
        <f t="shared" ca="1" si="394"/>
        <v>-86.028651109058345</v>
      </c>
      <c r="P898" s="310">
        <f t="shared" ca="1" si="395"/>
        <v>23</v>
      </c>
      <c r="Q898" s="304">
        <f t="shared" ca="1" si="396"/>
        <v>0</v>
      </c>
      <c r="R898" s="306">
        <f t="shared" ca="1" si="397"/>
        <v>0</v>
      </c>
      <c r="S898" s="307">
        <f t="shared" ca="1" si="398"/>
        <v>2.9362999999999984</v>
      </c>
      <c r="T898" s="304">
        <f t="shared" ca="1" si="378"/>
        <v>28.805102999999985</v>
      </c>
      <c r="U898" s="311">
        <f t="shared" ca="1" si="379"/>
        <v>0</v>
      </c>
      <c r="V898" s="306">
        <f t="shared" ca="1" si="380"/>
        <v>1.2267625483104387</v>
      </c>
      <c r="W898" s="304">
        <f t="shared" ca="1" si="381"/>
        <v>27.184661637789841</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0.52832792807497597</v>
      </c>
      <c r="AH898" s="304">
        <f t="shared" ca="1" si="405"/>
        <v>-9.2581159324103872</v>
      </c>
    </row>
    <row r="899" spans="1:34" x14ac:dyDescent="0.2">
      <c r="A899" s="347">
        <f t="shared" ca="1" si="383"/>
        <v>1E-4</v>
      </c>
      <c r="B899" s="304">
        <f t="shared" ca="1" si="384"/>
        <v>37.139000000001516</v>
      </c>
      <c r="D899" s="306">
        <f t="shared" ca="1" si="385"/>
        <v>-0.64119645640899492</v>
      </c>
      <c r="E899" s="307">
        <f t="shared" ca="1" si="386"/>
        <v>-0.57409561783657992</v>
      </c>
      <c r="F899" s="304">
        <f t="shared" ca="1" si="387"/>
        <v>0.86065014618636793</v>
      </c>
      <c r="G899" s="306">
        <f t="shared" ca="1" si="388"/>
        <v>7.2172853987393735</v>
      </c>
      <c r="H899" s="307">
        <f t="shared" ca="1" si="389"/>
        <v>-103.96000506394824</v>
      </c>
      <c r="I899" s="304">
        <f t="shared" ca="1" si="390"/>
        <v>104.21022915924809</v>
      </c>
      <c r="J899" s="306">
        <f t="shared" ca="1" si="391"/>
        <v>837.4075040097224</v>
      </c>
      <c r="K899" s="307">
        <f t="shared" ca="1" si="392"/>
        <v>-14.388201969534219</v>
      </c>
      <c r="L899" s="304">
        <f t="shared" ca="1" si="377"/>
        <v>837.53110278228439</v>
      </c>
      <c r="M899" s="306">
        <f t="shared" ca="1" si="393"/>
        <v>-1.5014838648705142</v>
      </c>
      <c r="N899" s="304">
        <f t="shared" ca="1" si="394"/>
        <v>-86.028688464071678</v>
      </c>
      <c r="P899" s="310">
        <f t="shared" ca="1" si="395"/>
        <v>23</v>
      </c>
      <c r="Q899" s="304">
        <f t="shared" ca="1" si="396"/>
        <v>0</v>
      </c>
      <c r="R899" s="306">
        <f t="shared" ca="1" si="397"/>
        <v>0</v>
      </c>
      <c r="S899" s="307">
        <f t="shared" ca="1" si="398"/>
        <v>2.9362999999999984</v>
      </c>
      <c r="T899" s="304">
        <f t="shared" ca="1" si="378"/>
        <v>28.805102999999985</v>
      </c>
      <c r="U899" s="311">
        <f t="shared" ca="1" si="379"/>
        <v>0</v>
      </c>
      <c r="V899" s="306">
        <f t="shared" ca="1" si="380"/>
        <v>1.2267638236538165</v>
      </c>
      <c r="W899" s="304">
        <f t="shared" ca="1" si="381"/>
        <v>27.184717462390573</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0.52830935886348662</v>
      </c>
      <c r="AH899" s="304">
        <f t="shared" ca="1" si="405"/>
        <v>-9.2581349445866756</v>
      </c>
    </row>
    <row r="900" spans="1:34" x14ac:dyDescent="0.2">
      <c r="A900" s="347">
        <f t="shared" ca="1" si="383"/>
        <v>1E-4</v>
      </c>
      <c r="B900" s="304">
        <f t="shared" ca="1" si="384"/>
        <v>37.13910000000152</v>
      </c>
      <c r="D900" s="306">
        <f t="shared" ca="1" si="385"/>
        <v>-0.64119175160072395</v>
      </c>
      <c r="E900" s="307">
        <f t="shared" ca="1" si="386"/>
        <v>-0.57407623356336757</v>
      </c>
      <c r="F900" s="304">
        <f t="shared" ca="1" si="387"/>
        <v>0.86063371085677709</v>
      </c>
      <c r="G900" s="306">
        <f t="shared" ca="1" si="388"/>
        <v>7.217221279564213</v>
      </c>
      <c r="H900" s="307">
        <f t="shared" ca="1" si="389"/>
        <v>-103.9600624715716</v>
      </c>
      <c r="I900" s="304">
        <f t="shared" ca="1" si="390"/>
        <v>104.21028198834924</v>
      </c>
      <c r="J900" s="306">
        <f t="shared" ca="1" si="391"/>
        <v>837.4075040097224</v>
      </c>
      <c r="K900" s="307">
        <f t="shared" ca="1" si="392"/>
        <v>-14.398597972910995</v>
      </c>
      <c r="L900" s="304">
        <f t="shared" ref="L900:L963" ca="1" si="406">SQRT(pos_x^2+pos_z^2)</f>
        <v>837.53128144289565</v>
      </c>
      <c r="M900" s="306">
        <f t="shared" ca="1" si="393"/>
        <v>-1.5014845168320359</v>
      </c>
      <c r="N900" s="304">
        <f t="shared" ca="1" si="394"/>
        <v>-86.028725818715273</v>
      </c>
      <c r="P900" s="310">
        <f t="shared" ca="1" si="395"/>
        <v>23</v>
      </c>
      <c r="Q900" s="304">
        <f t="shared" ca="1" si="396"/>
        <v>0</v>
      </c>
      <c r="R900" s="306">
        <f t="shared" ca="1" si="397"/>
        <v>0</v>
      </c>
      <c r="S900" s="307">
        <f t="shared" ca="1" si="398"/>
        <v>2.9362999999999984</v>
      </c>
      <c r="T900" s="304">
        <f t="shared" ref="T900:T963" ca="1" si="407">m*g</f>
        <v>28.805102999999985</v>
      </c>
      <c r="U900" s="311">
        <f t="shared" ref="U900:U963" ca="1" si="408">IF(pos_xz&lt;L_rampe,Poids*COS(Beta),0)</f>
        <v>0</v>
      </c>
      <c r="V900" s="306">
        <f t="shared" ref="V900:V963" ca="1" si="409">Rho_moyen*(20000-Alt_rampe-pos_z)/(20000+Alt_rampe+pos_z)</f>
        <v>1.2267650989992254</v>
      </c>
      <c r="W900" s="304">
        <f t="shared" ref="W900:W963" ca="1" si="410">1/2*Rho*Sref*Cx*vit_xz^2</f>
        <v>27.18477328613881</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0.52829078993378609</v>
      </c>
      <c r="AH900" s="304">
        <f t="shared" ca="1" si="405"/>
        <v>-9.258153956472631</v>
      </c>
    </row>
    <row r="901" spans="1:34" x14ac:dyDescent="0.2">
      <c r="A901" s="347">
        <f t="shared" ref="A901:A964" ca="1" si="412">IF(B900+0.01&lt;=T_ini+ROUNDUP(Temps_fin_propu,0), 0.01, IF(K900&gt;0, 0.1, 0.0001))</f>
        <v>1E-4</v>
      </c>
      <c r="B901" s="304">
        <f t="shared" ref="B901:B964" ca="1" si="413">B900+pas</f>
        <v>37.139200000001523</v>
      </c>
      <c r="D901" s="306">
        <f t="shared" ref="D901:D964" ca="1" si="414">IF(AND(L900&lt;L_rampe,Poussee&lt;Poids*SIN(M900)),0,(-W900+Poussee)/m*COS(M900)-U900/m*SIN(M900))</f>
        <v>-0.64118704680694283</v>
      </c>
      <c r="E901" s="307">
        <f t="shared" ref="E901:E964" ca="1" si="415">IF(AND(L900&lt;L_rampe,Poussee&lt;Poids*SIN(M900)),0,(-W900+Poussee)/m*SIN(M900)+U900/m*COS(M900)-Poids/m)</f>
        <v>-0.57405684958613357</v>
      </c>
      <c r="F901" s="304">
        <f t="shared" ref="F901:F964" ca="1" si="416">SQRT(acc_x^2+acc_z^2)</f>
        <v>0.8606172758838655</v>
      </c>
      <c r="G901" s="306">
        <f t="shared" ref="G901:G964" ca="1" si="417">G900+acc_x*pas</f>
        <v>7.2171571608595322</v>
      </c>
      <c r="H901" s="307">
        <f t="shared" ref="H901:H964" ca="1" si="418">H900+acc_z*pas</f>
        <v>-103.96011987725656</v>
      </c>
      <c r="I901" s="304">
        <f t="shared" ref="I901:I964" ca="1" si="419">SQRT(vit_x^2+vit_z^2)</f>
        <v>104.21033481559351</v>
      </c>
      <c r="J901" s="306">
        <f t="shared" ref="J901:J964" ca="1" si="420">J900+0.5*(vit_x+G900)*pas*(K900&gt;=0)</f>
        <v>837.4075040097224</v>
      </c>
      <c r="K901" s="307">
        <f t="shared" ref="K901:K964" ca="1" si="421">K900+0.5*(vit_z+H900)*pas</f>
        <v>-14.408993982028436</v>
      </c>
      <c r="L901" s="304">
        <f t="shared" ca="1" si="406"/>
        <v>837.53146023260956</v>
      </c>
      <c r="M901" s="306">
        <f t="shared" ref="M901:M964" ca="1" si="422">IF(AND(L900&gt;L_rampe,G901&gt;0),ATAN2(G901,H901),$M$4)</f>
        <v>-1.5014851687871043</v>
      </c>
      <c r="N901" s="304">
        <f t="shared" ref="N901:N964" ca="1" si="423">DEGREES(Beta)</f>
        <v>-86.028763172989116</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2.9362999999999984</v>
      </c>
      <c r="T901" s="304">
        <f t="shared" ca="1" si="407"/>
        <v>28.805102999999985</v>
      </c>
      <c r="U901" s="311">
        <f t="shared" ca="1" si="408"/>
        <v>0</v>
      </c>
      <c r="V901" s="306">
        <f t="shared" ca="1" si="409"/>
        <v>1.2267663743466652</v>
      </c>
      <c r="W901" s="304">
        <f t="shared" ca="1" si="410"/>
        <v>27.184829109034538</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0.52827222128586904</v>
      </c>
      <c r="AH901" s="304">
        <f t="shared" ref="AH901:AH964" ca="1" si="434">IF(AND(L900&lt;L_rampe,Poussee&lt;Poids*SIN(M900)), g*SIN(M900), (-W900+Poussee)/m)</f>
        <v>-9.2581729680682585</v>
      </c>
    </row>
    <row r="902" spans="1:34" x14ac:dyDescent="0.2">
      <c r="A902" s="347">
        <f t="shared" ca="1" si="412"/>
        <v>1E-4</v>
      </c>
      <c r="B902" s="304">
        <f t="shared" ca="1" si="413"/>
        <v>37.139300000001526</v>
      </c>
      <c r="D902" s="306">
        <f t="shared" ca="1" si="414"/>
        <v>-0.64118234202765378</v>
      </c>
      <c r="E902" s="307">
        <f t="shared" ca="1" si="415"/>
        <v>-0.5740374659048868</v>
      </c>
      <c r="F902" s="304">
        <f t="shared" ca="1" si="416"/>
        <v>0.86060084126764091</v>
      </c>
      <c r="G902" s="306">
        <f t="shared" ca="1" si="417"/>
        <v>7.2170930426253292</v>
      </c>
      <c r="H902" s="307">
        <f t="shared" ca="1" si="418"/>
        <v>-103.96017728100315</v>
      </c>
      <c r="I902" s="304">
        <f t="shared" ca="1" si="419"/>
        <v>104.21038764098095</v>
      </c>
      <c r="J902" s="306">
        <f t="shared" ca="1" si="420"/>
        <v>837.4075040097224</v>
      </c>
      <c r="K902" s="307">
        <f t="shared" ca="1" si="421"/>
        <v>-14.419389996886348</v>
      </c>
      <c r="L902" s="304">
        <f t="shared" ca="1" si="406"/>
        <v>837.5316391514267</v>
      </c>
      <c r="M902" s="306">
        <f t="shared" ca="1" si="422"/>
        <v>-1.5014858207357198</v>
      </c>
      <c r="N902" s="304">
        <f t="shared" ca="1" si="423"/>
        <v>-86.028800526893249</v>
      </c>
      <c r="P902" s="310">
        <f t="shared" ca="1" si="424"/>
        <v>23</v>
      </c>
      <c r="Q902" s="304">
        <f t="shared" ca="1" si="425"/>
        <v>0</v>
      </c>
      <c r="R902" s="306">
        <f t="shared" ca="1" si="426"/>
        <v>0</v>
      </c>
      <c r="S902" s="307">
        <f t="shared" ca="1" si="427"/>
        <v>2.9362999999999984</v>
      </c>
      <c r="T902" s="304">
        <f t="shared" ca="1" si="407"/>
        <v>28.805102999999985</v>
      </c>
      <c r="U902" s="311">
        <f t="shared" ca="1" si="408"/>
        <v>0</v>
      </c>
      <c r="V902" s="306">
        <f t="shared" ca="1" si="409"/>
        <v>1.2267676496961359</v>
      </c>
      <c r="W902" s="304">
        <f t="shared" ca="1" si="410"/>
        <v>27.184884931077786</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0.52825365291974435</v>
      </c>
      <c r="AH902" s="304">
        <f t="shared" ca="1" si="434"/>
        <v>-9.2581919793735494</v>
      </c>
    </row>
    <row r="903" spans="1:34" x14ac:dyDescent="0.2">
      <c r="A903" s="347">
        <f t="shared" ca="1" si="412"/>
        <v>1E-4</v>
      </c>
      <c r="B903" s="304">
        <f t="shared" ca="1" si="413"/>
        <v>37.13940000000153</v>
      </c>
      <c r="D903" s="306">
        <f t="shared" ca="1" si="414"/>
        <v>-0.6411776372628547</v>
      </c>
      <c r="E903" s="307">
        <f t="shared" ca="1" si="415"/>
        <v>-0.57401808251961128</v>
      </c>
      <c r="F903" s="304">
        <f t="shared" ca="1" si="416"/>
        <v>0.86058440700809125</v>
      </c>
      <c r="G903" s="306">
        <f t="shared" ca="1" si="417"/>
        <v>7.2170289248616033</v>
      </c>
      <c r="H903" s="307">
        <f t="shared" ca="1" si="418"/>
        <v>-103.9602346828114</v>
      </c>
      <c r="I903" s="304">
        <f t="shared" ca="1" si="419"/>
        <v>104.21044046451158</v>
      </c>
      <c r="J903" s="306">
        <f t="shared" ca="1" si="420"/>
        <v>837.4075040097224</v>
      </c>
      <c r="K903" s="307">
        <f t="shared" ca="1" si="421"/>
        <v>-14.429786017484538</v>
      </c>
      <c r="L903" s="304">
        <f t="shared" ca="1" si="406"/>
        <v>837.53181819934673</v>
      </c>
      <c r="M903" s="306">
        <f t="shared" ca="1" si="422"/>
        <v>-1.5014864726778823</v>
      </c>
      <c r="N903" s="304">
        <f t="shared" ca="1" si="423"/>
        <v>-86.028837880427645</v>
      </c>
      <c r="P903" s="310">
        <f t="shared" ca="1" si="424"/>
        <v>23</v>
      </c>
      <c r="Q903" s="304">
        <f t="shared" ca="1" si="425"/>
        <v>0</v>
      </c>
      <c r="R903" s="306">
        <f t="shared" ca="1" si="426"/>
        <v>0</v>
      </c>
      <c r="S903" s="307">
        <f t="shared" ca="1" si="427"/>
        <v>2.9362999999999984</v>
      </c>
      <c r="T903" s="304">
        <f t="shared" ca="1" si="407"/>
        <v>28.805102999999985</v>
      </c>
      <c r="U903" s="311">
        <f t="shared" ca="1" si="408"/>
        <v>0</v>
      </c>
      <c r="V903" s="306">
        <f t="shared" ca="1" si="409"/>
        <v>1.2267689250476379</v>
      </c>
      <c r="W903" s="304">
        <f t="shared" ca="1" si="410"/>
        <v>27.184940752268549</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0.5282350848353996</v>
      </c>
      <c r="AH903" s="304">
        <f t="shared" ca="1" si="434"/>
        <v>-9.2582109903885161</v>
      </c>
    </row>
    <row r="904" spans="1:34" x14ac:dyDescent="0.2">
      <c r="A904" s="347">
        <f t="shared" ca="1" si="412"/>
        <v>1E-4</v>
      </c>
      <c r="B904" s="304">
        <f t="shared" ca="1" si="413"/>
        <v>37.139500000001533</v>
      </c>
      <c r="D904" s="306">
        <f t="shared" ca="1" si="414"/>
        <v>-0.64117293251254814</v>
      </c>
      <c r="E904" s="307">
        <f t="shared" ca="1" si="415"/>
        <v>-0.57399869943031234</v>
      </c>
      <c r="F904" s="304">
        <f t="shared" ca="1" si="416"/>
        <v>0.86056797310522237</v>
      </c>
      <c r="G904" s="306">
        <f t="shared" ca="1" si="417"/>
        <v>7.2169648075683517</v>
      </c>
      <c r="H904" s="307">
        <f t="shared" ca="1" si="418"/>
        <v>-103.96029208268135</v>
      </c>
      <c r="I904" s="304">
        <f t="shared" ca="1" si="419"/>
        <v>104.21049328618543</v>
      </c>
      <c r="J904" s="306">
        <f t="shared" ca="1" si="420"/>
        <v>837.4075040097224</v>
      </c>
      <c r="K904" s="307">
        <f t="shared" ca="1" si="421"/>
        <v>-14.440182043822812</v>
      </c>
      <c r="L904" s="304">
        <f t="shared" ca="1" si="406"/>
        <v>837.5319973763701</v>
      </c>
      <c r="M904" s="306">
        <f t="shared" ca="1" si="422"/>
        <v>-1.5014871246135919</v>
      </c>
      <c r="N904" s="304">
        <f t="shared" ca="1" si="423"/>
        <v>-86.028875233592331</v>
      </c>
      <c r="P904" s="310">
        <f t="shared" ca="1" si="424"/>
        <v>23</v>
      </c>
      <c r="Q904" s="304">
        <f t="shared" ca="1" si="425"/>
        <v>0</v>
      </c>
      <c r="R904" s="306">
        <f t="shared" ca="1" si="426"/>
        <v>0</v>
      </c>
      <c r="S904" s="307">
        <f t="shared" ca="1" si="427"/>
        <v>2.9362999999999984</v>
      </c>
      <c r="T904" s="304">
        <f t="shared" ca="1" si="407"/>
        <v>28.805102999999985</v>
      </c>
      <c r="U904" s="311">
        <f t="shared" ca="1" si="408"/>
        <v>0</v>
      </c>
      <c r="V904" s="306">
        <f t="shared" ca="1" si="409"/>
        <v>1.2267702004011705</v>
      </c>
      <c r="W904" s="304">
        <f t="shared" ca="1" si="410"/>
        <v>27.184996572606856</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0.52821651703284012</v>
      </c>
      <c r="AH904" s="304">
        <f t="shared" ca="1" si="434"/>
        <v>-9.2582300011131569</v>
      </c>
    </row>
    <row r="905" spans="1:34" x14ac:dyDescent="0.2">
      <c r="A905" s="347">
        <f t="shared" ca="1" si="412"/>
        <v>1E-4</v>
      </c>
      <c r="B905" s="304">
        <f t="shared" ca="1" si="413"/>
        <v>37.139600000001536</v>
      </c>
      <c r="D905" s="306">
        <f t="shared" ca="1" si="414"/>
        <v>-0.64116822777673399</v>
      </c>
      <c r="E905" s="307">
        <f t="shared" ca="1" si="415"/>
        <v>-0.57397931663697754</v>
      </c>
      <c r="F905" s="304">
        <f t="shared" ca="1" si="416"/>
        <v>0.86055153955902586</v>
      </c>
      <c r="G905" s="306">
        <f t="shared" ca="1" si="417"/>
        <v>7.2169006907455744</v>
      </c>
      <c r="H905" s="307">
        <f t="shared" ca="1" si="418"/>
        <v>-103.96034948061302</v>
      </c>
      <c r="I905" s="304">
        <f t="shared" ca="1" si="419"/>
        <v>104.21054610600252</v>
      </c>
      <c r="J905" s="306">
        <f t="shared" ca="1" si="420"/>
        <v>837.4075040097224</v>
      </c>
      <c r="K905" s="307">
        <f t="shared" ca="1" si="421"/>
        <v>-14.450578075900976</v>
      </c>
      <c r="L905" s="304">
        <f t="shared" ca="1" si="406"/>
        <v>837.5321766824967</v>
      </c>
      <c r="M905" s="306">
        <f t="shared" ca="1" si="422"/>
        <v>-1.5014877765428489</v>
      </c>
      <c r="N905" s="304">
        <f t="shared" ca="1" si="423"/>
        <v>-86.028912586387293</v>
      </c>
      <c r="P905" s="310">
        <f t="shared" ca="1" si="424"/>
        <v>23</v>
      </c>
      <c r="Q905" s="304">
        <f t="shared" ca="1" si="425"/>
        <v>0</v>
      </c>
      <c r="R905" s="306">
        <f t="shared" ca="1" si="426"/>
        <v>0</v>
      </c>
      <c r="S905" s="307">
        <f t="shared" ca="1" si="427"/>
        <v>2.9362999999999984</v>
      </c>
      <c r="T905" s="304">
        <f t="shared" ca="1" si="407"/>
        <v>28.805102999999985</v>
      </c>
      <c r="U905" s="311">
        <f t="shared" ca="1" si="408"/>
        <v>0</v>
      </c>
      <c r="V905" s="306">
        <f t="shared" ca="1" si="409"/>
        <v>1.2267714757567347</v>
      </c>
      <c r="W905" s="304">
        <f t="shared" ca="1" si="410"/>
        <v>27.185052392092718</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0.52819794951204813</v>
      </c>
      <c r="AH905" s="304">
        <f t="shared" ca="1" si="434"/>
        <v>-9.2582490115474823</v>
      </c>
    </row>
    <row r="906" spans="1:34" x14ac:dyDescent="0.2">
      <c r="A906" s="347">
        <f t="shared" ca="1" si="412"/>
        <v>1E-4</v>
      </c>
      <c r="B906" s="304">
        <f t="shared" ca="1" si="413"/>
        <v>37.13970000000154</v>
      </c>
      <c r="D906" s="306">
        <f t="shared" ca="1" si="414"/>
        <v>-0.64116352305541124</v>
      </c>
      <c r="E906" s="307">
        <f t="shared" ca="1" si="415"/>
        <v>-0.57395993413960511</v>
      </c>
      <c r="F906" s="304">
        <f t="shared" ca="1" si="416"/>
        <v>0.86053510636950004</v>
      </c>
      <c r="G906" s="306">
        <f t="shared" ca="1" si="417"/>
        <v>7.2168365743932688</v>
      </c>
      <c r="H906" s="307">
        <f t="shared" ca="1" si="418"/>
        <v>-103.96040687660643</v>
      </c>
      <c r="I906" s="304">
        <f t="shared" ca="1" si="419"/>
        <v>104.21059892396291</v>
      </c>
      <c r="J906" s="306">
        <f t="shared" ca="1" si="420"/>
        <v>837.4075040097224</v>
      </c>
      <c r="K906" s="307">
        <f t="shared" ca="1" si="421"/>
        <v>-14.460974113718837</v>
      </c>
      <c r="L906" s="304">
        <f t="shared" ca="1" si="406"/>
        <v>837.53235611772686</v>
      </c>
      <c r="M906" s="306">
        <f t="shared" ca="1" si="422"/>
        <v>-1.5014884284656531</v>
      </c>
      <c r="N906" s="304">
        <f t="shared" ca="1" si="423"/>
        <v>-86.028949938812545</v>
      </c>
      <c r="P906" s="310">
        <f t="shared" ca="1" si="424"/>
        <v>23</v>
      </c>
      <c r="Q906" s="304">
        <f t="shared" ca="1" si="425"/>
        <v>0</v>
      </c>
      <c r="R906" s="306">
        <f t="shared" ca="1" si="426"/>
        <v>0</v>
      </c>
      <c r="S906" s="307">
        <f t="shared" ca="1" si="427"/>
        <v>2.9362999999999984</v>
      </c>
      <c r="T906" s="304">
        <f t="shared" ca="1" si="407"/>
        <v>28.805102999999985</v>
      </c>
      <c r="U906" s="311">
        <f t="shared" ca="1" si="408"/>
        <v>0</v>
      </c>
      <c r="V906" s="306">
        <f t="shared" ca="1" si="409"/>
        <v>1.2267727511143292</v>
      </c>
      <c r="W906" s="304">
        <f t="shared" ca="1" si="410"/>
        <v>27.185108210726128</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0.52817938227302896</v>
      </c>
      <c r="AH906" s="304">
        <f t="shared" ca="1" si="434"/>
        <v>-9.2582680216914941</v>
      </c>
    </row>
    <row r="907" spans="1:34" x14ac:dyDescent="0.2">
      <c r="A907" s="347">
        <f t="shared" ca="1" si="412"/>
        <v>1E-4</v>
      </c>
      <c r="B907" s="304">
        <f t="shared" ca="1" si="413"/>
        <v>37.139800000001543</v>
      </c>
      <c r="D907" s="306">
        <f t="shared" ca="1" si="414"/>
        <v>-0.64115881834858268</v>
      </c>
      <c r="E907" s="307">
        <f t="shared" ca="1" si="415"/>
        <v>-0.57394055193819682</v>
      </c>
      <c r="F907" s="304">
        <f t="shared" ca="1" si="416"/>
        <v>0.86051867353664846</v>
      </c>
      <c r="G907" s="306">
        <f t="shared" ca="1" si="417"/>
        <v>7.2167724585114339</v>
      </c>
      <c r="H907" s="307">
        <f t="shared" ca="1" si="418"/>
        <v>-103.96046427066162</v>
      </c>
      <c r="I907" s="304">
        <f t="shared" ca="1" si="419"/>
        <v>104.21065174006658</v>
      </c>
      <c r="J907" s="306">
        <f t="shared" ca="1" si="420"/>
        <v>837.4075040097224</v>
      </c>
      <c r="K907" s="307">
        <f t="shared" ca="1" si="421"/>
        <v>-14.471370157276201</v>
      </c>
      <c r="L907" s="304">
        <f t="shared" ca="1" si="406"/>
        <v>837.5325356820606</v>
      </c>
      <c r="M907" s="306">
        <f t="shared" ca="1" si="422"/>
        <v>-1.5014890803820045</v>
      </c>
      <c r="N907" s="304">
        <f t="shared" ca="1" si="423"/>
        <v>-86.028987290868074</v>
      </c>
      <c r="P907" s="310">
        <f t="shared" ca="1" si="424"/>
        <v>23</v>
      </c>
      <c r="Q907" s="304">
        <f t="shared" ca="1" si="425"/>
        <v>0</v>
      </c>
      <c r="R907" s="306">
        <f t="shared" ca="1" si="426"/>
        <v>0</v>
      </c>
      <c r="S907" s="307">
        <f t="shared" ca="1" si="427"/>
        <v>2.9362999999999984</v>
      </c>
      <c r="T907" s="304">
        <f t="shared" ca="1" si="407"/>
        <v>28.805102999999985</v>
      </c>
      <c r="U907" s="311">
        <f t="shared" ca="1" si="408"/>
        <v>0</v>
      </c>
      <c r="V907" s="306">
        <f t="shared" ca="1" si="409"/>
        <v>1.2267740264739551</v>
      </c>
      <c r="W907" s="304">
        <f t="shared" ca="1" si="410"/>
        <v>27.185164028507106</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0.52816081531578263</v>
      </c>
      <c r="AH907" s="304">
        <f t="shared" ca="1" si="434"/>
        <v>-9.2582870315451906</v>
      </c>
    </row>
    <row r="908" spans="1:34" x14ac:dyDescent="0.2">
      <c r="A908" s="347">
        <f t="shared" ca="1" si="412"/>
        <v>1E-4</v>
      </c>
      <c r="B908" s="304">
        <f t="shared" ca="1" si="413"/>
        <v>37.139900000001546</v>
      </c>
      <c r="D908" s="306">
        <f t="shared" ca="1" si="414"/>
        <v>-0.64115411365624975</v>
      </c>
      <c r="E908" s="307">
        <f t="shared" ca="1" si="415"/>
        <v>-0.57392117003274734</v>
      </c>
      <c r="F908" s="304">
        <f t="shared" ca="1" si="416"/>
        <v>0.86050224106046869</v>
      </c>
      <c r="G908" s="306">
        <f t="shared" ca="1" si="417"/>
        <v>7.216708343100068</v>
      </c>
      <c r="H908" s="307">
        <f t="shared" ca="1" si="418"/>
        <v>-103.96052166277862</v>
      </c>
      <c r="I908" s="304">
        <f t="shared" ca="1" si="419"/>
        <v>104.21070455431358</v>
      </c>
      <c r="J908" s="306">
        <f t="shared" ca="1" si="420"/>
        <v>837.4075040097224</v>
      </c>
      <c r="K908" s="307">
        <f t="shared" ca="1" si="421"/>
        <v>-14.481766206572873</v>
      </c>
      <c r="L908" s="304">
        <f t="shared" ca="1" si="406"/>
        <v>837.53271537549813</v>
      </c>
      <c r="M908" s="306">
        <f t="shared" ca="1" si="422"/>
        <v>-1.5014897322919036</v>
      </c>
      <c r="N908" s="304">
        <f t="shared" ca="1" si="423"/>
        <v>-86.029024642553907</v>
      </c>
      <c r="P908" s="310">
        <f t="shared" ca="1" si="424"/>
        <v>23</v>
      </c>
      <c r="Q908" s="304">
        <f t="shared" ca="1" si="425"/>
        <v>0</v>
      </c>
      <c r="R908" s="306">
        <f t="shared" ca="1" si="426"/>
        <v>0</v>
      </c>
      <c r="S908" s="307">
        <f t="shared" ca="1" si="427"/>
        <v>2.9362999999999984</v>
      </c>
      <c r="T908" s="304">
        <f t="shared" ca="1" si="407"/>
        <v>28.805102999999985</v>
      </c>
      <c r="U908" s="311">
        <f t="shared" ca="1" si="408"/>
        <v>0</v>
      </c>
      <c r="V908" s="306">
        <f t="shared" ca="1" si="409"/>
        <v>1.2267753018356116</v>
      </c>
      <c r="W908" s="304">
        <f t="shared" ca="1" si="410"/>
        <v>27.185219845435654</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0.52814224864029846</v>
      </c>
      <c r="AH908" s="304">
        <f t="shared" ca="1" si="434"/>
        <v>-9.2583060411085789</v>
      </c>
    </row>
    <row r="909" spans="1:34" x14ac:dyDescent="0.2">
      <c r="A909" s="347">
        <f t="shared" ca="1" si="412"/>
        <v>1E-4</v>
      </c>
      <c r="B909" s="304">
        <f t="shared" ca="1" si="413"/>
        <v>37.14000000000155</v>
      </c>
      <c r="D909" s="306">
        <f t="shared" ca="1" si="414"/>
        <v>-0.64114940897840744</v>
      </c>
      <c r="E909" s="307">
        <f t="shared" ca="1" si="415"/>
        <v>-0.57390178842325135</v>
      </c>
      <c r="F909" s="304">
        <f t="shared" ca="1" si="416"/>
        <v>0.86048580894095372</v>
      </c>
      <c r="G909" s="306">
        <f t="shared" ca="1" si="417"/>
        <v>7.2166442281591703</v>
      </c>
      <c r="H909" s="307">
        <f t="shared" ca="1" si="418"/>
        <v>-103.96057905295746</v>
      </c>
      <c r="I909" s="304">
        <f t="shared" ca="1" si="419"/>
        <v>104.21075736670394</v>
      </c>
      <c r="J909" s="306">
        <f t="shared" ca="1" si="420"/>
        <v>837.4075040097224</v>
      </c>
      <c r="K909" s="307">
        <f t="shared" ca="1" si="421"/>
        <v>-14.492162261608661</v>
      </c>
      <c r="L909" s="304">
        <f t="shared" ca="1" si="406"/>
        <v>837.53289519803934</v>
      </c>
      <c r="M909" s="306">
        <f t="shared" ca="1" si="422"/>
        <v>-1.50149038419535</v>
      </c>
      <c r="N909" s="304">
        <f t="shared" ca="1" si="423"/>
        <v>-86.029061993870044</v>
      </c>
      <c r="P909" s="310">
        <f t="shared" ca="1" si="424"/>
        <v>23</v>
      </c>
      <c r="Q909" s="304">
        <f t="shared" ca="1" si="425"/>
        <v>0</v>
      </c>
      <c r="R909" s="306">
        <f t="shared" ca="1" si="426"/>
        <v>0</v>
      </c>
      <c r="S909" s="307">
        <f t="shared" ca="1" si="427"/>
        <v>2.9362999999999984</v>
      </c>
      <c r="T909" s="304">
        <f t="shared" ca="1" si="407"/>
        <v>28.805102999999985</v>
      </c>
      <c r="U909" s="311">
        <f t="shared" ca="1" si="408"/>
        <v>0</v>
      </c>
      <c r="V909" s="306">
        <f t="shared" ca="1" si="409"/>
        <v>1.2267765771992993</v>
      </c>
      <c r="W909" s="304">
        <f t="shared" ca="1" si="410"/>
        <v>27.185275661511792</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0.52812368224658002</v>
      </c>
      <c r="AH909" s="304">
        <f t="shared" ca="1" si="434"/>
        <v>-9.2583250503816608</v>
      </c>
    </row>
    <row r="910" spans="1:34" x14ac:dyDescent="0.2">
      <c r="A910" s="347">
        <f t="shared" ca="1" si="412"/>
        <v>1E-4</v>
      </c>
      <c r="B910" s="304">
        <f t="shared" ca="1" si="413"/>
        <v>37.140100000001553</v>
      </c>
      <c r="D910" s="306">
        <f t="shared" ca="1" si="414"/>
        <v>-0.6411447043150631</v>
      </c>
      <c r="E910" s="307">
        <f t="shared" ca="1" si="415"/>
        <v>-0.57388240710970706</v>
      </c>
      <c r="F910" s="304">
        <f t="shared" ca="1" si="416"/>
        <v>0.86046937717810812</v>
      </c>
      <c r="G910" s="306">
        <f t="shared" ca="1" si="417"/>
        <v>7.2165801136887389</v>
      </c>
      <c r="H910" s="307">
        <f t="shared" ca="1" si="418"/>
        <v>-103.96063644119816</v>
      </c>
      <c r="I910" s="304">
        <f t="shared" ca="1" si="419"/>
        <v>104.21081017723769</v>
      </c>
      <c r="J910" s="306">
        <f t="shared" ca="1" si="420"/>
        <v>837.4075040097224</v>
      </c>
      <c r="K910" s="307">
        <f t="shared" ca="1" si="421"/>
        <v>-14.502558322383369</v>
      </c>
      <c r="L910" s="304">
        <f t="shared" ca="1" si="406"/>
        <v>837.53307514968469</v>
      </c>
      <c r="M910" s="306">
        <f t="shared" ca="1" si="422"/>
        <v>-1.5014910360923441</v>
      </c>
      <c r="N910" s="304">
        <f t="shared" ca="1" si="423"/>
        <v>-86.029099344816487</v>
      </c>
      <c r="P910" s="310">
        <f t="shared" ca="1" si="424"/>
        <v>23</v>
      </c>
      <c r="Q910" s="304">
        <f t="shared" ca="1" si="425"/>
        <v>0</v>
      </c>
      <c r="R910" s="306">
        <f t="shared" ca="1" si="426"/>
        <v>0</v>
      </c>
      <c r="S910" s="307">
        <f t="shared" ca="1" si="427"/>
        <v>2.9362999999999984</v>
      </c>
      <c r="T910" s="304">
        <f t="shared" ca="1" si="407"/>
        <v>28.805102999999985</v>
      </c>
      <c r="U910" s="311">
        <f t="shared" ca="1" si="408"/>
        <v>0</v>
      </c>
      <c r="V910" s="306">
        <f t="shared" ca="1" si="409"/>
        <v>1.2267778525650177</v>
      </c>
      <c r="W910" s="304">
        <f t="shared" ca="1" si="410"/>
        <v>27.18533147673552</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0.52810511613462197</v>
      </c>
      <c r="AH910" s="304">
        <f t="shared" ca="1" si="434"/>
        <v>-9.2583440593644415</v>
      </c>
    </row>
    <row r="911" spans="1:34" x14ac:dyDescent="0.2">
      <c r="A911" s="347">
        <f t="shared" ca="1" si="412"/>
        <v>1E-4</v>
      </c>
      <c r="B911" s="304">
        <f t="shared" ca="1" si="413"/>
        <v>37.140200000001556</v>
      </c>
      <c r="D911" s="306">
        <f t="shared" ca="1" si="414"/>
        <v>-0.64113999966621171</v>
      </c>
      <c r="E911" s="307">
        <f t="shared" ca="1" si="415"/>
        <v>-0.57386302609211093</v>
      </c>
      <c r="F911" s="304">
        <f t="shared" ca="1" si="416"/>
        <v>0.86045294577192588</v>
      </c>
      <c r="G911" s="306">
        <f t="shared" ca="1" si="417"/>
        <v>7.216515999688772</v>
      </c>
      <c r="H911" s="307">
        <f t="shared" ca="1" si="418"/>
        <v>-103.96069382750078</v>
      </c>
      <c r="I911" s="304">
        <f t="shared" ca="1" si="419"/>
        <v>104.21086298591487</v>
      </c>
      <c r="J911" s="306">
        <f t="shared" ca="1" si="420"/>
        <v>837.4075040097224</v>
      </c>
      <c r="K911" s="307">
        <f t="shared" ca="1" si="421"/>
        <v>-14.512954388896803</v>
      </c>
      <c r="L911" s="304">
        <f t="shared" ca="1" si="406"/>
        <v>837.53325523043407</v>
      </c>
      <c r="M911" s="306">
        <f t="shared" ca="1" si="422"/>
        <v>-1.5014916879828859</v>
      </c>
      <c r="N911" s="304">
        <f t="shared" ca="1" si="423"/>
        <v>-86.029136695393234</v>
      </c>
      <c r="P911" s="310">
        <f t="shared" ca="1" si="424"/>
        <v>23</v>
      </c>
      <c r="Q911" s="304">
        <f t="shared" ca="1" si="425"/>
        <v>0</v>
      </c>
      <c r="R911" s="306">
        <f t="shared" ca="1" si="426"/>
        <v>0</v>
      </c>
      <c r="S911" s="307">
        <f t="shared" ca="1" si="427"/>
        <v>2.9362999999999984</v>
      </c>
      <c r="T911" s="304">
        <f t="shared" ca="1" si="407"/>
        <v>28.805102999999985</v>
      </c>
      <c r="U911" s="311">
        <f t="shared" ca="1" si="408"/>
        <v>0</v>
      </c>
      <c r="V911" s="306">
        <f t="shared" ca="1" si="409"/>
        <v>1.2267791279327671</v>
      </c>
      <c r="W911" s="304">
        <f t="shared" ca="1" si="410"/>
        <v>27.185387291106871</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0.52808655030442075</v>
      </c>
      <c r="AH911" s="304">
        <f t="shared" ca="1" si="434"/>
        <v>-9.2583630680569211</v>
      </c>
    </row>
    <row r="912" spans="1:34" x14ac:dyDescent="0.2">
      <c r="A912" s="347">
        <f t="shared" ca="1" si="412"/>
        <v>1E-4</v>
      </c>
      <c r="B912" s="304">
        <f t="shared" ca="1" si="413"/>
        <v>37.14030000000156</v>
      </c>
      <c r="D912" s="306">
        <f t="shared" ca="1" si="414"/>
        <v>-0.64113529503185684</v>
      </c>
      <c r="E912" s="307">
        <f t="shared" ca="1" si="415"/>
        <v>-0.57384364537045585</v>
      </c>
      <c r="F912" s="304">
        <f t="shared" ca="1" si="416"/>
        <v>0.86043651472240512</v>
      </c>
      <c r="G912" s="306">
        <f t="shared" ca="1" si="417"/>
        <v>7.2164518861592688</v>
      </c>
      <c r="H912" s="307">
        <f t="shared" ca="1" si="418"/>
        <v>-103.96075121186531</v>
      </c>
      <c r="I912" s="304">
        <f t="shared" ca="1" si="419"/>
        <v>104.21091579273549</v>
      </c>
      <c r="J912" s="306">
        <f t="shared" ca="1" si="420"/>
        <v>837.4075040097224</v>
      </c>
      <c r="K912" s="307">
        <f t="shared" ca="1" si="421"/>
        <v>-14.523350461148771</v>
      </c>
      <c r="L912" s="304">
        <f t="shared" ca="1" si="406"/>
        <v>837.53343544028769</v>
      </c>
      <c r="M912" s="306">
        <f t="shared" ca="1" si="422"/>
        <v>-1.5014923398669755</v>
      </c>
      <c r="N912" s="304">
        <f t="shared" ca="1" si="423"/>
        <v>-86.0291740456003</v>
      </c>
      <c r="P912" s="310">
        <f t="shared" ca="1" si="424"/>
        <v>23</v>
      </c>
      <c r="Q912" s="304">
        <f t="shared" ca="1" si="425"/>
        <v>0</v>
      </c>
      <c r="R912" s="306">
        <f t="shared" ca="1" si="426"/>
        <v>0</v>
      </c>
      <c r="S912" s="307">
        <f t="shared" ca="1" si="427"/>
        <v>2.9362999999999984</v>
      </c>
      <c r="T912" s="304">
        <f t="shared" ca="1" si="407"/>
        <v>28.805102999999985</v>
      </c>
      <c r="U912" s="311">
        <f t="shared" ca="1" si="408"/>
        <v>0</v>
      </c>
      <c r="V912" s="306">
        <f t="shared" ca="1" si="409"/>
        <v>1.2267804033025471</v>
      </c>
      <c r="W912" s="304">
        <f t="shared" ca="1" si="410"/>
        <v>27.185443104625818</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0.5280679847559675</v>
      </c>
      <c r="AH912" s="304">
        <f t="shared" ca="1" si="434"/>
        <v>-9.2583820764591103</v>
      </c>
    </row>
    <row r="913" spans="1:34" x14ac:dyDescent="0.2">
      <c r="A913" s="347">
        <f t="shared" ca="1" si="412"/>
        <v>1E-4</v>
      </c>
      <c r="B913" s="304">
        <f t="shared" ca="1" si="413"/>
        <v>37.140400000001563</v>
      </c>
      <c r="D913" s="306">
        <f t="shared" ca="1" si="414"/>
        <v>-0.64113059041199683</v>
      </c>
      <c r="E913" s="307">
        <f t="shared" ca="1" si="415"/>
        <v>-0.57382426494474537</v>
      </c>
      <c r="F913" s="304">
        <f t="shared" ca="1" si="416"/>
        <v>0.86042008402954717</v>
      </c>
      <c r="G913" s="306">
        <f t="shared" ca="1" si="417"/>
        <v>7.2163877731002275</v>
      </c>
      <c r="H913" s="307">
        <f t="shared" ca="1" si="418"/>
        <v>-103.96080859429181</v>
      </c>
      <c r="I913" s="304">
        <f t="shared" ca="1" si="419"/>
        <v>104.21096859769958</v>
      </c>
      <c r="J913" s="306">
        <f t="shared" ca="1" si="420"/>
        <v>837.4075040097224</v>
      </c>
      <c r="K913" s="307">
        <f t="shared" ca="1" si="421"/>
        <v>-14.533746539139079</v>
      </c>
      <c r="L913" s="304">
        <f t="shared" ca="1" si="406"/>
        <v>837.53361577924568</v>
      </c>
      <c r="M913" s="306">
        <f t="shared" ca="1" si="422"/>
        <v>-1.5014929917446129</v>
      </c>
      <c r="N913" s="304">
        <f t="shared" ca="1" si="423"/>
        <v>-86.029211395437684</v>
      </c>
      <c r="P913" s="310">
        <f t="shared" ca="1" si="424"/>
        <v>23</v>
      </c>
      <c r="Q913" s="304">
        <f t="shared" ca="1" si="425"/>
        <v>0</v>
      </c>
      <c r="R913" s="306">
        <f t="shared" ca="1" si="426"/>
        <v>0</v>
      </c>
      <c r="S913" s="307">
        <f t="shared" ca="1" si="427"/>
        <v>2.9362999999999984</v>
      </c>
      <c r="T913" s="304">
        <f t="shared" ca="1" si="407"/>
        <v>28.805102999999985</v>
      </c>
      <c r="U913" s="311">
        <f t="shared" ca="1" si="408"/>
        <v>0</v>
      </c>
      <c r="V913" s="306">
        <f t="shared" ca="1" si="409"/>
        <v>1.2267816786743579</v>
      </c>
      <c r="W913" s="304">
        <f t="shared" ca="1" si="410"/>
        <v>27.185498917292389</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0.52804941948926931</v>
      </c>
      <c r="AH913" s="304">
        <f t="shared" ca="1" si="434"/>
        <v>-9.2584010845710019</v>
      </c>
    </row>
    <row r="914" spans="1:34" x14ac:dyDescent="0.2">
      <c r="A914" s="347">
        <f t="shared" ca="1" si="412"/>
        <v>1E-4</v>
      </c>
      <c r="B914" s="304">
        <f t="shared" ca="1" si="413"/>
        <v>37.140500000001566</v>
      </c>
      <c r="D914" s="306">
        <f t="shared" ca="1" si="414"/>
        <v>-0.64112588580663332</v>
      </c>
      <c r="E914" s="307">
        <f t="shared" ca="1" si="415"/>
        <v>-0.57380488481497416</v>
      </c>
      <c r="F914" s="304">
        <f t="shared" ca="1" si="416"/>
        <v>0.86040365369334992</v>
      </c>
      <c r="G914" s="306">
        <f t="shared" ca="1" si="417"/>
        <v>7.2163236605116472</v>
      </c>
      <c r="H914" s="307">
        <f t="shared" ca="1" si="418"/>
        <v>-103.96086597478029</v>
      </c>
      <c r="I914" s="304">
        <f t="shared" ca="1" si="419"/>
        <v>104.21102140080717</v>
      </c>
      <c r="J914" s="306">
        <f t="shared" ca="1" si="420"/>
        <v>837.4075040097224</v>
      </c>
      <c r="K914" s="307">
        <f t="shared" ca="1" si="421"/>
        <v>-14.544142622867533</v>
      </c>
      <c r="L914" s="304">
        <f t="shared" ca="1" si="406"/>
        <v>837.53379624730815</v>
      </c>
      <c r="M914" s="306">
        <f t="shared" ca="1" si="422"/>
        <v>-1.5014936436157982</v>
      </c>
      <c r="N914" s="304">
        <f t="shared" ca="1" si="423"/>
        <v>-86.029248744905374</v>
      </c>
      <c r="P914" s="310">
        <f t="shared" ca="1" si="424"/>
        <v>23</v>
      </c>
      <c r="Q914" s="304">
        <f t="shared" ca="1" si="425"/>
        <v>0</v>
      </c>
      <c r="R914" s="306">
        <f t="shared" ca="1" si="426"/>
        <v>0</v>
      </c>
      <c r="S914" s="307">
        <f t="shared" ca="1" si="427"/>
        <v>2.9362999999999984</v>
      </c>
      <c r="T914" s="304">
        <f t="shared" ca="1" si="407"/>
        <v>28.805102999999985</v>
      </c>
      <c r="U914" s="311">
        <f t="shared" ca="1" si="408"/>
        <v>0</v>
      </c>
      <c r="V914" s="306">
        <f t="shared" ca="1" si="409"/>
        <v>1.2267829540481998</v>
      </c>
      <c r="W914" s="304">
        <f t="shared" ca="1" si="410"/>
        <v>27.18555472910661</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0.52803085450431908</v>
      </c>
      <c r="AH914" s="304">
        <f t="shared" ca="1" si="434"/>
        <v>-9.2584200923926048</v>
      </c>
    </row>
    <row r="915" spans="1:34" x14ac:dyDescent="0.2">
      <c r="A915" s="347">
        <f t="shared" ca="1" si="412"/>
        <v>1E-4</v>
      </c>
      <c r="B915" s="304">
        <f t="shared" ca="1" si="413"/>
        <v>37.140600000001569</v>
      </c>
      <c r="D915" s="306">
        <f t="shared" ca="1" si="414"/>
        <v>-0.641121181215768</v>
      </c>
      <c r="E915" s="307">
        <f t="shared" ca="1" si="415"/>
        <v>-0.57378550498113157</v>
      </c>
      <c r="F915" s="304">
        <f t="shared" ca="1" si="416"/>
        <v>0.86038722371380771</v>
      </c>
      <c r="G915" s="306">
        <f t="shared" ca="1" si="417"/>
        <v>7.2162595483935252</v>
      </c>
      <c r="H915" s="307">
        <f t="shared" ca="1" si="418"/>
        <v>-103.96092335333078</v>
      </c>
      <c r="I915" s="304">
        <f t="shared" ca="1" si="419"/>
        <v>104.21107420205828</v>
      </c>
      <c r="J915" s="306">
        <f t="shared" ca="1" si="420"/>
        <v>837.4075040097224</v>
      </c>
      <c r="K915" s="307">
        <f t="shared" ca="1" si="421"/>
        <v>-14.554538712333938</v>
      </c>
      <c r="L915" s="304">
        <f t="shared" ca="1" si="406"/>
        <v>837.53397684447532</v>
      </c>
      <c r="M915" s="306">
        <f t="shared" ca="1" si="422"/>
        <v>-1.5014942954805315</v>
      </c>
      <c r="N915" s="304">
        <f t="shared" ca="1" si="423"/>
        <v>-86.02928609400341</v>
      </c>
      <c r="P915" s="310">
        <f t="shared" ca="1" si="424"/>
        <v>23</v>
      </c>
      <c r="Q915" s="304">
        <f t="shared" ca="1" si="425"/>
        <v>0</v>
      </c>
      <c r="R915" s="306">
        <f t="shared" ca="1" si="426"/>
        <v>0</v>
      </c>
      <c r="S915" s="307">
        <f t="shared" ca="1" si="427"/>
        <v>2.9362999999999984</v>
      </c>
      <c r="T915" s="304">
        <f t="shared" ca="1" si="407"/>
        <v>28.805102999999985</v>
      </c>
      <c r="U915" s="311">
        <f t="shared" ca="1" si="408"/>
        <v>0</v>
      </c>
      <c r="V915" s="306">
        <f t="shared" ca="1" si="409"/>
        <v>1.2267842294240723</v>
      </c>
      <c r="W915" s="304">
        <f t="shared" ca="1" si="410"/>
        <v>27.185610540068467</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0.5280122898011097</v>
      </c>
      <c r="AH915" s="304">
        <f t="shared" ca="1" si="434"/>
        <v>-9.2584390999239261</v>
      </c>
    </row>
    <row r="916" spans="1:34" x14ac:dyDescent="0.2">
      <c r="A916" s="347">
        <f t="shared" ca="1" si="412"/>
        <v>1E-4</v>
      </c>
      <c r="B916" s="304">
        <f t="shared" ca="1" si="413"/>
        <v>37.140700000001573</v>
      </c>
      <c r="D916" s="306">
        <f t="shared" ca="1" si="414"/>
        <v>-0.6411164766393993</v>
      </c>
      <c r="E916" s="307">
        <f t="shared" ca="1" si="415"/>
        <v>-0.57376612544322114</v>
      </c>
      <c r="F916" s="304">
        <f t="shared" ca="1" si="416"/>
        <v>0.86037079409092188</v>
      </c>
      <c r="G916" s="306">
        <f t="shared" ca="1" si="417"/>
        <v>7.2161954367458616</v>
      </c>
      <c r="H916" s="307">
        <f t="shared" ca="1" si="418"/>
        <v>-103.96098072994333</v>
      </c>
      <c r="I916" s="304">
        <f t="shared" ca="1" si="419"/>
        <v>104.21112700145298</v>
      </c>
      <c r="J916" s="306">
        <f t="shared" ca="1" si="420"/>
        <v>837.4075040097224</v>
      </c>
      <c r="K916" s="307">
        <f t="shared" ca="1" si="421"/>
        <v>-14.564934807538101</v>
      </c>
      <c r="L916" s="304">
        <f t="shared" ca="1" si="406"/>
        <v>837.5341575707472</v>
      </c>
      <c r="M916" s="306">
        <f t="shared" ca="1" si="422"/>
        <v>-1.5014949473388128</v>
      </c>
      <c r="N916" s="304">
        <f t="shared" ca="1" si="423"/>
        <v>-86.02932344273178</v>
      </c>
      <c r="P916" s="310">
        <f t="shared" ca="1" si="424"/>
        <v>23</v>
      </c>
      <c r="Q916" s="304">
        <f t="shared" ca="1" si="425"/>
        <v>0</v>
      </c>
      <c r="R916" s="306">
        <f t="shared" ca="1" si="426"/>
        <v>0</v>
      </c>
      <c r="S916" s="307">
        <f t="shared" ca="1" si="427"/>
        <v>2.9362999999999984</v>
      </c>
      <c r="T916" s="304">
        <f t="shared" ca="1" si="407"/>
        <v>28.805102999999985</v>
      </c>
      <c r="U916" s="311">
        <f t="shared" ca="1" si="408"/>
        <v>0</v>
      </c>
      <c r="V916" s="306">
        <f t="shared" ca="1" si="409"/>
        <v>1.2267855048019756</v>
      </c>
      <c r="W916" s="304">
        <f t="shared" ca="1" si="410"/>
        <v>27.185666350177993</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0.5279937253796394</v>
      </c>
      <c r="AH916" s="304">
        <f t="shared" ca="1" si="434"/>
        <v>-9.2584581071649641</v>
      </c>
    </row>
    <row r="917" spans="1:34" x14ac:dyDescent="0.2">
      <c r="A917" s="347">
        <f t="shared" ca="1" si="412"/>
        <v>1E-4</v>
      </c>
      <c r="B917" s="304">
        <f t="shared" ca="1" si="413"/>
        <v>37.140800000001576</v>
      </c>
      <c r="D917" s="306">
        <f t="shared" ca="1" si="414"/>
        <v>-0.64111177207752856</v>
      </c>
      <c r="E917" s="307">
        <f t="shared" ca="1" si="415"/>
        <v>-0.57374674620123578</v>
      </c>
      <c r="F917" s="304">
        <f t="shared" ca="1" si="416"/>
        <v>0.86035436482468908</v>
      </c>
      <c r="G917" s="306">
        <f t="shared" ca="1" si="417"/>
        <v>7.2161313255686537</v>
      </c>
      <c r="H917" s="307">
        <f t="shared" ca="1" si="418"/>
        <v>-103.96103810461796</v>
      </c>
      <c r="I917" s="304">
        <f t="shared" ca="1" si="419"/>
        <v>104.21117979899124</v>
      </c>
      <c r="J917" s="306">
        <f t="shared" ca="1" si="420"/>
        <v>837.4075040097224</v>
      </c>
      <c r="K917" s="307">
        <f t="shared" ca="1" si="421"/>
        <v>-14.575330908479829</v>
      </c>
      <c r="L917" s="304">
        <f t="shared" ca="1" si="406"/>
        <v>837.53433842612378</v>
      </c>
      <c r="M917" s="306">
        <f t="shared" ca="1" si="422"/>
        <v>-1.5014955991906425</v>
      </c>
      <c r="N917" s="304">
        <f t="shared" ca="1" si="423"/>
        <v>-86.029360791090483</v>
      </c>
      <c r="P917" s="310">
        <f t="shared" ca="1" si="424"/>
        <v>23</v>
      </c>
      <c r="Q917" s="304">
        <f t="shared" ca="1" si="425"/>
        <v>0</v>
      </c>
      <c r="R917" s="306">
        <f t="shared" ca="1" si="426"/>
        <v>0</v>
      </c>
      <c r="S917" s="307">
        <f t="shared" ca="1" si="427"/>
        <v>2.9362999999999984</v>
      </c>
      <c r="T917" s="304">
        <f t="shared" ca="1" si="407"/>
        <v>28.805102999999985</v>
      </c>
      <c r="U917" s="311">
        <f t="shared" ca="1" si="408"/>
        <v>0</v>
      </c>
      <c r="V917" s="306">
        <f t="shared" ca="1" si="409"/>
        <v>1.2267867801819095</v>
      </c>
      <c r="W917" s="304">
        <f t="shared" ca="1" si="410"/>
        <v>27.185722159435162</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0.52797516123990462</v>
      </c>
      <c r="AH917" s="304">
        <f t="shared" ca="1" si="434"/>
        <v>-9.2584771141157258</v>
      </c>
    </row>
    <row r="918" spans="1:34" x14ac:dyDescent="0.2">
      <c r="A918" s="347">
        <f t="shared" ca="1" si="412"/>
        <v>1E-4</v>
      </c>
      <c r="B918" s="304">
        <f t="shared" ca="1" si="413"/>
        <v>37.140900000001579</v>
      </c>
      <c r="D918" s="306">
        <f t="shared" ca="1" si="414"/>
        <v>-0.64110706753015478</v>
      </c>
      <c r="E918" s="307">
        <f t="shared" ca="1" si="415"/>
        <v>-0.57372736725517726</v>
      </c>
      <c r="F918" s="304">
        <f t="shared" ca="1" si="416"/>
        <v>0.86033793591510976</v>
      </c>
      <c r="G918" s="306">
        <f t="shared" ca="1" si="417"/>
        <v>7.2160672148619005</v>
      </c>
      <c r="H918" s="307">
        <f t="shared" ca="1" si="418"/>
        <v>-103.96109547735468</v>
      </c>
      <c r="I918" s="304">
        <f t="shared" ca="1" si="419"/>
        <v>104.21123259467311</v>
      </c>
      <c r="J918" s="306">
        <f t="shared" ca="1" si="420"/>
        <v>837.4075040097224</v>
      </c>
      <c r="K918" s="307">
        <f t="shared" ca="1" si="421"/>
        <v>-14.585727015158929</v>
      </c>
      <c r="L918" s="304">
        <f t="shared" ca="1" si="406"/>
        <v>837.53451941060553</v>
      </c>
      <c r="M918" s="306">
        <f t="shared" ca="1" si="422"/>
        <v>-1.5014962510360201</v>
      </c>
      <c r="N918" s="304">
        <f t="shared" ca="1" si="423"/>
        <v>-86.029398139079518</v>
      </c>
      <c r="P918" s="310">
        <f t="shared" ca="1" si="424"/>
        <v>23</v>
      </c>
      <c r="Q918" s="304">
        <f t="shared" ca="1" si="425"/>
        <v>0</v>
      </c>
      <c r="R918" s="306">
        <f t="shared" ca="1" si="426"/>
        <v>0</v>
      </c>
      <c r="S918" s="307">
        <f t="shared" ca="1" si="427"/>
        <v>2.9362999999999984</v>
      </c>
      <c r="T918" s="304">
        <f t="shared" ca="1" si="407"/>
        <v>28.805102999999985</v>
      </c>
      <c r="U918" s="311">
        <f t="shared" ca="1" si="408"/>
        <v>0</v>
      </c>
      <c r="V918" s="306">
        <f t="shared" ca="1" si="409"/>
        <v>1.2267880555638742</v>
      </c>
      <c r="W918" s="304">
        <f t="shared" ca="1" si="410"/>
        <v>27.185777967840018</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0.5279565973819107</v>
      </c>
      <c r="AH918" s="304">
        <f t="shared" ca="1" si="434"/>
        <v>-9.2584961207762078</v>
      </c>
    </row>
    <row r="919" spans="1:34" x14ac:dyDescent="0.2">
      <c r="A919" s="347">
        <f t="shared" ca="1" si="412"/>
        <v>1E-4</v>
      </c>
      <c r="B919" s="304">
        <f t="shared" ca="1" si="413"/>
        <v>37.141000000001583</v>
      </c>
      <c r="D919" s="306">
        <f t="shared" ca="1" si="414"/>
        <v>-0.64110236299728152</v>
      </c>
      <c r="E919" s="307">
        <f t="shared" ca="1" si="415"/>
        <v>-0.57370798860503847</v>
      </c>
      <c r="F919" s="304">
        <f t="shared" ca="1" si="416"/>
        <v>0.86032150736218205</v>
      </c>
      <c r="G919" s="306">
        <f t="shared" ca="1" si="417"/>
        <v>7.2160031046256004</v>
      </c>
      <c r="H919" s="307">
        <f t="shared" ca="1" si="418"/>
        <v>-103.96115284815353</v>
      </c>
      <c r="I919" s="304">
        <f t="shared" ca="1" si="419"/>
        <v>104.21128538849862</v>
      </c>
      <c r="J919" s="306">
        <f t="shared" ca="1" si="420"/>
        <v>837.4075040097224</v>
      </c>
      <c r="K919" s="307">
        <f t="shared" ca="1" si="421"/>
        <v>-14.596123127575204</v>
      </c>
      <c r="L919" s="304">
        <f t="shared" ca="1" si="406"/>
        <v>837.53470052419243</v>
      </c>
      <c r="M919" s="306">
        <f t="shared" ca="1" si="422"/>
        <v>-1.5014969028749463</v>
      </c>
      <c r="N919" s="304">
        <f t="shared" ca="1" si="423"/>
        <v>-86.029435486698901</v>
      </c>
      <c r="P919" s="310">
        <f t="shared" ca="1" si="424"/>
        <v>23</v>
      </c>
      <c r="Q919" s="304">
        <f t="shared" ca="1" si="425"/>
        <v>0</v>
      </c>
      <c r="R919" s="306">
        <f t="shared" ca="1" si="426"/>
        <v>0</v>
      </c>
      <c r="S919" s="307">
        <f t="shared" ca="1" si="427"/>
        <v>2.9362999999999984</v>
      </c>
      <c r="T919" s="304">
        <f t="shared" ca="1" si="407"/>
        <v>28.805102999999985</v>
      </c>
      <c r="U919" s="311">
        <f t="shared" ca="1" si="408"/>
        <v>0</v>
      </c>
      <c r="V919" s="306">
        <f t="shared" ca="1" si="409"/>
        <v>1.2267893309478697</v>
      </c>
      <c r="W919" s="304">
        <f t="shared" ca="1" si="410"/>
        <v>27.185833775392556</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0.52793803380564341</v>
      </c>
      <c r="AH919" s="304">
        <f t="shared" ca="1" si="434"/>
        <v>-9.2585151271464206</v>
      </c>
    </row>
    <row r="920" spans="1:34" x14ac:dyDescent="0.2">
      <c r="A920" s="347">
        <f t="shared" ca="1" si="412"/>
        <v>1E-4</v>
      </c>
      <c r="B920" s="304">
        <f t="shared" ca="1" si="413"/>
        <v>37.141100000001586</v>
      </c>
      <c r="D920" s="306">
        <f t="shared" ca="1" si="414"/>
        <v>-0.64109765847890565</v>
      </c>
      <c r="E920" s="307">
        <f t="shared" ca="1" si="415"/>
        <v>-0.57368861025081586</v>
      </c>
      <c r="F920" s="304">
        <f t="shared" ca="1" si="416"/>
        <v>0.86030507916590149</v>
      </c>
      <c r="G920" s="306">
        <f t="shared" ca="1" si="417"/>
        <v>7.2159389948597523</v>
      </c>
      <c r="H920" s="307">
        <f t="shared" ca="1" si="418"/>
        <v>-103.96121021701455</v>
      </c>
      <c r="I920" s="304">
        <f t="shared" ca="1" si="419"/>
        <v>104.21133818046782</v>
      </c>
      <c r="J920" s="306">
        <f t="shared" ca="1" si="420"/>
        <v>837.4075040097224</v>
      </c>
      <c r="K920" s="307">
        <f t="shared" ca="1" si="421"/>
        <v>-14.606519245728462</v>
      </c>
      <c r="L920" s="304">
        <f t="shared" ca="1" si="406"/>
        <v>837.53488176688438</v>
      </c>
      <c r="M920" s="306">
        <f t="shared" ca="1" si="422"/>
        <v>-1.5014975547074207</v>
      </c>
      <c r="N920" s="304">
        <f t="shared" ca="1" si="423"/>
        <v>-86.029472833948645</v>
      </c>
      <c r="P920" s="310">
        <f t="shared" ca="1" si="424"/>
        <v>23</v>
      </c>
      <c r="Q920" s="304">
        <f t="shared" ca="1" si="425"/>
        <v>0</v>
      </c>
      <c r="R920" s="306">
        <f t="shared" ca="1" si="426"/>
        <v>0</v>
      </c>
      <c r="S920" s="307">
        <f t="shared" ca="1" si="427"/>
        <v>2.9362999999999984</v>
      </c>
      <c r="T920" s="304">
        <f t="shared" ca="1" si="407"/>
        <v>28.805102999999985</v>
      </c>
      <c r="U920" s="311">
        <f t="shared" ca="1" si="408"/>
        <v>0</v>
      </c>
      <c r="V920" s="306">
        <f t="shared" ca="1" si="409"/>
        <v>1.2267906063338956</v>
      </c>
      <c r="W920" s="304">
        <f t="shared" ca="1" si="410"/>
        <v>27.185889582092791</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0.52791947051110455</v>
      </c>
      <c r="AH920" s="304">
        <f t="shared" ca="1" si="434"/>
        <v>-9.2585341332263642</v>
      </c>
    </row>
    <row r="921" spans="1:34" x14ac:dyDescent="0.2">
      <c r="A921" s="347">
        <f t="shared" ca="1" si="412"/>
        <v>1E-4</v>
      </c>
      <c r="B921" s="304">
        <f t="shared" ca="1" si="413"/>
        <v>37.141200000001589</v>
      </c>
      <c r="D921" s="306">
        <f t="shared" ca="1" si="414"/>
        <v>-0.64109295397503041</v>
      </c>
      <c r="E921" s="307">
        <f t="shared" ca="1" si="415"/>
        <v>-0.57366923219250587</v>
      </c>
      <c r="F921" s="304">
        <f t="shared" ca="1" si="416"/>
        <v>0.86028865132626831</v>
      </c>
      <c r="G921" s="306">
        <f t="shared" ca="1" si="417"/>
        <v>7.2158748855643546</v>
      </c>
      <c r="H921" s="307">
        <f t="shared" ca="1" si="418"/>
        <v>-103.96126758393777</v>
      </c>
      <c r="I921" s="304">
        <f t="shared" ca="1" si="419"/>
        <v>104.21139097058069</v>
      </c>
      <c r="J921" s="306">
        <f t="shared" ca="1" si="420"/>
        <v>837.4075040097224</v>
      </c>
      <c r="K921" s="307">
        <f t="shared" ca="1" si="421"/>
        <v>-14.616915369618509</v>
      </c>
      <c r="L921" s="304">
        <f t="shared" ca="1" si="406"/>
        <v>837.53506313868183</v>
      </c>
      <c r="M921" s="306">
        <f t="shared" ca="1" si="422"/>
        <v>-1.5014982065334437</v>
      </c>
      <c r="N921" s="304">
        <f t="shared" ca="1" si="423"/>
        <v>-86.029510180828737</v>
      </c>
      <c r="P921" s="310">
        <f t="shared" ca="1" si="424"/>
        <v>23</v>
      </c>
      <c r="Q921" s="304">
        <f t="shared" ca="1" si="425"/>
        <v>0</v>
      </c>
      <c r="R921" s="306">
        <f t="shared" ca="1" si="426"/>
        <v>0</v>
      </c>
      <c r="S921" s="307">
        <f t="shared" ca="1" si="427"/>
        <v>2.9362999999999984</v>
      </c>
      <c r="T921" s="304">
        <f t="shared" ca="1" si="407"/>
        <v>28.805102999999985</v>
      </c>
      <c r="U921" s="311">
        <f t="shared" ca="1" si="408"/>
        <v>0</v>
      </c>
      <c r="V921" s="306">
        <f t="shared" ca="1" si="409"/>
        <v>1.2267918817219523</v>
      </c>
      <c r="W921" s="304">
        <f t="shared" ca="1" si="410"/>
        <v>27.185945387940727</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0.52790090749829055</v>
      </c>
      <c r="AH921" s="304">
        <f t="shared" ca="1" si="434"/>
        <v>-9.2585531390160423</v>
      </c>
    </row>
    <row r="922" spans="1:34" x14ac:dyDescent="0.2">
      <c r="A922" s="347">
        <f t="shared" ca="1" si="412"/>
        <v>1E-4</v>
      </c>
      <c r="B922" s="304">
        <f t="shared" ca="1" si="413"/>
        <v>37.141300000001593</v>
      </c>
      <c r="D922" s="306">
        <f t="shared" ca="1" si="414"/>
        <v>-0.6410882494856549</v>
      </c>
      <c r="E922" s="307">
        <f t="shared" ca="1" si="415"/>
        <v>-0.57364985443010674</v>
      </c>
      <c r="F922" s="304">
        <f t="shared" ca="1" si="416"/>
        <v>0.86027222384328084</v>
      </c>
      <c r="G922" s="306">
        <f t="shared" ca="1" si="417"/>
        <v>7.2158107767394064</v>
      </c>
      <c r="H922" s="307">
        <f t="shared" ca="1" si="418"/>
        <v>-103.96132494892321</v>
      </c>
      <c r="I922" s="304">
        <f t="shared" ca="1" si="419"/>
        <v>104.21144375883731</v>
      </c>
      <c r="J922" s="306">
        <f t="shared" ca="1" si="420"/>
        <v>837.4075040097224</v>
      </c>
      <c r="K922" s="307">
        <f t="shared" ca="1" si="421"/>
        <v>-14.627311499245153</v>
      </c>
      <c r="L922" s="304">
        <f t="shared" ca="1" si="406"/>
        <v>837.5352446395849</v>
      </c>
      <c r="M922" s="306">
        <f t="shared" ca="1" si="422"/>
        <v>-1.5014988583530151</v>
      </c>
      <c r="N922" s="304">
        <f t="shared" ca="1" si="423"/>
        <v>-86.029547527339176</v>
      </c>
      <c r="P922" s="310">
        <f t="shared" ca="1" si="424"/>
        <v>23</v>
      </c>
      <c r="Q922" s="304">
        <f t="shared" ca="1" si="425"/>
        <v>0</v>
      </c>
      <c r="R922" s="306">
        <f t="shared" ca="1" si="426"/>
        <v>0</v>
      </c>
      <c r="S922" s="307">
        <f t="shared" ca="1" si="427"/>
        <v>2.9362999999999984</v>
      </c>
      <c r="T922" s="304">
        <f t="shared" ca="1" si="407"/>
        <v>28.805102999999985</v>
      </c>
      <c r="U922" s="311">
        <f t="shared" ca="1" si="408"/>
        <v>0</v>
      </c>
      <c r="V922" s="306">
        <f t="shared" ca="1" si="409"/>
        <v>1.2267931571120396</v>
      </c>
      <c r="W922" s="304">
        <f t="shared" ca="1" si="410"/>
        <v>27.186001192936381</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0.52788234476719786</v>
      </c>
      <c r="AH922" s="304">
        <f t="shared" ca="1" si="434"/>
        <v>-9.2585721445154583</v>
      </c>
    </row>
    <row r="923" spans="1:34" x14ac:dyDescent="0.2">
      <c r="A923" s="347">
        <f t="shared" ca="1" si="412"/>
        <v>1E-4</v>
      </c>
      <c r="B923" s="304">
        <f t="shared" ca="1" si="413"/>
        <v>37.141400000001596</v>
      </c>
      <c r="D923" s="306">
        <f t="shared" ca="1" si="414"/>
        <v>-0.64108354501078035</v>
      </c>
      <c r="E923" s="307">
        <f t="shared" ca="1" si="415"/>
        <v>-0.57363047696361313</v>
      </c>
      <c r="F923" s="304">
        <f t="shared" ca="1" si="416"/>
        <v>0.86025579671693675</v>
      </c>
      <c r="G923" s="306">
        <f t="shared" ca="1" si="417"/>
        <v>7.215746668384905</v>
      </c>
      <c r="H923" s="307">
        <f t="shared" ca="1" si="418"/>
        <v>-103.96138231197091</v>
      </c>
      <c r="I923" s="304">
        <f t="shared" ca="1" si="419"/>
        <v>104.21149654523768</v>
      </c>
      <c r="J923" s="306">
        <f t="shared" ca="1" si="420"/>
        <v>837.4075040097224</v>
      </c>
      <c r="K923" s="307">
        <f t="shared" ca="1" si="421"/>
        <v>-14.637707634608198</v>
      </c>
      <c r="L923" s="304">
        <f t="shared" ca="1" si="406"/>
        <v>837.53542626959336</v>
      </c>
      <c r="M923" s="306">
        <f t="shared" ca="1" si="422"/>
        <v>-1.5014995101661353</v>
      </c>
      <c r="N923" s="304">
        <f t="shared" ca="1" si="423"/>
        <v>-86.02958487347999</v>
      </c>
      <c r="P923" s="310">
        <f t="shared" ca="1" si="424"/>
        <v>23</v>
      </c>
      <c r="Q923" s="304">
        <f t="shared" ca="1" si="425"/>
        <v>0</v>
      </c>
      <c r="R923" s="306">
        <f t="shared" ca="1" si="426"/>
        <v>0</v>
      </c>
      <c r="S923" s="307">
        <f t="shared" ca="1" si="427"/>
        <v>2.9362999999999984</v>
      </c>
      <c r="T923" s="304">
        <f t="shared" ca="1" si="407"/>
        <v>28.805102999999985</v>
      </c>
      <c r="U923" s="311">
        <f t="shared" ca="1" si="408"/>
        <v>0</v>
      </c>
      <c r="V923" s="306">
        <f t="shared" ca="1" si="409"/>
        <v>1.2267944325041578</v>
      </c>
      <c r="W923" s="304">
        <f t="shared" ca="1" si="410"/>
        <v>27.186056997079763</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0.52786378231782116</v>
      </c>
      <c r="AH923" s="304">
        <f t="shared" ca="1" si="434"/>
        <v>-9.2585911497246176</v>
      </c>
    </row>
    <row r="924" spans="1:34" x14ac:dyDescent="0.2">
      <c r="A924" s="347">
        <f t="shared" ca="1" si="412"/>
        <v>1E-4</v>
      </c>
      <c r="B924" s="304">
        <f t="shared" ca="1" si="413"/>
        <v>37.141500000001599</v>
      </c>
      <c r="D924" s="306">
        <f t="shared" ca="1" si="414"/>
        <v>-0.64107884055040609</v>
      </c>
      <c r="E924" s="307">
        <f t="shared" ca="1" si="415"/>
        <v>-0.57361109979301972</v>
      </c>
      <c r="F924" s="304">
        <f t="shared" ca="1" si="416"/>
        <v>0.86023936994723205</v>
      </c>
      <c r="G924" s="306">
        <f t="shared" ca="1" si="417"/>
        <v>7.2156825605008503</v>
      </c>
      <c r="H924" s="307">
        <f t="shared" ca="1" si="418"/>
        <v>-103.96143967308089</v>
      </c>
      <c r="I924" s="304">
        <f t="shared" ca="1" si="419"/>
        <v>104.21154932978183</v>
      </c>
      <c r="J924" s="306">
        <f t="shared" ca="1" si="420"/>
        <v>837.4075040097224</v>
      </c>
      <c r="K924" s="307">
        <f t="shared" ca="1" si="421"/>
        <v>-14.648103775707451</v>
      </c>
      <c r="L924" s="304">
        <f t="shared" ca="1" si="406"/>
        <v>837.53560802870777</v>
      </c>
      <c r="M924" s="306">
        <f t="shared" ca="1" si="422"/>
        <v>-1.5015001619728041</v>
      </c>
      <c r="N924" s="304">
        <f t="shared" ca="1" si="423"/>
        <v>-86.029622219251181</v>
      </c>
      <c r="P924" s="310">
        <f t="shared" ca="1" si="424"/>
        <v>23</v>
      </c>
      <c r="Q924" s="304">
        <f t="shared" ca="1" si="425"/>
        <v>0</v>
      </c>
      <c r="R924" s="306">
        <f t="shared" ca="1" si="426"/>
        <v>0</v>
      </c>
      <c r="S924" s="307">
        <f t="shared" ca="1" si="427"/>
        <v>2.9362999999999984</v>
      </c>
      <c r="T924" s="304">
        <f t="shared" ca="1" si="407"/>
        <v>28.805102999999985</v>
      </c>
      <c r="U924" s="311">
        <f t="shared" ca="1" si="408"/>
        <v>0</v>
      </c>
      <c r="V924" s="306">
        <f t="shared" ca="1" si="409"/>
        <v>1.2267957078983065</v>
      </c>
      <c r="W924" s="304">
        <f t="shared" ca="1" si="410"/>
        <v>27.186112800370889</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0.52784522015016044</v>
      </c>
      <c r="AH924" s="304">
        <f t="shared" ca="1" si="434"/>
        <v>-9.2586101546435238</v>
      </c>
    </row>
    <row r="925" spans="1:34" x14ac:dyDescent="0.2">
      <c r="A925" s="347">
        <f t="shared" ca="1" si="412"/>
        <v>1E-4</v>
      </c>
      <c r="B925" s="304">
        <f t="shared" ca="1" si="413"/>
        <v>37.141600000001603</v>
      </c>
      <c r="D925" s="306">
        <f t="shared" ca="1" si="414"/>
        <v>-0.64107413610453323</v>
      </c>
      <c r="E925" s="307">
        <f t="shared" ca="1" si="415"/>
        <v>-0.57359172291832472</v>
      </c>
      <c r="F925" s="304">
        <f t="shared" ca="1" si="416"/>
        <v>0.86022294353416651</v>
      </c>
      <c r="G925" s="306">
        <f t="shared" ca="1" si="417"/>
        <v>7.2156184530872398</v>
      </c>
      <c r="H925" s="307">
        <f t="shared" ca="1" si="418"/>
        <v>-103.96149703225318</v>
      </c>
      <c r="I925" s="304">
        <f t="shared" ca="1" si="419"/>
        <v>104.21160211246981</v>
      </c>
      <c r="J925" s="306">
        <f t="shared" ca="1" si="420"/>
        <v>837.4075040097224</v>
      </c>
      <c r="K925" s="307">
        <f t="shared" ca="1" si="421"/>
        <v>-14.658499922542719</v>
      </c>
      <c r="L925" s="304">
        <f t="shared" ca="1" si="406"/>
        <v>837.53578991692791</v>
      </c>
      <c r="M925" s="306">
        <f t="shared" ca="1" si="422"/>
        <v>-1.5015008137730217</v>
      </c>
      <c r="N925" s="304">
        <f t="shared" ca="1" si="423"/>
        <v>-86.029659564652732</v>
      </c>
      <c r="P925" s="310">
        <f t="shared" ca="1" si="424"/>
        <v>23</v>
      </c>
      <c r="Q925" s="304">
        <f t="shared" ca="1" si="425"/>
        <v>0</v>
      </c>
      <c r="R925" s="306">
        <f t="shared" ca="1" si="426"/>
        <v>0</v>
      </c>
      <c r="S925" s="307">
        <f t="shared" ca="1" si="427"/>
        <v>2.9362999999999984</v>
      </c>
      <c r="T925" s="304">
        <f t="shared" ca="1" si="407"/>
        <v>28.805102999999985</v>
      </c>
      <c r="U925" s="311">
        <f t="shared" ca="1" si="408"/>
        <v>0</v>
      </c>
      <c r="V925" s="306">
        <f t="shared" ca="1" si="409"/>
        <v>1.2267969832944856</v>
      </c>
      <c r="W925" s="304">
        <f t="shared" ca="1" si="410"/>
        <v>27.186168602809747</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0.52782665826420683</v>
      </c>
      <c r="AH925" s="304">
        <f t="shared" ca="1" si="434"/>
        <v>-9.2586291592721803</v>
      </c>
    </row>
    <row r="926" spans="1:34" x14ac:dyDescent="0.2">
      <c r="A926" s="347">
        <f t="shared" ca="1" si="412"/>
        <v>1E-4</v>
      </c>
      <c r="B926" s="304">
        <f t="shared" ca="1" si="413"/>
        <v>37.141700000001606</v>
      </c>
      <c r="D926" s="306">
        <f t="shared" ca="1" si="414"/>
        <v>-0.64106943167316255</v>
      </c>
      <c r="E926" s="307">
        <f t="shared" ca="1" si="415"/>
        <v>-0.57357234633952636</v>
      </c>
      <c r="F926" s="304">
        <f t="shared" ca="1" si="416"/>
        <v>0.86020651747773991</v>
      </c>
      <c r="G926" s="306">
        <f t="shared" ca="1" si="417"/>
        <v>7.2155543461440725</v>
      </c>
      <c r="H926" s="307">
        <f t="shared" ca="1" si="418"/>
        <v>-103.96155438948782</v>
      </c>
      <c r="I926" s="304">
        <f t="shared" ca="1" si="419"/>
        <v>104.21165489330161</v>
      </c>
      <c r="J926" s="306">
        <f t="shared" ca="1" si="420"/>
        <v>837.4075040097224</v>
      </c>
      <c r="K926" s="307">
        <f t="shared" ca="1" si="421"/>
        <v>-14.668896075113805</v>
      </c>
      <c r="L926" s="304">
        <f t="shared" ca="1" si="406"/>
        <v>837.53597193425412</v>
      </c>
      <c r="M926" s="306">
        <f t="shared" ca="1" si="422"/>
        <v>-1.501501465566788</v>
      </c>
      <c r="N926" s="304">
        <f t="shared" ca="1" si="423"/>
        <v>-86.02969690968466</v>
      </c>
      <c r="P926" s="310">
        <f t="shared" ca="1" si="424"/>
        <v>23</v>
      </c>
      <c r="Q926" s="304">
        <f t="shared" ca="1" si="425"/>
        <v>0</v>
      </c>
      <c r="R926" s="306">
        <f t="shared" ca="1" si="426"/>
        <v>0</v>
      </c>
      <c r="S926" s="307">
        <f t="shared" ca="1" si="427"/>
        <v>2.9362999999999984</v>
      </c>
      <c r="T926" s="304">
        <f t="shared" ca="1" si="407"/>
        <v>28.805102999999985</v>
      </c>
      <c r="U926" s="311">
        <f t="shared" ca="1" si="408"/>
        <v>0</v>
      </c>
      <c r="V926" s="306">
        <f t="shared" ca="1" si="409"/>
        <v>1.2267982586926953</v>
      </c>
      <c r="W926" s="304">
        <f t="shared" ca="1" si="410"/>
        <v>27.18622440439637</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0.52780809665996387</v>
      </c>
      <c r="AH926" s="304">
        <f t="shared" ca="1" si="434"/>
        <v>-9.2586481636105855</v>
      </c>
    </row>
    <row r="927" spans="1:34" x14ac:dyDescent="0.2">
      <c r="A927" s="347">
        <f t="shared" ca="1" si="412"/>
        <v>1E-4</v>
      </c>
      <c r="B927" s="304">
        <f t="shared" ca="1" si="413"/>
        <v>37.141800000001609</v>
      </c>
      <c r="D927" s="306">
        <f t="shared" ca="1" si="414"/>
        <v>-0.6410647272562956</v>
      </c>
      <c r="E927" s="307">
        <f t="shared" ca="1" si="415"/>
        <v>-0.57355297005661932</v>
      </c>
      <c r="F927" s="304">
        <f t="shared" ca="1" si="416"/>
        <v>0.86019009177794992</v>
      </c>
      <c r="G927" s="306">
        <f t="shared" ca="1" si="417"/>
        <v>7.2154902396713467</v>
      </c>
      <c r="H927" s="307">
        <f t="shared" ca="1" si="418"/>
        <v>-103.96161174478482</v>
      </c>
      <c r="I927" s="304">
        <f t="shared" ca="1" si="419"/>
        <v>104.21170767227727</v>
      </c>
      <c r="J927" s="306">
        <f t="shared" ca="1" si="420"/>
        <v>837.4075040097224</v>
      </c>
      <c r="K927" s="307">
        <f t="shared" ca="1" si="421"/>
        <v>-14.679292233420519</v>
      </c>
      <c r="L927" s="304">
        <f t="shared" ca="1" si="406"/>
        <v>837.53615408068652</v>
      </c>
      <c r="M927" s="306">
        <f t="shared" ca="1" si="422"/>
        <v>-1.5015021173541034</v>
      </c>
      <c r="N927" s="304">
        <f t="shared" ca="1" si="423"/>
        <v>-86.029734254346963</v>
      </c>
      <c r="P927" s="310">
        <f t="shared" ca="1" si="424"/>
        <v>23</v>
      </c>
      <c r="Q927" s="304">
        <f t="shared" ca="1" si="425"/>
        <v>0</v>
      </c>
      <c r="R927" s="306">
        <f t="shared" ca="1" si="426"/>
        <v>0</v>
      </c>
      <c r="S927" s="307">
        <f t="shared" ca="1" si="427"/>
        <v>2.9362999999999984</v>
      </c>
      <c r="T927" s="304">
        <f t="shared" ca="1" si="407"/>
        <v>28.805102999999985</v>
      </c>
      <c r="U927" s="311">
        <f t="shared" ca="1" si="408"/>
        <v>0</v>
      </c>
      <c r="V927" s="306">
        <f t="shared" ca="1" si="409"/>
        <v>1.2267995340929359</v>
      </c>
      <c r="W927" s="304">
        <f t="shared" ca="1" si="410"/>
        <v>27.186280205130739</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0.52778953533742445</v>
      </c>
      <c r="AH927" s="304">
        <f t="shared" ca="1" si="434"/>
        <v>-9.25866716765875</v>
      </c>
    </row>
    <row r="928" spans="1:34" x14ac:dyDescent="0.2">
      <c r="A928" s="347">
        <f t="shared" ca="1" si="412"/>
        <v>1E-4</v>
      </c>
      <c r="B928" s="304">
        <f t="shared" ca="1" si="413"/>
        <v>37.141900000001613</v>
      </c>
      <c r="D928" s="306">
        <f t="shared" ca="1" si="414"/>
        <v>-0.64106002285392905</v>
      </c>
      <c r="E928" s="307">
        <f t="shared" ca="1" si="415"/>
        <v>-0.57353359406960891</v>
      </c>
      <c r="F928" s="304">
        <f t="shared" ca="1" si="416"/>
        <v>0.86017366643479787</v>
      </c>
      <c r="G928" s="306">
        <f t="shared" ca="1" si="417"/>
        <v>7.2154261336690615</v>
      </c>
      <c r="H928" s="307">
        <f t="shared" ca="1" si="418"/>
        <v>-103.96166909814423</v>
      </c>
      <c r="I928" s="304">
        <f t="shared" ca="1" si="419"/>
        <v>104.21176044939683</v>
      </c>
      <c r="J928" s="306">
        <f t="shared" ca="1" si="420"/>
        <v>837.4075040097224</v>
      </c>
      <c r="K928" s="307">
        <f t="shared" ca="1" si="421"/>
        <v>-14.689688397462666</v>
      </c>
      <c r="L928" s="304">
        <f t="shared" ca="1" si="406"/>
        <v>837.53633635622509</v>
      </c>
      <c r="M928" s="306">
        <f t="shared" ca="1" si="422"/>
        <v>-1.5015027691349678</v>
      </c>
      <c r="N928" s="304">
        <f t="shared" ca="1" si="423"/>
        <v>-86.02977159863967</v>
      </c>
      <c r="P928" s="310">
        <f t="shared" ca="1" si="424"/>
        <v>23</v>
      </c>
      <c r="Q928" s="304">
        <f t="shared" ca="1" si="425"/>
        <v>0</v>
      </c>
      <c r="R928" s="306">
        <f t="shared" ca="1" si="426"/>
        <v>0</v>
      </c>
      <c r="S928" s="307">
        <f t="shared" ca="1" si="427"/>
        <v>2.9362999999999984</v>
      </c>
      <c r="T928" s="304">
        <f t="shared" ca="1" si="407"/>
        <v>28.805102999999985</v>
      </c>
      <c r="U928" s="311">
        <f t="shared" ca="1" si="408"/>
        <v>0</v>
      </c>
      <c r="V928" s="306">
        <f t="shared" ca="1" si="409"/>
        <v>1.2268008094952065</v>
      </c>
      <c r="W928" s="304">
        <f t="shared" ca="1" si="410"/>
        <v>27.18633600501289</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0.52777097429659392</v>
      </c>
      <c r="AH928" s="304">
        <f t="shared" ca="1" si="434"/>
        <v>-9.2586861714166648</v>
      </c>
    </row>
    <row r="929" spans="1:34" x14ac:dyDescent="0.2">
      <c r="A929" s="347">
        <f t="shared" ca="1" si="412"/>
        <v>1E-4</v>
      </c>
      <c r="B929" s="304">
        <f t="shared" ca="1" si="413"/>
        <v>37.142000000001616</v>
      </c>
      <c r="D929" s="306">
        <f t="shared" ca="1" si="414"/>
        <v>-0.64105531846606645</v>
      </c>
      <c r="E929" s="307">
        <f t="shared" ca="1" si="415"/>
        <v>-0.57351421837847916</v>
      </c>
      <c r="F929" s="304">
        <f t="shared" ca="1" si="416"/>
        <v>0.86015724144827599</v>
      </c>
      <c r="G929" s="306">
        <f t="shared" ca="1" si="417"/>
        <v>7.2153620281372151</v>
      </c>
      <c r="H929" s="307">
        <f t="shared" ca="1" si="418"/>
        <v>-103.96172644956607</v>
      </c>
      <c r="I929" s="304">
        <f t="shared" ca="1" si="419"/>
        <v>104.21181322466033</v>
      </c>
      <c r="J929" s="306">
        <f t="shared" ca="1" si="420"/>
        <v>837.4075040097224</v>
      </c>
      <c r="K929" s="307">
        <f t="shared" ca="1" si="421"/>
        <v>-14.700084567240051</v>
      </c>
      <c r="L929" s="304">
        <f t="shared" ca="1" si="406"/>
        <v>837.53651876087008</v>
      </c>
      <c r="M929" s="306">
        <f t="shared" ca="1" si="422"/>
        <v>-1.5015034209093814</v>
      </c>
      <c r="N929" s="304">
        <f t="shared" ca="1" si="423"/>
        <v>-86.029808942562752</v>
      </c>
      <c r="P929" s="310">
        <f t="shared" ca="1" si="424"/>
        <v>23</v>
      </c>
      <c r="Q929" s="304">
        <f t="shared" ca="1" si="425"/>
        <v>0</v>
      </c>
      <c r="R929" s="306">
        <f t="shared" ca="1" si="426"/>
        <v>0</v>
      </c>
      <c r="S929" s="307">
        <f t="shared" ca="1" si="427"/>
        <v>2.9362999999999984</v>
      </c>
      <c r="T929" s="304">
        <f t="shared" ca="1" si="407"/>
        <v>28.805102999999985</v>
      </c>
      <c r="U929" s="311">
        <f t="shared" ca="1" si="408"/>
        <v>0</v>
      </c>
      <c r="V929" s="306">
        <f t="shared" ca="1" si="409"/>
        <v>1.2268020848995083</v>
      </c>
      <c r="W929" s="304">
        <f t="shared" ca="1" si="410"/>
        <v>27.186391804042849</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0.52775241353745805</v>
      </c>
      <c r="AH929" s="304">
        <f t="shared" ca="1" si="434"/>
        <v>-9.2587051748843461</v>
      </c>
    </row>
    <row r="930" spans="1:34" x14ac:dyDescent="0.2">
      <c r="A930" s="347">
        <f t="shared" ca="1" si="412"/>
        <v>1E-4</v>
      </c>
      <c r="B930" s="304">
        <f t="shared" ca="1" si="413"/>
        <v>37.142100000001619</v>
      </c>
      <c r="D930" s="306">
        <f t="shared" ca="1" si="414"/>
        <v>-0.64105061409270747</v>
      </c>
      <c r="E930" s="307">
        <f t="shared" ca="1" si="415"/>
        <v>-0.57349484298322295</v>
      </c>
      <c r="F930" s="304">
        <f t="shared" ca="1" si="416"/>
        <v>0.86014081681837939</v>
      </c>
      <c r="G930" s="306">
        <f t="shared" ca="1" si="417"/>
        <v>7.2152979230758056</v>
      </c>
      <c r="H930" s="307">
        <f t="shared" ca="1" si="418"/>
        <v>-103.96178379905037</v>
      </c>
      <c r="I930" s="304">
        <f t="shared" ca="1" si="419"/>
        <v>104.21186599806776</v>
      </c>
      <c r="J930" s="306">
        <f t="shared" ca="1" si="420"/>
        <v>837.4075040097224</v>
      </c>
      <c r="K930" s="307">
        <f t="shared" ca="1" si="421"/>
        <v>-14.710480742752482</v>
      </c>
      <c r="L930" s="304">
        <f t="shared" ca="1" si="406"/>
        <v>837.53670129462159</v>
      </c>
      <c r="M930" s="306">
        <f t="shared" ca="1" si="422"/>
        <v>-1.5015040726773441</v>
      </c>
      <c r="N930" s="304">
        <f t="shared" ca="1" si="423"/>
        <v>-86.029846286116239</v>
      </c>
      <c r="P930" s="310">
        <f t="shared" ca="1" si="424"/>
        <v>23</v>
      </c>
      <c r="Q930" s="304">
        <f t="shared" ca="1" si="425"/>
        <v>0</v>
      </c>
      <c r="R930" s="306">
        <f t="shared" ca="1" si="426"/>
        <v>0</v>
      </c>
      <c r="S930" s="307">
        <f t="shared" ca="1" si="427"/>
        <v>2.9362999999999984</v>
      </c>
      <c r="T930" s="304">
        <f t="shared" ca="1" si="407"/>
        <v>28.805102999999985</v>
      </c>
      <c r="U930" s="311">
        <f t="shared" ca="1" si="408"/>
        <v>0</v>
      </c>
      <c r="V930" s="306">
        <f t="shared" ca="1" si="409"/>
        <v>1.2268033603058399</v>
      </c>
      <c r="W930" s="304">
        <f t="shared" ca="1" si="410"/>
        <v>27.186447602220568</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0.52773385306000975</v>
      </c>
      <c r="AH930" s="304">
        <f t="shared" ca="1" si="434"/>
        <v>-9.2587241780618008</v>
      </c>
    </row>
    <row r="931" spans="1:34" x14ac:dyDescent="0.2">
      <c r="A931" s="347">
        <f t="shared" ca="1" si="412"/>
        <v>1E-4</v>
      </c>
      <c r="B931" s="304">
        <f t="shared" ca="1" si="413"/>
        <v>37.142200000001623</v>
      </c>
      <c r="D931" s="306">
        <f t="shared" ca="1" si="414"/>
        <v>-0.641045909733852</v>
      </c>
      <c r="E931" s="307">
        <f t="shared" ca="1" si="415"/>
        <v>-0.57347546788385806</v>
      </c>
      <c r="F931" s="304">
        <f t="shared" ca="1" si="416"/>
        <v>0.86012439254512008</v>
      </c>
      <c r="G931" s="306">
        <f t="shared" ca="1" si="417"/>
        <v>7.2152338184848324</v>
      </c>
      <c r="H931" s="307">
        <f t="shared" ca="1" si="418"/>
        <v>-103.96184114659715</v>
      </c>
      <c r="I931" s="304">
        <f t="shared" ca="1" si="419"/>
        <v>104.21191876961919</v>
      </c>
      <c r="J931" s="306">
        <f t="shared" ca="1" si="420"/>
        <v>837.4075040097224</v>
      </c>
      <c r="K931" s="307">
        <f t="shared" ca="1" si="421"/>
        <v>-14.720876923999764</v>
      </c>
      <c r="L931" s="304">
        <f t="shared" ca="1" si="406"/>
        <v>837.53688395747974</v>
      </c>
      <c r="M931" s="306">
        <f t="shared" ca="1" si="422"/>
        <v>-1.501504724438856</v>
      </c>
      <c r="N931" s="304">
        <f t="shared" ca="1" si="423"/>
        <v>-86.029883629300116</v>
      </c>
      <c r="P931" s="310">
        <f t="shared" ca="1" si="424"/>
        <v>23</v>
      </c>
      <c r="Q931" s="304">
        <f t="shared" ca="1" si="425"/>
        <v>0</v>
      </c>
      <c r="R931" s="306">
        <f t="shared" ca="1" si="426"/>
        <v>0</v>
      </c>
      <c r="S931" s="307">
        <f t="shared" ca="1" si="427"/>
        <v>2.9362999999999984</v>
      </c>
      <c r="T931" s="304">
        <f t="shared" ca="1" si="407"/>
        <v>28.805102999999985</v>
      </c>
      <c r="U931" s="311">
        <f t="shared" ca="1" si="408"/>
        <v>0</v>
      </c>
      <c r="V931" s="306">
        <f t="shared" ca="1" si="409"/>
        <v>1.2268046357142022</v>
      </c>
      <c r="W931" s="304">
        <f t="shared" ca="1" si="410"/>
        <v>27.186503399546112</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0.52771529286426677</v>
      </c>
      <c r="AH931" s="304">
        <f t="shared" ca="1" si="434"/>
        <v>-9.2587431809490113</v>
      </c>
    </row>
    <row r="932" spans="1:34" x14ac:dyDescent="0.2">
      <c r="A932" s="347">
        <f t="shared" ca="1" si="412"/>
        <v>1E-4</v>
      </c>
      <c r="B932" s="304">
        <f t="shared" ca="1" si="413"/>
        <v>37.142300000001626</v>
      </c>
      <c r="D932" s="306">
        <f t="shared" ca="1" si="414"/>
        <v>-0.64104120538950238</v>
      </c>
      <c r="E932" s="307">
        <f t="shared" ca="1" si="415"/>
        <v>-0.57345609308036138</v>
      </c>
      <c r="F932" s="304">
        <f t="shared" ca="1" si="416"/>
        <v>0.8601079686284846</v>
      </c>
      <c r="G932" s="306">
        <f t="shared" ca="1" si="417"/>
        <v>7.2151697143642934</v>
      </c>
      <c r="H932" s="307">
        <f t="shared" ca="1" si="418"/>
        <v>-103.96189849220646</v>
      </c>
      <c r="I932" s="304">
        <f t="shared" ca="1" si="419"/>
        <v>104.21197153931462</v>
      </c>
      <c r="J932" s="306">
        <f t="shared" ca="1" si="420"/>
        <v>837.4075040097224</v>
      </c>
      <c r="K932" s="307">
        <f t="shared" ca="1" si="421"/>
        <v>-14.731273110981704</v>
      </c>
      <c r="L932" s="304">
        <f t="shared" ca="1" si="406"/>
        <v>837.53706674944453</v>
      </c>
      <c r="M932" s="306">
        <f t="shared" ca="1" si="422"/>
        <v>-1.5015053761939172</v>
      </c>
      <c r="N932" s="304">
        <f t="shared" ca="1" si="423"/>
        <v>-86.029920972114411</v>
      </c>
      <c r="P932" s="310">
        <f t="shared" ca="1" si="424"/>
        <v>23</v>
      </c>
      <c r="Q932" s="304">
        <f t="shared" ca="1" si="425"/>
        <v>0</v>
      </c>
      <c r="R932" s="306">
        <f t="shared" ca="1" si="426"/>
        <v>0</v>
      </c>
      <c r="S932" s="307">
        <f t="shared" ca="1" si="427"/>
        <v>2.9362999999999984</v>
      </c>
      <c r="T932" s="304">
        <f t="shared" ca="1" si="407"/>
        <v>28.805102999999985</v>
      </c>
      <c r="U932" s="311">
        <f t="shared" ca="1" si="408"/>
        <v>0</v>
      </c>
      <c r="V932" s="306">
        <f t="shared" ca="1" si="409"/>
        <v>1.2268059111245948</v>
      </c>
      <c r="W932" s="304">
        <f t="shared" ca="1" si="410"/>
        <v>27.186559196019466</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0.52769673295020603</v>
      </c>
      <c r="AH932" s="304">
        <f t="shared" ca="1" si="434"/>
        <v>-9.2587621835460023</v>
      </c>
    </row>
    <row r="933" spans="1:34" x14ac:dyDescent="0.2">
      <c r="A933" s="347">
        <f t="shared" ca="1" si="412"/>
        <v>1E-4</v>
      </c>
      <c r="B933" s="304">
        <f t="shared" ca="1" si="413"/>
        <v>37.142400000001629</v>
      </c>
      <c r="D933" s="306">
        <f t="shared" ca="1" si="414"/>
        <v>-0.64103650105965715</v>
      </c>
      <c r="E933" s="307">
        <f t="shared" ca="1" si="415"/>
        <v>-0.57343671857273826</v>
      </c>
      <c r="F933" s="304">
        <f t="shared" ca="1" si="416"/>
        <v>0.86009154506847563</v>
      </c>
      <c r="G933" s="306">
        <f t="shared" ca="1" si="417"/>
        <v>7.2151056107141871</v>
      </c>
      <c r="H933" s="307">
        <f t="shared" ca="1" si="418"/>
        <v>-103.96195583587831</v>
      </c>
      <c r="I933" s="304">
        <f t="shared" ca="1" si="419"/>
        <v>104.21202430715408</v>
      </c>
      <c r="J933" s="306">
        <f t="shared" ca="1" si="420"/>
        <v>837.4075040097224</v>
      </c>
      <c r="K933" s="307">
        <f t="shared" ca="1" si="421"/>
        <v>-14.741669303698108</v>
      </c>
      <c r="L933" s="304">
        <f t="shared" ca="1" si="406"/>
        <v>837.53724967051642</v>
      </c>
      <c r="M933" s="306">
        <f t="shared" ca="1" si="422"/>
        <v>-1.5015060279425279</v>
      </c>
      <c r="N933" s="304">
        <f t="shared" ca="1" si="423"/>
        <v>-86.029958314559096</v>
      </c>
      <c r="P933" s="310">
        <f t="shared" ca="1" si="424"/>
        <v>23</v>
      </c>
      <c r="Q933" s="304">
        <f t="shared" ca="1" si="425"/>
        <v>0</v>
      </c>
      <c r="R933" s="306">
        <f t="shared" ca="1" si="426"/>
        <v>0</v>
      </c>
      <c r="S933" s="307">
        <f t="shared" ca="1" si="427"/>
        <v>2.9362999999999984</v>
      </c>
      <c r="T933" s="304">
        <f t="shared" ca="1" si="407"/>
        <v>28.805102999999985</v>
      </c>
      <c r="U933" s="311">
        <f t="shared" ca="1" si="408"/>
        <v>0</v>
      </c>
      <c r="V933" s="306">
        <f t="shared" ca="1" si="409"/>
        <v>1.226807186537018</v>
      </c>
      <c r="W933" s="304">
        <f t="shared" ca="1" si="410"/>
        <v>27.186614991640635</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0.52767817331782929</v>
      </c>
      <c r="AH933" s="304">
        <f t="shared" ca="1" si="434"/>
        <v>-9.2587811858527669</v>
      </c>
    </row>
    <row r="934" spans="1:34" x14ac:dyDescent="0.2">
      <c r="A934" s="347">
        <f t="shared" ca="1" si="412"/>
        <v>1E-4</v>
      </c>
      <c r="B934" s="304">
        <f t="shared" ca="1" si="413"/>
        <v>37.142500000001633</v>
      </c>
      <c r="D934" s="306">
        <f t="shared" ca="1" si="414"/>
        <v>-0.64103179674431732</v>
      </c>
      <c r="E934" s="307">
        <f t="shared" ca="1" si="415"/>
        <v>-0.57341734436098513</v>
      </c>
      <c r="F934" s="304">
        <f t="shared" ca="1" si="416"/>
        <v>0.86007512186509172</v>
      </c>
      <c r="G934" s="306">
        <f t="shared" ca="1" si="417"/>
        <v>7.2150415075345125</v>
      </c>
      <c r="H934" s="307">
        <f t="shared" ca="1" si="418"/>
        <v>-103.96201317761275</v>
      </c>
      <c r="I934" s="304">
        <f t="shared" ca="1" si="419"/>
        <v>104.21207707313759</v>
      </c>
      <c r="J934" s="306">
        <f t="shared" ca="1" si="420"/>
        <v>837.4075040097224</v>
      </c>
      <c r="K934" s="307">
        <f t="shared" ca="1" si="421"/>
        <v>-14.752065502148783</v>
      </c>
      <c r="L934" s="304">
        <f t="shared" ca="1" si="406"/>
        <v>837.53743272069516</v>
      </c>
      <c r="M934" s="306">
        <f t="shared" ca="1" si="422"/>
        <v>-1.5015066796846881</v>
      </c>
      <c r="N934" s="304">
        <f t="shared" ca="1" si="423"/>
        <v>-86.029995656634213</v>
      </c>
      <c r="P934" s="310">
        <f t="shared" ca="1" si="424"/>
        <v>23</v>
      </c>
      <c r="Q934" s="304">
        <f t="shared" ca="1" si="425"/>
        <v>0</v>
      </c>
      <c r="R934" s="306">
        <f t="shared" ca="1" si="426"/>
        <v>0</v>
      </c>
      <c r="S934" s="307">
        <f t="shared" ca="1" si="427"/>
        <v>2.9362999999999984</v>
      </c>
      <c r="T934" s="304">
        <f t="shared" ca="1" si="407"/>
        <v>28.805102999999985</v>
      </c>
      <c r="U934" s="311">
        <f t="shared" ca="1" si="408"/>
        <v>0</v>
      </c>
      <c r="V934" s="306">
        <f t="shared" ca="1" si="409"/>
        <v>1.2268084619514714</v>
      </c>
      <c r="W934" s="304">
        <f t="shared" ca="1" si="410"/>
        <v>27.186670786409636</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0.52765961396714012</v>
      </c>
      <c r="AH934" s="304">
        <f t="shared" ca="1" si="434"/>
        <v>-9.2588001878693085</v>
      </c>
    </row>
    <row r="935" spans="1:34" x14ac:dyDescent="0.2">
      <c r="A935" s="347">
        <f t="shared" ca="1" si="412"/>
        <v>1E-4</v>
      </c>
      <c r="B935" s="304">
        <f t="shared" ca="1" si="413"/>
        <v>37.142600000001636</v>
      </c>
      <c r="D935" s="306">
        <f t="shared" ca="1" si="414"/>
        <v>-0.64102709244348233</v>
      </c>
      <c r="E935" s="307">
        <f t="shared" ca="1" si="415"/>
        <v>-0.57339797044509666</v>
      </c>
      <c r="F935" s="304">
        <f t="shared" ca="1" si="416"/>
        <v>0.8600586990183291</v>
      </c>
      <c r="G935" s="306">
        <f t="shared" ca="1" si="417"/>
        <v>7.2149774048252677</v>
      </c>
      <c r="H935" s="307">
        <f t="shared" ca="1" si="418"/>
        <v>-103.96207051740978</v>
      </c>
      <c r="I935" s="304">
        <f t="shared" ca="1" si="419"/>
        <v>104.21212983726522</v>
      </c>
      <c r="J935" s="306">
        <f t="shared" ca="1" si="420"/>
        <v>837.4075040097224</v>
      </c>
      <c r="K935" s="307">
        <f t="shared" ca="1" si="421"/>
        <v>-14.762461706333534</v>
      </c>
      <c r="L935" s="304">
        <f t="shared" ca="1" si="406"/>
        <v>837.53761589998112</v>
      </c>
      <c r="M935" s="306">
        <f t="shared" ca="1" si="422"/>
        <v>-1.5015073314203977</v>
      </c>
      <c r="N935" s="304">
        <f t="shared" ca="1" si="423"/>
        <v>-86.030032998339735</v>
      </c>
      <c r="P935" s="310">
        <f t="shared" ca="1" si="424"/>
        <v>23</v>
      </c>
      <c r="Q935" s="304">
        <f t="shared" ca="1" si="425"/>
        <v>0</v>
      </c>
      <c r="R935" s="306">
        <f t="shared" ca="1" si="426"/>
        <v>0</v>
      </c>
      <c r="S935" s="307">
        <f t="shared" ca="1" si="427"/>
        <v>2.9362999999999984</v>
      </c>
      <c r="T935" s="304">
        <f t="shared" ca="1" si="407"/>
        <v>28.805102999999985</v>
      </c>
      <c r="U935" s="311">
        <f t="shared" ca="1" si="408"/>
        <v>0</v>
      </c>
      <c r="V935" s="306">
        <f t="shared" ca="1" si="409"/>
        <v>1.2268097373679556</v>
      </c>
      <c r="W935" s="304">
        <f t="shared" ca="1" si="410"/>
        <v>27.1867265803265</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0.5276410548981314</v>
      </c>
      <c r="AH935" s="304">
        <f t="shared" ca="1" si="434"/>
        <v>-9.2588191895956307</v>
      </c>
    </row>
    <row r="936" spans="1:34" x14ac:dyDescent="0.2">
      <c r="A936" s="347">
        <f t="shared" ca="1" si="412"/>
        <v>1E-4</v>
      </c>
      <c r="B936" s="304">
        <f t="shared" ca="1" si="413"/>
        <v>37.142700000001639</v>
      </c>
      <c r="D936" s="306">
        <f t="shared" ca="1" si="414"/>
        <v>-0.64102238815715584</v>
      </c>
      <c r="E936" s="307">
        <f t="shared" ca="1" si="415"/>
        <v>-0.57337859682506576</v>
      </c>
      <c r="F936" s="304">
        <f t="shared" ca="1" si="416"/>
        <v>0.86004227652818599</v>
      </c>
      <c r="G936" s="306">
        <f t="shared" ca="1" si="417"/>
        <v>7.214913302586452</v>
      </c>
      <c r="H936" s="307">
        <f t="shared" ca="1" si="418"/>
        <v>-103.96212785526947</v>
      </c>
      <c r="I936" s="304">
        <f t="shared" ca="1" si="419"/>
        <v>104.21218259953696</v>
      </c>
      <c r="J936" s="306">
        <f t="shared" ca="1" si="420"/>
        <v>837.4075040097224</v>
      </c>
      <c r="K936" s="307">
        <f t="shared" ca="1" si="421"/>
        <v>-14.772857916252168</v>
      </c>
      <c r="L936" s="304">
        <f t="shared" ca="1" si="406"/>
        <v>837.53779920837428</v>
      </c>
      <c r="M936" s="306">
        <f t="shared" ca="1" si="422"/>
        <v>-1.5015079831496572</v>
      </c>
      <c r="N936" s="304">
        <f t="shared" ca="1" si="423"/>
        <v>-86.030070339675689</v>
      </c>
      <c r="P936" s="310">
        <f t="shared" ca="1" si="424"/>
        <v>23</v>
      </c>
      <c r="Q936" s="304">
        <f t="shared" ca="1" si="425"/>
        <v>0</v>
      </c>
      <c r="R936" s="306">
        <f t="shared" ca="1" si="426"/>
        <v>0</v>
      </c>
      <c r="S936" s="307">
        <f t="shared" ca="1" si="427"/>
        <v>2.9362999999999984</v>
      </c>
      <c r="T936" s="304">
        <f t="shared" ca="1" si="407"/>
        <v>28.805102999999985</v>
      </c>
      <c r="U936" s="311">
        <f t="shared" ca="1" si="408"/>
        <v>0</v>
      </c>
      <c r="V936" s="306">
        <f t="shared" ca="1" si="409"/>
        <v>1.2268110127864695</v>
      </c>
      <c r="W936" s="304">
        <f t="shared" ca="1" si="410"/>
        <v>27.1867823733912</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0.52762249611079248</v>
      </c>
      <c r="AH936" s="304">
        <f t="shared" ca="1" si="434"/>
        <v>-9.2588381910317459</v>
      </c>
    </row>
    <row r="937" spans="1:34" x14ac:dyDescent="0.2">
      <c r="A937" s="347">
        <f t="shared" ca="1" si="412"/>
        <v>1E-4</v>
      </c>
      <c r="B937" s="304">
        <f t="shared" ca="1" si="413"/>
        <v>37.142800000001643</v>
      </c>
      <c r="D937" s="306">
        <f t="shared" ca="1" si="414"/>
        <v>-0.64101768388533398</v>
      </c>
      <c r="E937" s="307">
        <f t="shared" ca="1" si="415"/>
        <v>-0.57335922350089596</v>
      </c>
      <c r="F937" s="304">
        <f t="shared" ca="1" si="416"/>
        <v>0.86002585439466195</v>
      </c>
      <c r="G937" s="306">
        <f t="shared" ca="1" si="417"/>
        <v>7.2148492008180636</v>
      </c>
      <c r="H937" s="307">
        <f t="shared" ca="1" si="418"/>
        <v>-103.96218519119182</v>
      </c>
      <c r="I937" s="304">
        <f t="shared" ca="1" si="419"/>
        <v>104.21223535995286</v>
      </c>
      <c r="J937" s="306">
        <f t="shared" ca="1" si="420"/>
        <v>837.4075040097224</v>
      </c>
      <c r="K937" s="307">
        <f t="shared" ca="1" si="421"/>
        <v>-14.78325413190449</v>
      </c>
      <c r="L937" s="304">
        <f t="shared" ca="1" si="406"/>
        <v>837.53798264587476</v>
      </c>
      <c r="M937" s="306">
        <f t="shared" ca="1" si="422"/>
        <v>-1.5015086348724662</v>
      </c>
      <c r="N937" s="304">
        <f t="shared" ca="1" si="423"/>
        <v>-86.030107680642061</v>
      </c>
      <c r="P937" s="310">
        <f t="shared" ca="1" si="424"/>
        <v>23</v>
      </c>
      <c r="Q937" s="304">
        <f t="shared" ca="1" si="425"/>
        <v>0</v>
      </c>
      <c r="R937" s="306">
        <f t="shared" ca="1" si="426"/>
        <v>0</v>
      </c>
      <c r="S937" s="307">
        <f t="shared" ca="1" si="427"/>
        <v>2.9362999999999984</v>
      </c>
      <c r="T937" s="304">
        <f t="shared" ca="1" si="407"/>
        <v>28.805102999999985</v>
      </c>
      <c r="U937" s="311">
        <f t="shared" ca="1" si="408"/>
        <v>0</v>
      </c>
      <c r="V937" s="306">
        <f t="shared" ca="1" si="409"/>
        <v>1.2268122882070145</v>
      </c>
      <c r="W937" s="304">
        <f t="shared" ca="1" si="410"/>
        <v>27.186838165603785</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0.52760393760513402</v>
      </c>
      <c r="AH937" s="304">
        <f t="shared" ca="1" si="434"/>
        <v>-9.2588571921776435</v>
      </c>
    </row>
    <row r="938" spans="1:34" x14ac:dyDescent="0.2">
      <c r="A938" s="347">
        <f t="shared" ca="1" si="412"/>
        <v>1E-4</v>
      </c>
      <c r="B938" s="304">
        <f t="shared" ca="1" si="413"/>
        <v>37.142900000001646</v>
      </c>
      <c r="D938" s="306">
        <f t="shared" ca="1" si="414"/>
        <v>-0.64101297962802095</v>
      </c>
      <c r="E938" s="307">
        <f t="shared" ca="1" si="415"/>
        <v>-0.57333985047257663</v>
      </c>
      <c r="F938" s="304">
        <f t="shared" ca="1" si="416"/>
        <v>0.86000943261775342</v>
      </c>
      <c r="G938" s="306">
        <f t="shared" ca="1" si="417"/>
        <v>7.2147850995201006</v>
      </c>
      <c r="H938" s="307">
        <f t="shared" ca="1" si="418"/>
        <v>-103.96224252517686</v>
      </c>
      <c r="I938" s="304">
        <f t="shared" ca="1" si="419"/>
        <v>104.21228811851292</v>
      </c>
      <c r="J938" s="306">
        <f t="shared" ca="1" si="420"/>
        <v>837.4075040097224</v>
      </c>
      <c r="K938" s="307">
        <f t="shared" ca="1" si="421"/>
        <v>-14.793650353290309</v>
      </c>
      <c r="L938" s="304">
        <f t="shared" ca="1" si="406"/>
        <v>837.53816621248291</v>
      </c>
      <c r="M938" s="306">
        <f t="shared" ca="1" si="422"/>
        <v>-1.5015092865888251</v>
      </c>
      <c r="N938" s="304">
        <f t="shared" ca="1" si="423"/>
        <v>-86.030145021238866</v>
      </c>
      <c r="P938" s="310">
        <f t="shared" ca="1" si="424"/>
        <v>23</v>
      </c>
      <c r="Q938" s="304">
        <f t="shared" ca="1" si="425"/>
        <v>0</v>
      </c>
      <c r="R938" s="306">
        <f t="shared" ca="1" si="426"/>
        <v>0</v>
      </c>
      <c r="S938" s="307">
        <f t="shared" ca="1" si="427"/>
        <v>2.9362999999999984</v>
      </c>
      <c r="T938" s="304">
        <f t="shared" ca="1" si="407"/>
        <v>28.805102999999985</v>
      </c>
      <c r="U938" s="311">
        <f t="shared" ca="1" si="408"/>
        <v>0</v>
      </c>
      <c r="V938" s="306">
        <f t="shared" ca="1" si="409"/>
        <v>1.2268135636295898</v>
      </c>
      <c r="W938" s="304">
        <f t="shared" ca="1" si="410"/>
        <v>27.186893956964234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0.5275853793811347</v>
      </c>
      <c r="AH938" s="304">
        <f t="shared" ca="1" si="434"/>
        <v>-9.2588761930333412</v>
      </c>
    </row>
    <row r="939" spans="1:34" x14ac:dyDescent="0.2">
      <c r="A939" s="347">
        <f t="shared" ca="1" si="412"/>
        <v>1E-4</v>
      </c>
      <c r="B939" s="304">
        <f t="shared" ca="1" si="413"/>
        <v>37.143000000001649</v>
      </c>
      <c r="D939" s="306">
        <f t="shared" ca="1" si="414"/>
        <v>-0.64100827538521532</v>
      </c>
      <c r="E939" s="307">
        <f t="shared" ca="1" si="415"/>
        <v>-0.57332047774010775</v>
      </c>
      <c r="F939" s="304">
        <f t="shared" ca="1" si="416"/>
        <v>0.8599930111974593</v>
      </c>
      <c r="G939" s="306">
        <f t="shared" ca="1" si="417"/>
        <v>7.2147209986925622</v>
      </c>
      <c r="H939" s="307">
        <f t="shared" ca="1" si="418"/>
        <v>-103.96229985722464</v>
      </c>
      <c r="I939" s="304">
        <f t="shared" ca="1" si="419"/>
        <v>104.21234087521719</v>
      </c>
      <c r="J939" s="306">
        <f t="shared" ca="1" si="420"/>
        <v>837.4075040097224</v>
      </c>
      <c r="K939" s="307">
        <f t="shared" ca="1" si="421"/>
        <v>-14.804046580409429</v>
      </c>
      <c r="L939" s="304">
        <f t="shared" ca="1" si="406"/>
        <v>837.5383499081986</v>
      </c>
      <c r="M939" s="306">
        <f t="shared" ca="1" si="422"/>
        <v>-1.5015099382987338</v>
      </c>
      <c r="N939" s="304">
        <f t="shared" ca="1" si="423"/>
        <v>-86.030182361466089</v>
      </c>
      <c r="P939" s="310">
        <f t="shared" ca="1" si="424"/>
        <v>23</v>
      </c>
      <c r="Q939" s="304">
        <f t="shared" ca="1" si="425"/>
        <v>0</v>
      </c>
      <c r="R939" s="306">
        <f t="shared" ca="1" si="426"/>
        <v>0</v>
      </c>
      <c r="S939" s="307">
        <f t="shared" ca="1" si="427"/>
        <v>2.9362999999999984</v>
      </c>
      <c r="T939" s="304">
        <f t="shared" ca="1" si="407"/>
        <v>28.805102999999985</v>
      </c>
      <c r="U939" s="311">
        <f t="shared" ca="1" si="408"/>
        <v>0</v>
      </c>
      <c r="V939" s="306">
        <f t="shared" ca="1" si="409"/>
        <v>1.2268148390541946</v>
      </c>
      <c r="W939" s="304">
        <f t="shared" ca="1" si="410"/>
        <v>27.186949747472557</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0.52756682143880873</v>
      </c>
      <c r="AH939" s="304">
        <f t="shared" ca="1" si="434"/>
        <v>-9.258895193598832</v>
      </c>
    </row>
    <row r="940" spans="1:34" x14ac:dyDescent="0.2">
      <c r="A940" s="347">
        <f t="shared" ca="1" si="412"/>
        <v>1E-4</v>
      </c>
      <c r="B940" s="304">
        <f t="shared" ca="1" si="413"/>
        <v>37.143100000001652</v>
      </c>
      <c r="D940" s="306">
        <f t="shared" ca="1" si="414"/>
        <v>-0.64100357115691797</v>
      </c>
      <c r="E940" s="307">
        <f t="shared" ca="1" si="415"/>
        <v>-0.57330110530349288</v>
      </c>
      <c r="F940" s="304">
        <f t="shared" ca="1" si="416"/>
        <v>0.85997659013378303</v>
      </c>
      <c r="G940" s="306">
        <f t="shared" ca="1" si="417"/>
        <v>7.2146568983354467</v>
      </c>
      <c r="H940" s="307">
        <f t="shared" ca="1" si="418"/>
        <v>-103.96235718733517</v>
      </c>
      <c r="I940" s="304">
        <f t="shared" ca="1" si="419"/>
        <v>104.21239363006572</v>
      </c>
      <c r="J940" s="306">
        <f t="shared" ca="1" si="420"/>
        <v>837.4075040097224</v>
      </c>
      <c r="K940" s="307">
        <f t="shared" ca="1" si="421"/>
        <v>-14.814442813261657</v>
      </c>
      <c r="L940" s="304">
        <f t="shared" ca="1" si="406"/>
        <v>837.53853373302218</v>
      </c>
      <c r="M940" s="306">
        <f t="shared" ca="1" si="422"/>
        <v>-1.5015105900021926</v>
      </c>
      <c r="N940" s="304">
        <f t="shared" ca="1" si="423"/>
        <v>-86.030219701323773</v>
      </c>
      <c r="P940" s="310">
        <f t="shared" ca="1" si="424"/>
        <v>23</v>
      </c>
      <c r="Q940" s="304">
        <f t="shared" ca="1" si="425"/>
        <v>0</v>
      </c>
      <c r="R940" s="306">
        <f t="shared" ca="1" si="426"/>
        <v>0</v>
      </c>
      <c r="S940" s="307">
        <f t="shared" ca="1" si="427"/>
        <v>2.9362999999999984</v>
      </c>
      <c r="T940" s="304">
        <f t="shared" ca="1" si="407"/>
        <v>28.805102999999985</v>
      </c>
      <c r="U940" s="311">
        <f t="shared" ca="1" si="408"/>
        <v>0</v>
      </c>
      <c r="V940" s="306">
        <f t="shared" ca="1" si="409"/>
        <v>1.2268161144808305</v>
      </c>
      <c r="W940" s="304">
        <f t="shared" ca="1" si="410"/>
        <v>27.187005537128798</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0.52754826377814901</v>
      </c>
      <c r="AH940" s="304">
        <f t="shared" ca="1" si="434"/>
        <v>-9.2589141938741175</v>
      </c>
    </row>
    <row r="941" spans="1:34" x14ac:dyDescent="0.2">
      <c r="A941" s="347">
        <f t="shared" ca="1" si="412"/>
        <v>1E-4</v>
      </c>
      <c r="B941" s="304">
        <f t="shared" ca="1" si="413"/>
        <v>37.143200000001656</v>
      </c>
      <c r="D941" s="306">
        <f t="shared" ca="1" si="414"/>
        <v>-0.64099886694312913</v>
      </c>
      <c r="E941" s="307">
        <f t="shared" ca="1" si="415"/>
        <v>-0.57328173316271247</v>
      </c>
      <c r="F941" s="304">
        <f t="shared" ca="1" si="416"/>
        <v>0.85996016942671183</v>
      </c>
      <c r="G941" s="306">
        <f t="shared" ca="1" si="417"/>
        <v>7.2145927984487521</v>
      </c>
      <c r="H941" s="307">
        <f t="shared" ca="1" si="418"/>
        <v>-103.96241451550848</v>
      </c>
      <c r="I941" s="304">
        <f t="shared" ca="1" si="419"/>
        <v>104.21244638305848</v>
      </c>
      <c r="J941" s="306">
        <f t="shared" ca="1" si="420"/>
        <v>837.4075040097224</v>
      </c>
      <c r="K941" s="307">
        <f t="shared" ca="1" si="421"/>
        <v>-14.8248390518468</v>
      </c>
      <c r="L941" s="304">
        <f t="shared" ca="1" si="406"/>
        <v>837.53871768695353</v>
      </c>
      <c r="M941" s="306">
        <f t="shared" ca="1" si="422"/>
        <v>-1.5015112416992014</v>
      </c>
      <c r="N941" s="304">
        <f t="shared" ca="1" si="423"/>
        <v>-86.030257040811904</v>
      </c>
      <c r="P941" s="310">
        <f t="shared" ca="1" si="424"/>
        <v>23</v>
      </c>
      <c r="Q941" s="304">
        <f t="shared" ca="1" si="425"/>
        <v>0</v>
      </c>
      <c r="R941" s="306">
        <f t="shared" ca="1" si="426"/>
        <v>0</v>
      </c>
      <c r="S941" s="307">
        <f t="shared" ca="1" si="427"/>
        <v>2.9362999999999984</v>
      </c>
      <c r="T941" s="304">
        <f t="shared" ca="1" si="407"/>
        <v>28.805102999999985</v>
      </c>
      <c r="U941" s="311">
        <f t="shared" ca="1" si="408"/>
        <v>0</v>
      </c>
      <c r="V941" s="306">
        <f t="shared" ca="1" si="409"/>
        <v>1.2268173899094963</v>
      </c>
      <c r="W941" s="304">
        <f t="shared" ca="1" si="410"/>
        <v>27.187061325932927</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0.52752970639913777</v>
      </c>
      <c r="AH941" s="304">
        <f t="shared" ca="1" si="434"/>
        <v>-9.2589331938592156</v>
      </c>
    </row>
    <row r="942" spans="1:34" x14ac:dyDescent="0.2">
      <c r="A942" s="347">
        <f t="shared" ca="1" si="412"/>
        <v>1E-4</v>
      </c>
      <c r="B942" s="304">
        <f t="shared" ca="1" si="413"/>
        <v>37.143300000001659</v>
      </c>
      <c r="D942" s="306">
        <f t="shared" ca="1" si="414"/>
        <v>-0.64099416274384857</v>
      </c>
      <c r="E942" s="307">
        <f t="shared" ca="1" si="415"/>
        <v>-0.57326236131777897</v>
      </c>
      <c r="F942" s="304">
        <f t="shared" ca="1" si="416"/>
        <v>0.85994374907625393</v>
      </c>
      <c r="G942" s="306">
        <f t="shared" ca="1" si="417"/>
        <v>7.2145286990324777</v>
      </c>
      <c r="H942" s="307">
        <f t="shared" ca="1" si="418"/>
        <v>-103.96247184174462</v>
      </c>
      <c r="I942" s="304">
        <f t="shared" ca="1" si="419"/>
        <v>104.21249913419554</v>
      </c>
      <c r="J942" s="306">
        <f t="shared" ca="1" si="420"/>
        <v>837.4075040097224</v>
      </c>
      <c r="K942" s="307">
        <f t="shared" ca="1" si="421"/>
        <v>-14.835235296164662</v>
      </c>
      <c r="L942" s="304">
        <f t="shared" ca="1" si="406"/>
        <v>837.53890176999289</v>
      </c>
      <c r="M942" s="306">
        <f t="shared" ca="1" si="422"/>
        <v>-1.5015118933897602</v>
      </c>
      <c r="N942" s="304">
        <f t="shared" ca="1" si="423"/>
        <v>-86.030294379930467</v>
      </c>
      <c r="P942" s="310">
        <f t="shared" ca="1" si="424"/>
        <v>23</v>
      </c>
      <c r="Q942" s="304">
        <f t="shared" ca="1" si="425"/>
        <v>0</v>
      </c>
      <c r="R942" s="306">
        <f t="shared" ca="1" si="426"/>
        <v>0</v>
      </c>
      <c r="S942" s="307">
        <f t="shared" ca="1" si="427"/>
        <v>2.9362999999999984</v>
      </c>
      <c r="T942" s="304">
        <f t="shared" ca="1" si="407"/>
        <v>28.805102999999985</v>
      </c>
      <c r="U942" s="311">
        <f t="shared" ca="1" si="408"/>
        <v>0</v>
      </c>
      <c r="V942" s="306">
        <f t="shared" ca="1" si="409"/>
        <v>1.2268186653401922</v>
      </c>
      <c r="W942" s="304">
        <f t="shared" ca="1" si="410"/>
        <v>27.187117113884963</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0.52751114930179277</v>
      </c>
      <c r="AH942" s="304">
        <f t="shared" ca="1" si="434"/>
        <v>-9.2589521935541121</v>
      </c>
    </row>
    <row r="943" spans="1:34" x14ac:dyDescent="0.2">
      <c r="A943" s="347">
        <f t="shared" ca="1" si="412"/>
        <v>1E-4</v>
      </c>
      <c r="B943" s="304">
        <f t="shared" ca="1" si="413"/>
        <v>37.143400000001662</v>
      </c>
      <c r="D943" s="306">
        <f t="shared" ca="1" si="414"/>
        <v>-0.64098945855907818</v>
      </c>
      <c r="E943" s="307">
        <f t="shared" ca="1" si="415"/>
        <v>-0.57324298976868349</v>
      </c>
      <c r="F943" s="304">
        <f t="shared" ca="1" si="416"/>
        <v>0.85992732908240521</v>
      </c>
      <c r="G943" s="306">
        <f t="shared" ca="1" si="417"/>
        <v>7.2144646000866217</v>
      </c>
      <c r="H943" s="307">
        <f t="shared" ca="1" si="418"/>
        <v>-103.96252916604359</v>
      </c>
      <c r="I943" s="304">
        <f t="shared" ca="1" si="419"/>
        <v>104.21255188347692</v>
      </c>
      <c r="J943" s="306">
        <f t="shared" ca="1" si="420"/>
        <v>837.4075040097224</v>
      </c>
      <c r="K943" s="307">
        <f t="shared" ca="1" si="421"/>
        <v>-14.845631546215051</v>
      </c>
      <c r="L943" s="304">
        <f t="shared" ca="1" si="406"/>
        <v>837.53908598214048</v>
      </c>
      <c r="M943" s="306">
        <f t="shared" ca="1" si="422"/>
        <v>-1.5015125450738693</v>
      </c>
      <c r="N943" s="304">
        <f t="shared" ca="1" si="423"/>
        <v>-86.030331718679506</v>
      </c>
      <c r="P943" s="310">
        <f t="shared" ca="1" si="424"/>
        <v>23</v>
      </c>
      <c r="Q943" s="304">
        <f t="shared" ca="1" si="425"/>
        <v>0</v>
      </c>
      <c r="R943" s="306">
        <f t="shared" ca="1" si="426"/>
        <v>0</v>
      </c>
      <c r="S943" s="307">
        <f t="shared" ca="1" si="427"/>
        <v>2.9362999999999984</v>
      </c>
      <c r="T943" s="304">
        <f t="shared" ca="1" si="407"/>
        <v>28.805102999999985</v>
      </c>
      <c r="U943" s="311">
        <f t="shared" ca="1" si="408"/>
        <v>0</v>
      </c>
      <c r="V943" s="306">
        <f t="shared" ca="1" si="409"/>
        <v>1.2268199407729188</v>
      </c>
      <c r="W943" s="304">
        <f t="shared" ca="1" si="410"/>
        <v>27.187172900984944</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0.52749259248610159</v>
      </c>
      <c r="AH943" s="304">
        <f t="shared" ca="1" si="434"/>
        <v>-9.2589711929588177</v>
      </c>
    </row>
    <row r="944" spans="1:34" x14ac:dyDescent="0.2">
      <c r="A944" s="347">
        <f t="shared" ca="1" si="412"/>
        <v>1E-4</v>
      </c>
      <c r="B944" s="304">
        <f t="shared" ca="1" si="413"/>
        <v>37.143500000001666</v>
      </c>
      <c r="D944" s="306">
        <f t="shared" ca="1" si="414"/>
        <v>-0.64098475438881752</v>
      </c>
      <c r="E944" s="307">
        <f t="shared" ca="1" si="415"/>
        <v>-0.57322361851541537</v>
      </c>
      <c r="F944" s="304">
        <f t="shared" ca="1" si="416"/>
        <v>0.85991090944515824</v>
      </c>
      <c r="G944" s="306">
        <f t="shared" ca="1" si="417"/>
        <v>7.2144005016111832</v>
      </c>
      <c r="H944" s="307">
        <f t="shared" ca="1" si="418"/>
        <v>-103.96258648840545</v>
      </c>
      <c r="I944" s="304">
        <f t="shared" ca="1" si="419"/>
        <v>104.21260463090265</v>
      </c>
      <c r="J944" s="306">
        <f t="shared" ca="1" si="420"/>
        <v>837.4075040097224</v>
      </c>
      <c r="K944" s="307">
        <f t="shared" ca="1" si="421"/>
        <v>-14.856027801997774</v>
      </c>
      <c r="L944" s="304">
        <f t="shared" ca="1" si="406"/>
        <v>837.53927032339618</v>
      </c>
      <c r="M944" s="306">
        <f t="shared" ca="1" si="422"/>
        <v>-1.5015131967515287</v>
      </c>
      <c r="N944" s="304">
        <f t="shared" ca="1" si="423"/>
        <v>-86.030369057058991</v>
      </c>
      <c r="P944" s="310">
        <f t="shared" ca="1" si="424"/>
        <v>23</v>
      </c>
      <c r="Q944" s="304">
        <f t="shared" ca="1" si="425"/>
        <v>0</v>
      </c>
      <c r="R944" s="306">
        <f t="shared" ca="1" si="426"/>
        <v>0</v>
      </c>
      <c r="S944" s="307">
        <f t="shared" ca="1" si="427"/>
        <v>2.9362999999999984</v>
      </c>
      <c r="T944" s="304">
        <f t="shared" ca="1" si="407"/>
        <v>28.805102999999985</v>
      </c>
      <c r="U944" s="311">
        <f t="shared" ca="1" si="408"/>
        <v>0</v>
      </c>
      <c r="V944" s="306">
        <f t="shared" ca="1" si="409"/>
        <v>1.2268212162076755</v>
      </c>
      <c r="W944" s="304">
        <f t="shared" ca="1" si="410"/>
        <v>27.187228687232849</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0.52747403595205711</v>
      </c>
      <c r="AH944" s="304">
        <f t="shared" ca="1" si="434"/>
        <v>-9.2589901920733428</v>
      </c>
    </row>
    <row r="945" spans="1:34" x14ac:dyDescent="0.2">
      <c r="A945" s="347">
        <f t="shared" ca="1" si="412"/>
        <v>1E-4</v>
      </c>
      <c r="B945" s="304">
        <f t="shared" ca="1" si="413"/>
        <v>37.143600000001669</v>
      </c>
      <c r="D945" s="306">
        <f t="shared" ca="1" si="414"/>
        <v>-0.64098005023306714</v>
      </c>
      <c r="E945" s="307">
        <f t="shared" ca="1" si="415"/>
        <v>-0.57320424755797816</v>
      </c>
      <c r="F945" s="304">
        <f t="shared" ca="1" si="416"/>
        <v>0.85989449016451625</v>
      </c>
      <c r="G945" s="306">
        <f t="shared" ca="1" si="417"/>
        <v>7.2143364036061595</v>
      </c>
      <c r="H945" s="307">
        <f t="shared" ca="1" si="418"/>
        <v>-103.96264380883021</v>
      </c>
      <c r="I945" s="304">
        <f t="shared" ca="1" si="419"/>
        <v>104.21265737647275</v>
      </c>
      <c r="J945" s="306">
        <f t="shared" ca="1" si="420"/>
        <v>837.4075040097224</v>
      </c>
      <c r="K945" s="307">
        <f t="shared" ca="1" si="421"/>
        <v>-14.866424063512635</v>
      </c>
      <c r="L945" s="304">
        <f t="shared" ca="1" si="406"/>
        <v>837.53945479376046</v>
      </c>
      <c r="M945" s="306">
        <f t="shared" ca="1" si="422"/>
        <v>-1.5015138484227384</v>
      </c>
      <c r="N945" s="304">
        <f t="shared" ca="1" si="423"/>
        <v>-86.030406395068937</v>
      </c>
      <c r="P945" s="310">
        <f t="shared" ca="1" si="424"/>
        <v>23</v>
      </c>
      <c r="Q945" s="304">
        <f t="shared" ca="1" si="425"/>
        <v>0</v>
      </c>
      <c r="R945" s="306">
        <f t="shared" ca="1" si="426"/>
        <v>0</v>
      </c>
      <c r="S945" s="307">
        <f t="shared" ca="1" si="427"/>
        <v>2.9362999999999984</v>
      </c>
      <c r="T945" s="304">
        <f t="shared" ca="1" si="407"/>
        <v>28.805102999999985</v>
      </c>
      <c r="U945" s="311">
        <f t="shared" ca="1" si="408"/>
        <v>0</v>
      </c>
      <c r="V945" s="306">
        <f t="shared" ca="1" si="409"/>
        <v>1.2268224916444621</v>
      </c>
      <c r="W945" s="304">
        <f t="shared" ca="1" si="410"/>
        <v>27.187284472628694</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0.52745547969965756</v>
      </c>
      <c r="AH945" s="304">
        <f t="shared" ca="1" si="434"/>
        <v>-9.2590091908976824</v>
      </c>
    </row>
    <row r="946" spans="1:34" x14ac:dyDescent="0.2">
      <c r="A946" s="347">
        <f t="shared" ca="1" si="412"/>
        <v>1E-4</v>
      </c>
      <c r="B946" s="304">
        <f t="shared" ca="1" si="413"/>
        <v>37.143700000001672</v>
      </c>
      <c r="D946" s="306">
        <f t="shared" ca="1" si="414"/>
        <v>-0.64097534609182827</v>
      </c>
      <c r="E946" s="307">
        <f t="shared" ca="1" si="415"/>
        <v>-0.57318487689637188</v>
      </c>
      <c r="F946" s="304">
        <f t="shared" ca="1" si="416"/>
        <v>0.85987807124047999</v>
      </c>
      <c r="G946" s="306">
        <f t="shared" ca="1" si="417"/>
        <v>7.2142723060715506</v>
      </c>
      <c r="H946" s="307">
        <f t="shared" ca="1" si="418"/>
        <v>-103.9627011273179</v>
      </c>
      <c r="I946" s="304">
        <f t="shared" ca="1" si="419"/>
        <v>104.21271012018724</v>
      </c>
      <c r="J946" s="306">
        <f t="shared" ca="1" si="420"/>
        <v>837.4075040097224</v>
      </c>
      <c r="K946" s="307">
        <f t="shared" ca="1" si="421"/>
        <v>-14.876820330759443</v>
      </c>
      <c r="L946" s="304">
        <f t="shared" ca="1" si="406"/>
        <v>837.53963939323307</v>
      </c>
      <c r="M946" s="306">
        <f t="shared" ca="1" si="422"/>
        <v>-1.5015145000874985</v>
      </c>
      <c r="N946" s="304">
        <f t="shared" ca="1" si="423"/>
        <v>-86.030443732709344</v>
      </c>
      <c r="P946" s="310">
        <f t="shared" ca="1" si="424"/>
        <v>23</v>
      </c>
      <c r="Q946" s="304">
        <f t="shared" ca="1" si="425"/>
        <v>0</v>
      </c>
      <c r="R946" s="306">
        <f t="shared" ca="1" si="426"/>
        <v>0</v>
      </c>
      <c r="S946" s="307">
        <f t="shared" ca="1" si="427"/>
        <v>2.9362999999999984</v>
      </c>
      <c r="T946" s="304">
        <f t="shared" ca="1" si="407"/>
        <v>28.805102999999985</v>
      </c>
      <c r="U946" s="311">
        <f t="shared" ca="1" si="408"/>
        <v>0</v>
      </c>
      <c r="V946" s="306">
        <f t="shared" ca="1" si="409"/>
        <v>1.2268237670832791</v>
      </c>
      <c r="W946" s="304">
        <f t="shared" ca="1" si="410"/>
        <v>27.187340257172497</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0.52743692372890649</v>
      </c>
      <c r="AH946" s="304">
        <f t="shared" ca="1" si="434"/>
        <v>-9.2590281894318398</v>
      </c>
    </row>
    <row r="947" spans="1:34" x14ac:dyDescent="0.2">
      <c r="A947" s="347">
        <f t="shared" ca="1" si="412"/>
        <v>1E-4</v>
      </c>
      <c r="B947" s="304">
        <f t="shared" ca="1" si="413"/>
        <v>37.143800000001676</v>
      </c>
      <c r="D947" s="306">
        <f t="shared" ca="1" si="414"/>
        <v>-0.64097064196510001</v>
      </c>
      <c r="E947" s="307">
        <f t="shared" ca="1" si="415"/>
        <v>-0.57316550653058584</v>
      </c>
      <c r="F947" s="304">
        <f t="shared" ca="1" si="416"/>
        <v>0.85986165267304226</v>
      </c>
      <c r="G947" s="306">
        <f t="shared" ca="1" si="417"/>
        <v>7.2142082090073538</v>
      </c>
      <c r="H947" s="307">
        <f t="shared" ca="1" si="418"/>
        <v>-103.96275844386855</v>
      </c>
      <c r="I947" s="304">
        <f t="shared" ca="1" si="419"/>
        <v>104.21276286204618</v>
      </c>
      <c r="J947" s="306">
        <f t="shared" ca="1" si="420"/>
        <v>837.4075040097224</v>
      </c>
      <c r="K947" s="307">
        <f t="shared" ca="1" si="421"/>
        <v>-14.887216603738002</v>
      </c>
      <c r="L947" s="304">
        <f t="shared" ca="1" si="406"/>
        <v>837.53982412181449</v>
      </c>
      <c r="M947" s="306">
        <f t="shared" ca="1" si="422"/>
        <v>-1.5015151517458092</v>
      </c>
      <c r="N947" s="304">
        <f t="shared" ca="1" si="423"/>
        <v>-86.030481069980226</v>
      </c>
      <c r="P947" s="310">
        <f t="shared" ca="1" si="424"/>
        <v>23</v>
      </c>
      <c r="Q947" s="304">
        <f t="shared" ca="1" si="425"/>
        <v>0</v>
      </c>
      <c r="R947" s="306">
        <f t="shared" ca="1" si="426"/>
        <v>0</v>
      </c>
      <c r="S947" s="307">
        <f t="shared" ca="1" si="427"/>
        <v>2.9362999999999984</v>
      </c>
      <c r="T947" s="304">
        <f t="shared" ca="1" si="407"/>
        <v>28.805102999999985</v>
      </c>
      <c r="U947" s="311">
        <f t="shared" ca="1" si="408"/>
        <v>0</v>
      </c>
      <c r="V947" s="306">
        <f t="shared" ca="1" si="409"/>
        <v>1.2268250425241261</v>
      </c>
      <c r="W947" s="304">
        <f t="shared" ca="1" si="410"/>
        <v>27.187396040864261</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0.52741836803979503</v>
      </c>
      <c r="AH947" s="304">
        <f t="shared" ca="1" si="434"/>
        <v>-9.2590471876758205</v>
      </c>
    </row>
    <row r="948" spans="1:34" x14ac:dyDescent="0.2">
      <c r="A948" s="347">
        <f t="shared" ca="1" si="412"/>
        <v>1E-4</v>
      </c>
      <c r="B948" s="304">
        <f t="shared" ca="1" si="413"/>
        <v>37.143900000001679</v>
      </c>
      <c r="D948" s="306">
        <f t="shared" ca="1" si="414"/>
        <v>-0.64096593785288369</v>
      </c>
      <c r="E948" s="307">
        <f t="shared" ca="1" si="415"/>
        <v>-0.57314613646062185</v>
      </c>
      <c r="F948" s="304">
        <f t="shared" ca="1" si="416"/>
        <v>0.85984523446220518</v>
      </c>
      <c r="G948" s="306">
        <f t="shared" ca="1" si="417"/>
        <v>7.2141441124135683</v>
      </c>
      <c r="H948" s="307">
        <f t="shared" ca="1" si="418"/>
        <v>-103.96281575848219</v>
      </c>
      <c r="I948" s="304">
        <f t="shared" ca="1" si="419"/>
        <v>104.21281560204957</v>
      </c>
      <c r="J948" s="306">
        <f t="shared" ca="1" si="420"/>
        <v>837.4075040097224</v>
      </c>
      <c r="K948" s="307">
        <f t="shared" ca="1" si="421"/>
        <v>-14.89761288244812</v>
      </c>
      <c r="L948" s="304">
        <f t="shared" ca="1" si="406"/>
        <v>837.54000897950448</v>
      </c>
      <c r="M948" s="306">
        <f t="shared" ca="1" si="422"/>
        <v>-1.5015158033976703</v>
      </c>
      <c r="N948" s="304">
        <f t="shared" ca="1" si="423"/>
        <v>-86.030518406881583</v>
      </c>
      <c r="P948" s="310">
        <f t="shared" ca="1" si="424"/>
        <v>23</v>
      </c>
      <c r="Q948" s="304">
        <f t="shared" ca="1" si="425"/>
        <v>0</v>
      </c>
      <c r="R948" s="306">
        <f t="shared" ca="1" si="426"/>
        <v>0</v>
      </c>
      <c r="S948" s="307">
        <f t="shared" ca="1" si="427"/>
        <v>2.9362999999999984</v>
      </c>
      <c r="T948" s="304">
        <f t="shared" ca="1" si="407"/>
        <v>28.805102999999985</v>
      </c>
      <c r="U948" s="311">
        <f t="shared" ca="1" si="408"/>
        <v>0</v>
      </c>
      <c r="V948" s="306">
        <f t="shared" ca="1" si="409"/>
        <v>1.2268263179670034</v>
      </c>
      <c r="W948" s="304">
        <f t="shared" ca="1" si="410"/>
        <v>27.187451823704006</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0.52739981263232139</v>
      </c>
      <c r="AH948" s="304">
        <f t="shared" ca="1" si="434"/>
        <v>-9.2590661856296279</v>
      </c>
    </row>
    <row r="949" spans="1:34" x14ac:dyDescent="0.2">
      <c r="A949" s="347">
        <f t="shared" ca="1" si="412"/>
        <v>1E-4</v>
      </c>
      <c r="B949" s="304">
        <f t="shared" ca="1" si="413"/>
        <v>37.144000000001682</v>
      </c>
      <c r="D949" s="306">
        <f t="shared" ca="1" si="414"/>
        <v>-0.64096123375518077</v>
      </c>
      <c r="E949" s="307">
        <f t="shared" ca="1" si="415"/>
        <v>-0.57312676668646922</v>
      </c>
      <c r="F949" s="304">
        <f t="shared" ca="1" si="416"/>
        <v>0.85982881660796295</v>
      </c>
      <c r="G949" s="306">
        <f t="shared" ca="1" si="417"/>
        <v>7.2140800162901932</v>
      </c>
      <c r="H949" s="307">
        <f t="shared" ca="1" si="418"/>
        <v>-103.96287307115887</v>
      </c>
      <c r="I949" s="304">
        <f t="shared" ca="1" si="419"/>
        <v>104.21286834019745</v>
      </c>
      <c r="J949" s="306">
        <f t="shared" ca="1" si="420"/>
        <v>837.4075040097224</v>
      </c>
      <c r="K949" s="307">
        <f t="shared" ca="1" si="421"/>
        <v>-14.908009166889602</v>
      </c>
      <c r="L949" s="304">
        <f t="shared" ca="1" si="406"/>
        <v>837.54019396630349</v>
      </c>
      <c r="M949" s="306">
        <f t="shared" ca="1" si="422"/>
        <v>-1.5015164550430822</v>
      </c>
      <c r="N949" s="304">
        <f t="shared" ca="1" si="423"/>
        <v>-86.030555743413416</v>
      </c>
      <c r="P949" s="310">
        <f t="shared" ca="1" si="424"/>
        <v>23</v>
      </c>
      <c r="Q949" s="304">
        <f t="shared" ca="1" si="425"/>
        <v>0</v>
      </c>
      <c r="R949" s="306">
        <f t="shared" ca="1" si="426"/>
        <v>0</v>
      </c>
      <c r="S949" s="307">
        <f t="shared" ca="1" si="427"/>
        <v>2.9362999999999984</v>
      </c>
      <c r="T949" s="304">
        <f t="shared" ca="1" si="407"/>
        <v>28.805102999999985</v>
      </c>
      <c r="U949" s="311">
        <f t="shared" ca="1" si="408"/>
        <v>0</v>
      </c>
      <c r="V949" s="306">
        <f t="shared" ca="1" si="409"/>
        <v>1.2268275934119111</v>
      </c>
      <c r="W949" s="304">
        <f t="shared" ca="1" si="410"/>
        <v>27.187507605691732</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0.52738125750648024</v>
      </c>
      <c r="AH949" s="304">
        <f t="shared" ca="1" si="434"/>
        <v>-9.2590851832932675</v>
      </c>
    </row>
    <row r="950" spans="1:34" x14ac:dyDescent="0.2">
      <c r="A950" s="347">
        <f t="shared" ca="1" si="412"/>
        <v>1E-4</v>
      </c>
      <c r="B950" s="304">
        <f t="shared" ca="1" si="413"/>
        <v>37.144100000001686</v>
      </c>
      <c r="D950" s="306">
        <f t="shared" ca="1" si="414"/>
        <v>-0.64095652967198991</v>
      </c>
      <c r="E950" s="307">
        <f t="shared" ca="1" si="415"/>
        <v>-0.57310739720813331</v>
      </c>
      <c r="F950" s="304">
        <f t="shared" ca="1" si="416"/>
        <v>0.85981239911031848</v>
      </c>
      <c r="G950" s="306">
        <f t="shared" ca="1" si="417"/>
        <v>7.2140159206372259</v>
      </c>
      <c r="H950" s="307">
        <f t="shared" ca="1" si="418"/>
        <v>-103.96293038189859</v>
      </c>
      <c r="I950" s="304">
        <f t="shared" ca="1" si="419"/>
        <v>104.21292107648983</v>
      </c>
      <c r="J950" s="306">
        <f t="shared" ca="1" si="420"/>
        <v>837.4075040097224</v>
      </c>
      <c r="K950" s="307">
        <f t="shared" ca="1" si="421"/>
        <v>-14.918405457062255</v>
      </c>
      <c r="L950" s="304">
        <f t="shared" ca="1" si="406"/>
        <v>837.54037908221153</v>
      </c>
      <c r="M950" s="306">
        <f t="shared" ca="1" si="422"/>
        <v>-1.5015171066820447</v>
      </c>
      <c r="N950" s="304">
        <f t="shared" ca="1" si="423"/>
        <v>-86.030593079575738</v>
      </c>
      <c r="P950" s="310">
        <f t="shared" ca="1" si="424"/>
        <v>23</v>
      </c>
      <c r="Q950" s="304">
        <f t="shared" ca="1" si="425"/>
        <v>0</v>
      </c>
      <c r="R950" s="306">
        <f t="shared" ca="1" si="426"/>
        <v>0</v>
      </c>
      <c r="S950" s="307">
        <f t="shared" ca="1" si="427"/>
        <v>2.9362999999999984</v>
      </c>
      <c r="T950" s="304">
        <f t="shared" ca="1" si="407"/>
        <v>28.805102999999985</v>
      </c>
      <c r="U950" s="311">
        <f t="shared" ca="1" si="408"/>
        <v>0</v>
      </c>
      <c r="V950" s="306">
        <f t="shared" ca="1" si="409"/>
        <v>1.2268288688588485</v>
      </c>
      <c r="W950" s="304">
        <f t="shared" ca="1" si="410"/>
        <v>27.187563386827442</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0.52736270266226981</v>
      </c>
      <c r="AH950" s="304">
        <f t="shared" ca="1" si="434"/>
        <v>-9.2591041806667391</v>
      </c>
    </row>
    <row r="951" spans="1:34" x14ac:dyDescent="0.2">
      <c r="A951" s="347">
        <f t="shared" ca="1" si="412"/>
        <v>1E-4</v>
      </c>
      <c r="B951" s="304">
        <f t="shared" ca="1" si="413"/>
        <v>37.144200000001689</v>
      </c>
      <c r="D951" s="306">
        <f t="shared" ca="1" si="414"/>
        <v>-0.64095182560331221</v>
      </c>
      <c r="E951" s="307">
        <f t="shared" ca="1" si="415"/>
        <v>-0.57308802802560699</v>
      </c>
      <c r="F951" s="304">
        <f t="shared" ca="1" si="416"/>
        <v>0.85979598196926788</v>
      </c>
      <c r="G951" s="306">
        <f t="shared" ca="1" si="417"/>
        <v>7.2139518254546653</v>
      </c>
      <c r="H951" s="307">
        <f t="shared" ca="1" si="418"/>
        <v>-103.9629876907014</v>
      </c>
      <c r="I951" s="304">
        <f t="shared" ca="1" si="419"/>
        <v>104.21297381092678</v>
      </c>
      <c r="J951" s="306">
        <f t="shared" ca="1" si="420"/>
        <v>837.4075040097224</v>
      </c>
      <c r="K951" s="307">
        <f t="shared" ca="1" si="421"/>
        <v>-14.928801752965885</v>
      </c>
      <c r="L951" s="304">
        <f t="shared" ca="1" si="406"/>
        <v>837.54056432722859</v>
      </c>
      <c r="M951" s="306">
        <f t="shared" ca="1" si="422"/>
        <v>-1.5015177583145582</v>
      </c>
      <c r="N951" s="304">
        <f t="shared" ca="1" si="423"/>
        <v>-86.030630415368563</v>
      </c>
      <c r="P951" s="310">
        <f t="shared" ca="1" si="424"/>
        <v>23</v>
      </c>
      <c r="Q951" s="304">
        <f t="shared" ca="1" si="425"/>
        <v>0</v>
      </c>
      <c r="R951" s="306">
        <f t="shared" ca="1" si="426"/>
        <v>0</v>
      </c>
      <c r="S951" s="307">
        <f t="shared" ca="1" si="427"/>
        <v>2.9362999999999984</v>
      </c>
      <c r="T951" s="304">
        <f t="shared" ca="1" si="407"/>
        <v>28.805102999999985</v>
      </c>
      <c r="U951" s="311">
        <f t="shared" ca="1" si="408"/>
        <v>0</v>
      </c>
      <c r="V951" s="306">
        <f t="shared" ca="1" si="409"/>
        <v>1.226830144307816</v>
      </c>
      <c r="W951" s="304">
        <f t="shared" ca="1" si="410"/>
        <v>27.187619167111169</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0.52734414809969188</v>
      </c>
      <c r="AH951" s="304">
        <f t="shared" ca="1" si="434"/>
        <v>-9.2591231777500447</v>
      </c>
    </row>
    <row r="952" spans="1:34" x14ac:dyDescent="0.2">
      <c r="A952" s="347">
        <f t="shared" ca="1" si="412"/>
        <v>1E-4</v>
      </c>
      <c r="B952" s="304">
        <f t="shared" ca="1" si="413"/>
        <v>37.144300000001692</v>
      </c>
      <c r="D952" s="306">
        <f t="shared" ca="1" si="414"/>
        <v>-0.64094712154914735</v>
      </c>
      <c r="E952" s="307">
        <f t="shared" ca="1" si="415"/>
        <v>-0.57306865913888494</v>
      </c>
      <c r="F952" s="304">
        <f t="shared" ca="1" si="416"/>
        <v>0.85977956518480769</v>
      </c>
      <c r="G952" s="306">
        <f t="shared" ca="1" si="417"/>
        <v>7.2138877307425107</v>
      </c>
      <c r="H952" s="307">
        <f t="shared" ca="1" si="418"/>
        <v>-103.96304499756731</v>
      </c>
      <c r="I952" s="304">
        <f t="shared" ca="1" si="419"/>
        <v>104.21302654350828</v>
      </c>
      <c r="J952" s="306">
        <f t="shared" ca="1" si="420"/>
        <v>837.4075040097224</v>
      </c>
      <c r="K952" s="307">
        <f t="shared" ca="1" si="421"/>
        <v>-14.939198054600299</v>
      </c>
      <c r="L952" s="304">
        <f t="shared" ca="1" si="406"/>
        <v>837.54074970135503</v>
      </c>
      <c r="M952" s="306">
        <f t="shared" ca="1" si="422"/>
        <v>-1.5015184099406227</v>
      </c>
      <c r="N952" s="304">
        <f t="shared" ca="1" si="423"/>
        <v>-86.030667750791878</v>
      </c>
      <c r="P952" s="310">
        <f t="shared" ca="1" si="424"/>
        <v>23</v>
      </c>
      <c r="Q952" s="304">
        <f t="shared" ca="1" si="425"/>
        <v>0</v>
      </c>
      <c r="R952" s="306">
        <f t="shared" ca="1" si="426"/>
        <v>0</v>
      </c>
      <c r="S952" s="307">
        <f t="shared" ca="1" si="427"/>
        <v>2.9362999999999984</v>
      </c>
      <c r="T952" s="304">
        <f t="shared" ca="1" si="407"/>
        <v>28.805102999999985</v>
      </c>
      <c r="U952" s="311">
        <f t="shared" ca="1" si="408"/>
        <v>0</v>
      </c>
      <c r="V952" s="306">
        <f t="shared" ca="1" si="409"/>
        <v>1.2268314197588133</v>
      </c>
      <c r="W952" s="304">
        <f t="shared" ca="1" si="410"/>
        <v>27.187674946542895</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0.52732559381873401</v>
      </c>
      <c r="AH952" s="304">
        <f t="shared" ca="1" si="434"/>
        <v>-9.2591421745431948</v>
      </c>
    </row>
    <row r="953" spans="1:34" x14ac:dyDescent="0.2">
      <c r="A953" s="347">
        <f t="shared" ca="1" si="412"/>
        <v>1E-4</v>
      </c>
      <c r="B953" s="304">
        <f t="shared" ca="1" si="413"/>
        <v>37.144400000001696</v>
      </c>
      <c r="D953" s="306">
        <f t="shared" ca="1" si="414"/>
        <v>-0.64094241750949588</v>
      </c>
      <c r="E953" s="307">
        <f t="shared" ca="1" si="415"/>
        <v>-0.57304929054796716</v>
      </c>
      <c r="F953" s="304">
        <f t="shared" ca="1" si="416"/>
        <v>0.85976314875693838</v>
      </c>
      <c r="G953" s="306">
        <f t="shared" ca="1" si="417"/>
        <v>7.2138236365007593</v>
      </c>
      <c r="H953" s="307">
        <f t="shared" ca="1" si="418"/>
        <v>-103.96310230249637</v>
      </c>
      <c r="I953" s="304">
        <f t="shared" ca="1" si="419"/>
        <v>104.2130792742344</v>
      </c>
      <c r="J953" s="306">
        <f t="shared" ca="1" si="420"/>
        <v>837.4075040097224</v>
      </c>
      <c r="K953" s="307">
        <f t="shared" ca="1" si="421"/>
        <v>-14.949594361965302</v>
      </c>
      <c r="L953" s="304">
        <f t="shared" ca="1" si="406"/>
        <v>837.54093520459082</v>
      </c>
      <c r="M953" s="306">
        <f t="shared" ca="1" si="422"/>
        <v>-1.5015190615602378</v>
      </c>
      <c r="N953" s="304">
        <f t="shared" ca="1" si="423"/>
        <v>-86.030705085845668</v>
      </c>
      <c r="P953" s="310">
        <f t="shared" ca="1" si="424"/>
        <v>23</v>
      </c>
      <c r="Q953" s="304">
        <f t="shared" ca="1" si="425"/>
        <v>0</v>
      </c>
      <c r="R953" s="306">
        <f t="shared" ca="1" si="426"/>
        <v>0</v>
      </c>
      <c r="S953" s="307">
        <f t="shared" ca="1" si="427"/>
        <v>2.9362999999999984</v>
      </c>
      <c r="T953" s="304">
        <f t="shared" ca="1" si="407"/>
        <v>28.805102999999985</v>
      </c>
      <c r="U953" s="311">
        <f t="shared" ca="1" si="408"/>
        <v>0</v>
      </c>
      <c r="V953" s="306">
        <f t="shared" ca="1" si="409"/>
        <v>1.2268326952118411</v>
      </c>
      <c r="W953" s="304">
        <f t="shared" ca="1" si="410"/>
        <v>27.187730725122666</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0.52730703981940152</v>
      </c>
      <c r="AH953" s="304">
        <f t="shared" ca="1" si="434"/>
        <v>-9.2591611710461841</v>
      </c>
    </row>
    <row r="954" spans="1:34" x14ac:dyDescent="0.2">
      <c r="A954" s="347">
        <f t="shared" ca="1" si="412"/>
        <v>1E-4</v>
      </c>
      <c r="B954" s="304">
        <f t="shared" ca="1" si="413"/>
        <v>37.144500000001699</v>
      </c>
      <c r="D954" s="306">
        <f t="shared" ca="1" si="414"/>
        <v>-0.64093771348436179</v>
      </c>
      <c r="E954" s="307">
        <f t="shared" ca="1" si="415"/>
        <v>-0.57302992225284299</v>
      </c>
      <c r="F954" s="304">
        <f t="shared" ca="1" si="416"/>
        <v>0.85974673268565616</v>
      </c>
      <c r="G954" s="306">
        <f t="shared" ca="1" si="417"/>
        <v>7.2137595427294112</v>
      </c>
      <c r="H954" s="307">
        <f t="shared" ca="1" si="418"/>
        <v>-103.9631596054886</v>
      </c>
      <c r="I954" s="304">
        <f t="shared" ca="1" si="419"/>
        <v>104.21313200310514</v>
      </c>
      <c r="J954" s="306">
        <f t="shared" ca="1" si="420"/>
        <v>837.4075040097224</v>
      </c>
      <c r="K954" s="307">
        <f t="shared" ca="1" si="421"/>
        <v>-14.9599906750607</v>
      </c>
      <c r="L954" s="304">
        <f t="shared" ca="1" si="406"/>
        <v>837.5411208369361</v>
      </c>
      <c r="M954" s="306">
        <f t="shared" ca="1" si="422"/>
        <v>-1.5015197131734044</v>
      </c>
      <c r="N954" s="304">
        <f t="shared" ca="1" si="423"/>
        <v>-86.03074242052999</v>
      </c>
      <c r="P954" s="310">
        <f t="shared" ca="1" si="424"/>
        <v>23</v>
      </c>
      <c r="Q954" s="304">
        <f t="shared" ca="1" si="425"/>
        <v>0</v>
      </c>
      <c r="R954" s="306">
        <f t="shared" ca="1" si="426"/>
        <v>0</v>
      </c>
      <c r="S954" s="307">
        <f t="shared" ca="1" si="427"/>
        <v>2.9362999999999984</v>
      </c>
      <c r="T954" s="304">
        <f t="shared" ca="1" si="407"/>
        <v>28.805102999999985</v>
      </c>
      <c r="U954" s="311">
        <f t="shared" ca="1" si="408"/>
        <v>0</v>
      </c>
      <c r="V954" s="306">
        <f t="shared" ca="1" si="409"/>
        <v>1.2268339706668985</v>
      </c>
      <c r="W954" s="304">
        <f t="shared" ca="1" si="410"/>
        <v>27.187786502850457</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0.52728848610168022</v>
      </c>
      <c r="AH954" s="304">
        <f t="shared" ca="1" si="434"/>
        <v>-9.2591801672590268</v>
      </c>
    </row>
    <row r="955" spans="1:34" x14ac:dyDescent="0.2">
      <c r="A955" s="347">
        <f t="shared" ca="1" si="412"/>
        <v>1E-4</v>
      </c>
      <c r="B955" s="304">
        <f t="shared" ca="1" si="413"/>
        <v>37.144600000001702</v>
      </c>
      <c r="D955" s="306">
        <f t="shared" ca="1" si="414"/>
        <v>-0.64093300947373932</v>
      </c>
      <c r="E955" s="307">
        <f t="shared" ca="1" si="415"/>
        <v>-0.57301055425351777</v>
      </c>
      <c r="F955" s="304">
        <f t="shared" ca="1" si="416"/>
        <v>0.85973031697096047</v>
      </c>
      <c r="G955" s="306">
        <f t="shared" ca="1" si="417"/>
        <v>7.2136954494284637</v>
      </c>
      <c r="H955" s="307">
        <f t="shared" ca="1" si="418"/>
        <v>-103.96321690654402</v>
      </c>
      <c r="I955" s="304">
        <f t="shared" ca="1" si="419"/>
        <v>104.21318473012053</v>
      </c>
      <c r="J955" s="306">
        <f t="shared" ca="1" si="420"/>
        <v>837.4075040097224</v>
      </c>
      <c r="K955" s="307">
        <f t="shared" ca="1" si="421"/>
        <v>-14.970386993886303</v>
      </c>
      <c r="L955" s="304">
        <f t="shared" ca="1" si="406"/>
        <v>837.54130659839097</v>
      </c>
      <c r="M955" s="306">
        <f t="shared" ca="1" si="422"/>
        <v>-1.5015203647801219</v>
      </c>
      <c r="N955" s="304">
        <f t="shared" ca="1" si="423"/>
        <v>-86.030779754844801</v>
      </c>
      <c r="P955" s="310">
        <f t="shared" ca="1" si="424"/>
        <v>23</v>
      </c>
      <c r="Q955" s="304">
        <f t="shared" ca="1" si="425"/>
        <v>0</v>
      </c>
      <c r="R955" s="306">
        <f t="shared" ca="1" si="426"/>
        <v>0</v>
      </c>
      <c r="S955" s="307">
        <f t="shared" ca="1" si="427"/>
        <v>2.9362999999999984</v>
      </c>
      <c r="T955" s="304">
        <f t="shared" ca="1" si="407"/>
        <v>28.805102999999985</v>
      </c>
      <c r="U955" s="311">
        <f t="shared" ca="1" si="408"/>
        <v>0</v>
      </c>
      <c r="V955" s="306">
        <f t="shared" ca="1" si="409"/>
        <v>1.2268352461239864</v>
      </c>
      <c r="W955" s="304">
        <f t="shared" ca="1" si="410"/>
        <v>27.187842279726294</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0.52726993266557898</v>
      </c>
      <c r="AH955" s="304">
        <f t="shared" ca="1" si="434"/>
        <v>-9.2591991631817159</v>
      </c>
    </row>
    <row r="956" spans="1:34" x14ac:dyDescent="0.2">
      <c r="A956" s="347">
        <f t="shared" ca="1" si="412"/>
        <v>1E-4</v>
      </c>
      <c r="B956" s="304">
        <f t="shared" ca="1" si="413"/>
        <v>37.144700000001706</v>
      </c>
      <c r="D956" s="306">
        <f t="shared" ca="1" si="414"/>
        <v>-0.64092830547763402</v>
      </c>
      <c r="E956" s="307">
        <f t="shared" ca="1" si="415"/>
        <v>-0.57299118654998438</v>
      </c>
      <c r="F956" s="304">
        <f t="shared" ca="1" si="416"/>
        <v>0.85971390161285077</v>
      </c>
      <c r="G956" s="306">
        <f t="shared" ca="1" si="417"/>
        <v>7.213631356597916</v>
      </c>
      <c r="H956" s="307">
        <f t="shared" ca="1" si="418"/>
        <v>-103.96327420566267</v>
      </c>
      <c r="I956" s="304">
        <f t="shared" ca="1" si="419"/>
        <v>104.21323745528059</v>
      </c>
      <c r="J956" s="306">
        <f t="shared" ca="1" si="420"/>
        <v>837.4075040097224</v>
      </c>
      <c r="K956" s="307">
        <f t="shared" ca="1" si="421"/>
        <v>-14.980783318441913</v>
      </c>
      <c r="L956" s="304">
        <f t="shared" ca="1" si="406"/>
        <v>837.54149248895567</v>
      </c>
      <c r="M956" s="306">
        <f t="shared" ca="1" si="422"/>
        <v>-1.5015210163803905</v>
      </c>
      <c r="N956" s="304">
        <f t="shared" ca="1" si="423"/>
        <v>-86.03081708879013</v>
      </c>
      <c r="P956" s="310">
        <f t="shared" ca="1" si="424"/>
        <v>23</v>
      </c>
      <c r="Q956" s="304">
        <f t="shared" ca="1" si="425"/>
        <v>0</v>
      </c>
      <c r="R956" s="306">
        <f t="shared" ca="1" si="426"/>
        <v>0</v>
      </c>
      <c r="S956" s="307">
        <f t="shared" ca="1" si="427"/>
        <v>2.9362999999999984</v>
      </c>
      <c r="T956" s="304">
        <f t="shared" ca="1" si="407"/>
        <v>28.805102999999985</v>
      </c>
      <c r="U956" s="311">
        <f t="shared" ca="1" si="408"/>
        <v>0</v>
      </c>
      <c r="V956" s="306">
        <f t="shared" ca="1" si="409"/>
        <v>1.2268365215831041</v>
      </c>
      <c r="W956" s="304">
        <f t="shared" ca="1" si="410"/>
        <v>27.187898055750175</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0.52725137951109069</v>
      </c>
      <c r="AH956" s="304">
        <f t="shared" ca="1" si="434"/>
        <v>-9.2592181588142584</v>
      </c>
    </row>
    <row r="957" spans="1:34" x14ac:dyDescent="0.2">
      <c r="A957" s="347">
        <f t="shared" ca="1" si="412"/>
        <v>1E-4</v>
      </c>
      <c r="B957" s="304">
        <f t="shared" ca="1" si="413"/>
        <v>37.144800000001709</v>
      </c>
      <c r="D957" s="306">
        <f t="shared" ca="1" si="414"/>
        <v>-0.64092360149604499</v>
      </c>
      <c r="E957" s="307">
        <f t="shared" ca="1" si="415"/>
        <v>-0.57297181914224105</v>
      </c>
      <c r="F957" s="304">
        <f t="shared" ca="1" si="416"/>
        <v>0.8596974866113255</v>
      </c>
      <c r="G957" s="306">
        <f t="shared" ca="1" si="417"/>
        <v>7.2135672642377662</v>
      </c>
      <c r="H957" s="307">
        <f t="shared" ca="1" si="418"/>
        <v>-103.96333150284458</v>
      </c>
      <c r="I957" s="304">
        <f t="shared" ca="1" si="419"/>
        <v>104.21329017858538</v>
      </c>
      <c r="J957" s="306">
        <f t="shared" ca="1" si="420"/>
        <v>837.4075040097224</v>
      </c>
      <c r="K957" s="307">
        <f t="shared" ca="1" si="421"/>
        <v>-14.991179648727339</v>
      </c>
      <c r="L957" s="304">
        <f t="shared" ca="1" si="406"/>
        <v>837.54167850863018</v>
      </c>
      <c r="M957" s="306">
        <f t="shared" ca="1" si="422"/>
        <v>-1.5015216679742105</v>
      </c>
      <c r="N957" s="304">
        <f t="shared" ca="1" si="423"/>
        <v>-86.030854422365962</v>
      </c>
      <c r="P957" s="310">
        <f t="shared" ca="1" si="424"/>
        <v>23</v>
      </c>
      <c r="Q957" s="304">
        <f t="shared" ca="1" si="425"/>
        <v>0</v>
      </c>
      <c r="R957" s="306">
        <f t="shared" ca="1" si="426"/>
        <v>0</v>
      </c>
      <c r="S957" s="307">
        <f t="shared" ca="1" si="427"/>
        <v>2.9362999999999984</v>
      </c>
      <c r="T957" s="304">
        <f t="shared" ca="1" si="407"/>
        <v>28.805102999999985</v>
      </c>
      <c r="U957" s="311">
        <f t="shared" ca="1" si="408"/>
        <v>0</v>
      </c>
      <c r="V957" s="306">
        <f t="shared" ca="1" si="409"/>
        <v>1.2268377970442517</v>
      </c>
      <c r="W957" s="304">
        <f t="shared" ca="1" si="410"/>
        <v>27.187953830922133</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0.5272328266382118</v>
      </c>
      <c r="AH957" s="304">
        <f t="shared" ca="1" si="434"/>
        <v>-9.259237154156656</v>
      </c>
    </row>
    <row r="958" spans="1:34" x14ac:dyDescent="0.2">
      <c r="A958" s="347">
        <f t="shared" ca="1" si="412"/>
        <v>1E-4</v>
      </c>
      <c r="B958" s="304">
        <f t="shared" ca="1" si="413"/>
        <v>37.144900000001712</v>
      </c>
      <c r="D958" s="306">
        <f t="shared" ca="1" si="414"/>
        <v>-0.6409188975289718</v>
      </c>
      <c r="E958" s="307">
        <f t="shared" ca="1" si="415"/>
        <v>-0.57295245203027889</v>
      </c>
      <c r="F958" s="304">
        <f t="shared" ca="1" si="416"/>
        <v>0.85968107196637855</v>
      </c>
      <c r="G958" s="306">
        <f t="shared" ca="1" si="417"/>
        <v>7.2135031723480134</v>
      </c>
      <c r="H958" s="307">
        <f t="shared" ca="1" si="418"/>
        <v>-103.96338879808978</v>
      </c>
      <c r="I958" s="304">
        <f t="shared" ca="1" si="419"/>
        <v>104.2133429000349</v>
      </c>
      <c r="J958" s="306">
        <f t="shared" ca="1" si="420"/>
        <v>837.4075040097224</v>
      </c>
      <c r="K958" s="307">
        <f t="shared" ca="1" si="421"/>
        <v>-15.001575984742386</v>
      </c>
      <c r="L958" s="304">
        <f t="shared" ca="1" si="406"/>
        <v>837.54186465741475</v>
      </c>
      <c r="M958" s="306">
        <f t="shared" ca="1" si="422"/>
        <v>-1.5015223195615819</v>
      </c>
      <c r="N958" s="304">
        <f t="shared" ca="1" si="423"/>
        <v>-86.030891755572327</v>
      </c>
      <c r="P958" s="310">
        <f t="shared" ca="1" si="424"/>
        <v>23</v>
      </c>
      <c r="Q958" s="304">
        <f t="shared" ca="1" si="425"/>
        <v>0</v>
      </c>
      <c r="R958" s="306">
        <f t="shared" ca="1" si="426"/>
        <v>0</v>
      </c>
      <c r="S958" s="307">
        <f t="shared" ca="1" si="427"/>
        <v>2.9362999999999984</v>
      </c>
      <c r="T958" s="304">
        <f t="shared" ca="1" si="407"/>
        <v>28.805102999999985</v>
      </c>
      <c r="U958" s="311">
        <f t="shared" ca="1" si="408"/>
        <v>0</v>
      </c>
      <c r="V958" s="306">
        <f t="shared" ca="1" si="409"/>
        <v>1.226839072507429</v>
      </c>
      <c r="W958" s="304">
        <f t="shared" ca="1" si="410"/>
        <v>27.188009605242147</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0.52721427404693344</v>
      </c>
      <c r="AH958" s="304">
        <f t="shared" ca="1" si="434"/>
        <v>-9.2592561492089196</v>
      </c>
    </row>
    <row r="959" spans="1:34" x14ac:dyDescent="0.2">
      <c r="A959" s="347">
        <f t="shared" ca="1" si="412"/>
        <v>1E-4</v>
      </c>
      <c r="B959" s="304">
        <f t="shared" ca="1" si="413"/>
        <v>37.145000000001716</v>
      </c>
      <c r="D959" s="306">
        <f t="shared" ca="1" si="414"/>
        <v>-0.64091419357641477</v>
      </c>
      <c r="E959" s="307">
        <f t="shared" ca="1" si="415"/>
        <v>-0.5729330852141068</v>
      </c>
      <c r="F959" s="304">
        <f t="shared" ca="1" si="416"/>
        <v>0.85966465767801636</v>
      </c>
      <c r="G959" s="306">
        <f t="shared" ca="1" si="417"/>
        <v>7.2134390809286559</v>
      </c>
      <c r="H959" s="307">
        <f t="shared" ca="1" si="418"/>
        <v>-103.9634460913983</v>
      </c>
      <c r="I959" s="304">
        <f t="shared" ca="1" si="419"/>
        <v>104.2133956196292</v>
      </c>
      <c r="J959" s="306">
        <f t="shared" ca="1" si="420"/>
        <v>837.4075040097224</v>
      </c>
      <c r="K959" s="307">
        <f t="shared" ca="1" si="421"/>
        <v>-15.011972326486861</v>
      </c>
      <c r="L959" s="304">
        <f t="shared" ca="1" si="406"/>
        <v>837.54205093530936</v>
      </c>
      <c r="M959" s="306">
        <f t="shared" ca="1" si="422"/>
        <v>-1.5015229711425049</v>
      </c>
      <c r="N959" s="304">
        <f t="shared" ca="1" si="423"/>
        <v>-86.030929088409238</v>
      </c>
      <c r="P959" s="310">
        <f t="shared" ca="1" si="424"/>
        <v>23</v>
      </c>
      <c r="Q959" s="304">
        <f t="shared" ca="1" si="425"/>
        <v>0</v>
      </c>
      <c r="R959" s="306">
        <f t="shared" ca="1" si="426"/>
        <v>0</v>
      </c>
      <c r="S959" s="307">
        <f t="shared" ca="1" si="427"/>
        <v>2.9362999999999984</v>
      </c>
      <c r="T959" s="304">
        <f t="shared" ca="1" si="407"/>
        <v>28.805102999999985</v>
      </c>
      <c r="U959" s="311">
        <f t="shared" ca="1" si="408"/>
        <v>0</v>
      </c>
      <c r="V959" s="306">
        <f t="shared" ca="1" si="409"/>
        <v>1.2268403479726366</v>
      </c>
      <c r="W959" s="304">
        <f t="shared" ca="1" si="410"/>
        <v>27.188065378710252</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0.52719572173726448</v>
      </c>
      <c r="AH959" s="304">
        <f t="shared" ca="1" si="434"/>
        <v>-9.2592751439710383</v>
      </c>
    </row>
    <row r="960" spans="1:34" x14ac:dyDescent="0.2">
      <c r="A960" s="347">
        <f t="shared" ca="1" si="412"/>
        <v>1E-4</v>
      </c>
      <c r="B960" s="304">
        <f t="shared" ca="1" si="413"/>
        <v>37.145100000001719</v>
      </c>
      <c r="D960" s="306">
        <f t="shared" ca="1" si="414"/>
        <v>-0.64090948963837369</v>
      </c>
      <c r="E960" s="307">
        <f t="shared" ca="1" si="415"/>
        <v>-0.572913718693707</v>
      </c>
      <c r="F960" s="304">
        <f t="shared" ca="1" si="416"/>
        <v>0.85964824374622717</v>
      </c>
      <c r="G960" s="306">
        <f t="shared" ca="1" si="417"/>
        <v>7.213374989979692</v>
      </c>
      <c r="H960" s="307">
        <f t="shared" ca="1" si="418"/>
        <v>-103.96350338277017</v>
      </c>
      <c r="I960" s="304">
        <f t="shared" ca="1" si="419"/>
        <v>104.21344833736829</v>
      </c>
      <c r="J960" s="306">
        <f t="shared" ca="1" si="420"/>
        <v>837.4075040097224</v>
      </c>
      <c r="K960" s="307">
        <f t="shared" ca="1" si="421"/>
        <v>-15.022368673960569</v>
      </c>
      <c r="L960" s="304">
        <f t="shared" ca="1" si="406"/>
        <v>837.54223734231437</v>
      </c>
      <c r="M960" s="306">
        <f t="shared" ca="1" si="422"/>
        <v>-1.501523622716979</v>
      </c>
      <c r="N960" s="304">
        <f t="shared" ca="1" si="423"/>
        <v>-86.030966420876638</v>
      </c>
      <c r="P960" s="310">
        <f t="shared" ca="1" si="424"/>
        <v>23</v>
      </c>
      <c r="Q960" s="304">
        <f t="shared" ca="1" si="425"/>
        <v>0</v>
      </c>
      <c r="R960" s="306">
        <f t="shared" ca="1" si="426"/>
        <v>0</v>
      </c>
      <c r="S960" s="307">
        <f t="shared" ca="1" si="427"/>
        <v>2.9362999999999984</v>
      </c>
      <c r="T960" s="304">
        <f t="shared" ca="1" si="407"/>
        <v>28.805102999999985</v>
      </c>
      <c r="U960" s="311">
        <f t="shared" ca="1" si="408"/>
        <v>0</v>
      </c>
      <c r="V960" s="306">
        <f t="shared" ca="1" si="409"/>
        <v>1.2268416234398736</v>
      </c>
      <c r="W960" s="304">
        <f t="shared" ca="1" si="410"/>
        <v>27.188121151326452</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0.52717716970918893</v>
      </c>
      <c r="AH960" s="304">
        <f t="shared" ca="1" si="434"/>
        <v>-9.2592941384430301</v>
      </c>
    </row>
    <row r="961" spans="1:34" x14ac:dyDescent="0.2">
      <c r="A961" s="347">
        <f t="shared" ca="1" si="412"/>
        <v>1E-4</v>
      </c>
      <c r="B961" s="304">
        <f t="shared" ca="1" si="413"/>
        <v>37.145200000001722</v>
      </c>
      <c r="D961" s="306">
        <f t="shared" ca="1" si="414"/>
        <v>-0.64090478571485376</v>
      </c>
      <c r="E961" s="307">
        <f t="shared" ca="1" si="415"/>
        <v>-0.57289435246908305</v>
      </c>
      <c r="F961" s="304">
        <f t="shared" ca="1" si="416"/>
        <v>0.85963183017101719</v>
      </c>
      <c r="G961" s="306">
        <f t="shared" ca="1" si="417"/>
        <v>7.2133108995011206</v>
      </c>
      <c r="H961" s="307">
        <f t="shared" ca="1" si="418"/>
        <v>-103.96356067220542</v>
      </c>
      <c r="I961" s="304">
        <f t="shared" ca="1" si="419"/>
        <v>104.2135010532522</v>
      </c>
      <c r="J961" s="306">
        <f t="shared" ca="1" si="420"/>
        <v>837.4075040097224</v>
      </c>
      <c r="K961" s="307">
        <f t="shared" ca="1" si="421"/>
        <v>-15.032765027163318</v>
      </c>
      <c r="L961" s="304">
        <f t="shared" ca="1" si="406"/>
        <v>837.54242387842964</v>
      </c>
      <c r="M961" s="306">
        <f t="shared" ca="1" si="422"/>
        <v>-1.501524274285005</v>
      </c>
      <c r="N961" s="304">
        <f t="shared" ca="1" si="423"/>
        <v>-86.031003752974598</v>
      </c>
      <c r="P961" s="310">
        <f t="shared" ca="1" si="424"/>
        <v>23</v>
      </c>
      <c r="Q961" s="304">
        <f t="shared" ca="1" si="425"/>
        <v>0</v>
      </c>
      <c r="R961" s="306">
        <f t="shared" ca="1" si="426"/>
        <v>0</v>
      </c>
      <c r="S961" s="307">
        <f t="shared" ca="1" si="427"/>
        <v>2.9362999999999984</v>
      </c>
      <c r="T961" s="304">
        <f t="shared" ca="1" si="407"/>
        <v>28.805102999999985</v>
      </c>
      <c r="U961" s="311">
        <f t="shared" ca="1" si="408"/>
        <v>0</v>
      </c>
      <c r="V961" s="306">
        <f t="shared" ca="1" si="409"/>
        <v>1.2268428989091411</v>
      </c>
      <c r="W961" s="304">
        <f t="shared" ca="1" si="410"/>
        <v>27.188176923090754</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0.52715861796271213</v>
      </c>
      <c r="AH961" s="304">
        <f t="shared" ca="1" si="434"/>
        <v>-9.2593131326248912</v>
      </c>
    </row>
    <row r="962" spans="1:34" x14ac:dyDescent="0.2">
      <c r="A962" s="347">
        <f t="shared" ca="1" si="412"/>
        <v>1E-4</v>
      </c>
      <c r="B962" s="304">
        <f t="shared" ca="1" si="413"/>
        <v>37.145300000001725</v>
      </c>
      <c r="D962" s="306">
        <f t="shared" ca="1" si="414"/>
        <v>-0.6409000818058499</v>
      </c>
      <c r="E962" s="307">
        <f t="shared" ca="1" si="415"/>
        <v>-0.57287498654022961</v>
      </c>
      <c r="F962" s="304">
        <f t="shared" ca="1" si="416"/>
        <v>0.85961541695237953</v>
      </c>
      <c r="G962" s="306">
        <f t="shared" ca="1" si="417"/>
        <v>7.2132468094929401</v>
      </c>
      <c r="H962" s="307">
        <f t="shared" ca="1" si="418"/>
        <v>-103.96361795970407</v>
      </c>
      <c r="I962" s="304">
        <f t="shared" ca="1" si="419"/>
        <v>104.21355376728097</v>
      </c>
      <c r="J962" s="306">
        <f t="shared" ca="1" si="420"/>
        <v>837.4075040097224</v>
      </c>
      <c r="K962" s="307">
        <f t="shared" ca="1" si="421"/>
        <v>-15.043161386094914</v>
      </c>
      <c r="L962" s="304">
        <f t="shared" ca="1" si="406"/>
        <v>837.54261054365543</v>
      </c>
      <c r="M962" s="306">
        <f t="shared" ca="1" si="422"/>
        <v>-1.5015249258465828</v>
      </c>
      <c r="N962" s="304">
        <f t="shared" ca="1" si="423"/>
        <v>-86.031041084703091</v>
      </c>
      <c r="P962" s="310">
        <f t="shared" ca="1" si="424"/>
        <v>23</v>
      </c>
      <c r="Q962" s="304">
        <f t="shared" ca="1" si="425"/>
        <v>0</v>
      </c>
      <c r="R962" s="306">
        <f t="shared" ca="1" si="426"/>
        <v>0</v>
      </c>
      <c r="S962" s="307">
        <f t="shared" ca="1" si="427"/>
        <v>2.9362999999999984</v>
      </c>
      <c r="T962" s="304">
        <f t="shared" ca="1" si="407"/>
        <v>28.805102999999985</v>
      </c>
      <c r="U962" s="311">
        <f t="shared" ca="1" si="408"/>
        <v>0</v>
      </c>
      <c r="V962" s="306">
        <f t="shared" ca="1" si="409"/>
        <v>1.2268441743804384</v>
      </c>
      <c r="W962" s="304">
        <f t="shared" ca="1" si="410"/>
        <v>27.188232694003183</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0.52714006649782696</v>
      </c>
      <c r="AH962" s="304">
        <f t="shared" ca="1" si="434"/>
        <v>-9.2593321265166271</v>
      </c>
    </row>
    <row r="963" spans="1:34" x14ac:dyDescent="0.2">
      <c r="A963" s="347">
        <f t="shared" ca="1" si="412"/>
        <v>1E-4</v>
      </c>
      <c r="B963" s="304">
        <f t="shared" ca="1" si="413"/>
        <v>37.145400000001729</v>
      </c>
      <c r="D963" s="306">
        <f t="shared" ca="1" si="414"/>
        <v>-0.64089537791136331</v>
      </c>
      <c r="E963" s="307">
        <f t="shared" ca="1" si="415"/>
        <v>-0.57285562090714137</v>
      </c>
      <c r="F963" s="304">
        <f t="shared" ca="1" si="416"/>
        <v>0.85959900409031165</v>
      </c>
      <c r="G963" s="306">
        <f t="shared" ca="1" si="417"/>
        <v>7.2131827199551486</v>
      </c>
      <c r="H963" s="307">
        <f t="shared" ca="1" si="418"/>
        <v>-103.96367524526616</v>
      </c>
      <c r="I963" s="304">
        <f t="shared" ca="1" si="419"/>
        <v>104.21360647945463</v>
      </c>
      <c r="J963" s="306">
        <f t="shared" ca="1" si="420"/>
        <v>837.4075040097224</v>
      </c>
      <c r="K963" s="307">
        <f t="shared" ca="1" si="421"/>
        <v>-15.053557750755163</v>
      </c>
      <c r="L963" s="304">
        <f t="shared" ca="1" si="406"/>
        <v>837.54279733799183</v>
      </c>
      <c r="M963" s="306">
        <f t="shared" ca="1" si="422"/>
        <v>-1.5015255774017122</v>
      </c>
      <c r="N963" s="304">
        <f t="shared" ca="1" si="423"/>
        <v>-86.03107841606213</v>
      </c>
      <c r="P963" s="310">
        <f t="shared" ca="1" si="424"/>
        <v>23</v>
      </c>
      <c r="Q963" s="304">
        <f t="shared" ca="1" si="425"/>
        <v>0</v>
      </c>
      <c r="R963" s="306">
        <f t="shared" ca="1" si="426"/>
        <v>0</v>
      </c>
      <c r="S963" s="307">
        <f t="shared" ca="1" si="427"/>
        <v>2.9362999999999984</v>
      </c>
      <c r="T963" s="304">
        <f t="shared" ca="1" si="407"/>
        <v>28.805102999999985</v>
      </c>
      <c r="U963" s="311">
        <f t="shared" ca="1" si="408"/>
        <v>0</v>
      </c>
      <c r="V963" s="306">
        <f t="shared" ca="1" si="409"/>
        <v>1.2268454498537651</v>
      </c>
      <c r="W963" s="304">
        <f t="shared" ca="1" si="410"/>
        <v>27.188288464063714</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0.52712151531452633</v>
      </c>
      <c r="AH963" s="304">
        <f t="shared" ca="1" si="434"/>
        <v>-9.259351120118243</v>
      </c>
    </row>
    <row r="964" spans="1:34" x14ac:dyDescent="0.2">
      <c r="A964" s="347">
        <f t="shared" ca="1" si="412"/>
        <v>1E-4</v>
      </c>
      <c r="B964" s="304">
        <f t="shared" ca="1" si="413"/>
        <v>37.145500000001732</v>
      </c>
      <c r="D964" s="306">
        <f t="shared" ca="1" si="414"/>
        <v>-0.6408906740313971</v>
      </c>
      <c r="E964" s="307">
        <f t="shared" ca="1" si="415"/>
        <v>-0.57283625556982187</v>
      </c>
      <c r="F964" s="304">
        <f t="shared" ca="1" si="416"/>
        <v>0.85958259158481842</v>
      </c>
      <c r="G964" s="306">
        <f t="shared" ca="1" si="417"/>
        <v>7.2131186308877453</v>
      </c>
      <c r="H964" s="307">
        <f t="shared" ca="1" si="418"/>
        <v>-103.96373252889171</v>
      </c>
      <c r="I964" s="304">
        <f t="shared" ca="1" si="419"/>
        <v>104.21365918977318</v>
      </c>
      <c r="J964" s="306">
        <f t="shared" ca="1" si="420"/>
        <v>837.4075040097224</v>
      </c>
      <c r="K964" s="307">
        <f t="shared" ca="1" si="421"/>
        <v>-15.063954121143871</v>
      </c>
      <c r="L964" s="304">
        <f t="shared" ref="L964:L1004" ca="1" si="435">SQRT(pos_x^2+pos_z^2)</f>
        <v>837.54298426143907</v>
      </c>
      <c r="M964" s="306">
        <f t="shared" ca="1" si="422"/>
        <v>-1.5015262289503934</v>
      </c>
      <c r="N964" s="304">
        <f t="shared" ca="1" si="423"/>
        <v>-86.031115747051714</v>
      </c>
      <c r="P964" s="310">
        <f t="shared" ca="1" si="424"/>
        <v>23</v>
      </c>
      <c r="Q964" s="304">
        <f t="shared" ca="1" si="425"/>
        <v>0</v>
      </c>
      <c r="R964" s="306">
        <f t="shared" ca="1" si="426"/>
        <v>0</v>
      </c>
      <c r="S964" s="307">
        <f t="shared" ca="1" si="427"/>
        <v>2.9362999999999984</v>
      </c>
      <c r="T964" s="304">
        <f t="shared" ref="T964:T1004" ca="1" si="436">m*g</f>
        <v>28.805102999999985</v>
      </c>
      <c r="U964" s="311">
        <f t="shared" ref="U964:U1004" ca="1" si="437">IF(pos_xz&lt;L_rampe,Poids*COS(Beta),0)</f>
        <v>0</v>
      </c>
      <c r="V964" s="306">
        <f t="shared" ref="V964:V1004" ca="1" si="438">Rho_moyen*(20000-Alt_rampe-pos_z)/(20000+Alt_rampe+pos_z)</f>
        <v>1.2268467253291215</v>
      </c>
      <c r="W964" s="304">
        <f t="shared" ref="W964:W1003" ca="1" si="439">1/2*Rho*Sref*Cx*vit_xz^2</f>
        <v>27.188344233272382</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0.5271029644128209</v>
      </c>
      <c r="AH964" s="304">
        <f t="shared" ca="1" si="434"/>
        <v>-9.2593701134297337</v>
      </c>
    </row>
    <row r="965" spans="1:34" x14ac:dyDescent="0.2">
      <c r="A965" s="347">
        <f t="shared" ref="A965:A1004" ca="1" si="441">IF(B964+0.01&lt;=T_ini+ROUNDUP(Temps_fin_propu,0), 0.01, IF(K964&gt;0, 0.1, 0.0001))</f>
        <v>1E-4</v>
      </c>
      <c r="B965" s="304">
        <f t="shared" ref="B965:B1004" ca="1" si="442">B964+pas</f>
        <v>37.145600000001735</v>
      </c>
      <c r="D965" s="306">
        <f t="shared" ref="D965:D1004" ca="1" si="443">IF(AND(L964&lt;L_rampe,Poussee&lt;Poids*SIN(M964)),0,(-W964+Poussee)/m*COS(M964)-U964/m*SIN(M964))</f>
        <v>-0.64088597016595039</v>
      </c>
      <c r="E965" s="307">
        <f t="shared" ref="E965:E1004" ca="1" si="444">IF(AND(L964&lt;L_rampe,Poussee&lt;Poids*SIN(M964)),0,(-W964+Poussee)/m*SIN(M964)+U964/m*COS(M964)-Poids/m)</f>
        <v>-0.57281689052826223</v>
      </c>
      <c r="F965" s="304">
        <f t="shared" ref="F965:F1004" ca="1" si="445">SQRT(acc_x^2+acc_z^2)</f>
        <v>0.85956617943589342</v>
      </c>
      <c r="G965" s="306">
        <f t="shared" ref="G965:G1004" ca="1" si="446">G964+acc_x*pas</f>
        <v>7.2130545422907284</v>
      </c>
      <c r="H965" s="307">
        <f t="shared" ref="H965:H1004" ca="1" si="447">H964+acc_z*pas</f>
        <v>-103.96378981058076</v>
      </c>
      <c r="I965" s="304">
        <f t="shared" ref="I965:I1004" ca="1" si="448">SQRT(vit_x^2+vit_z^2)</f>
        <v>104.21371189823668</v>
      </c>
      <c r="J965" s="306">
        <f t="shared" ref="J965:J1004" ca="1" si="449">J964+0.5*(vit_x+G964)*pas*(K964&gt;=0)</f>
        <v>837.4075040097224</v>
      </c>
      <c r="K965" s="307">
        <f t="shared" ref="K965:K1004" ca="1" si="450">K964+0.5*(vit_z+H964)*pas</f>
        <v>-15.074350497260845</v>
      </c>
      <c r="L965" s="304">
        <f t="shared" ca="1" si="435"/>
        <v>837.54317131399705</v>
      </c>
      <c r="M965" s="306">
        <f t="shared" ref="M965:M1004" ca="1" si="451">IF(AND(L964&gt;L_rampe,G965&gt;0),ATAN2(G965,H965),$M$4)</f>
        <v>-1.5015268804926265</v>
      </c>
      <c r="N965" s="304">
        <f t="shared" ref="N965:N1004" ca="1" si="452">DEGREES(Beta)</f>
        <v>-86.031153077671846</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2.9362999999999984</v>
      </c>
      <c r="T965" s="304">
        <f t="shared" ca="1" si="436"/>
        <v>28.805102999999985</v>
      </c>
      <c r="U965" s="311">
        <f t="shared" ca="1" si="437"/>
        <v>0</v>
      </c>
      <c r="V965" s="306">
        <f t="shared" ca="1" si="438"/>
        <v>1.2268480008065084</v>
      </c>
      <c r="W965" s="304">
        <f t="shared" ca="1" si="439"/>
        <v>27.188400001629205</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0.52708441379269466</v>
      </c>
      <c r="AH965" s="304">
        <f t="shared" ref="AH965:AH1004" ca="1" si="463">IF(AND(L964&lt;L_rampe,Poussee&lt;Poids*SIN(M964)), g*SIN(M964), (-W964+Poussee)/m)</f>
        <v>-9.2593891064511116</v>
      </c>
    </row>
    <row r="966" spans="1:34" x14ac:dyDescent="0.2">
      <c r="A966" s="347">
        <f t="shared" ca="1" si="441"/>
        <v>1E-4</v>
      </c>
      <c r="B966" s="304">
        <f t="shared" ca="1" si="442"/>
        <v>37.145700000001739</v>
      </c>
      <c r="D966" s="306">
        <f t="shared" ca="1" si="443"/>
        <v>-0.64088126631502473</v>
      </c>
      <c r="E966" s="307">
        <f t="shared" ca="1" si="444"/>
        <v>-0.57279752578245891</v>
      </c>
      <c r="F966" s="304">
        <f t="shared" ca="1" si="445"/>
        <v>0.85954976764353586</v>
      </c>
      <c r="G966" s="306">
        <f t="shared" ca="1" si="446"/>
        <v>7.212990454164097</v>
      </c>
      <c r="H966" s="307">
        <f t="shared" ca="1" si="447"/>
        <v>-103.96384709033335</v>
      </c>
      <c r="I966" s="304">
        <f t="shared" ca="1" si="448"/>
        <v>104.21376460484514</v>
      </c>
      <c r="J966" s="306">
        <f t="shared" ca="1" si="449"/>
        <v>837.4075040097224</v>
      </c>
      <c r="K966" s="307">
        <f t="shared" ca="1" si="450"/>
        <v>-15.084746879105891</v>
      </c>
      <c r="L966" s="304">
        <f t="shared" ca="1" si="435"/>
        <v>837.5433584956661</v>
      </c>
      <c r="M966" s="306">
        <f t="shared" ca="1" si="451"/>
        <v>-1.5015275320284118</v>
      </c>
      <c r="N966" s="304">
        <f t="shared" ca="1" si="452"/>
        <v>-86.031190407922537</v>
      </c>
      <c r="P966" s="310">
        <f t="shared" ca="1" si="453"/>
        <v>23</v>
      </c>
      <c r="Q966" s="304">
        <f t="shared" ca="1" si="454"/>
        <v>0</v>
      </c>
      <c r="R966" s="306">
        <f t="shared" ca="1" si="455"/>
        <v>0</v>
      </c>
      <c r="S966" s="307">
        <f t="shared" ca="1" si="456"/>
        <v>2.9362999999999984</v>
      </c>
      <c r="T966" s="304">
        <f t="shared" ca="1" si="436"/>
        <v>28.805102999999985</v>
      </c>
      <c r="U966" s="311">
        <f t="shared" ca="1" si="437"/>
        <v>0</v>
      </c>
      <c r="V966" s="306">
        <f t="shared" ca="1" si="438"/>
        <v>1.2268492762859249</v>
      </c>
      <c r="W966" s="304">
        <f t="shared" ca="1" si="439"/>
        <v>27.188455769134176</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0.52706586345414586</v>
      </c>
      <c r="AH966" s="304">
        <f t="shared" ca="1" si="463"/>
        <v>-9.2594080991823784</v>
      </c>
    </row>
    <row r="967" spans="1:34" x14ac:dyDescent="0.2">
      <c r="A967" s="347">
        <f t="shared" ca="1" si="441"/>
        <v>1E-4</v>
      </c>
      <c r="B967" s="304">
        <f t="shared" ca="1" si="442"/>
        <v>37.145800000001742</v>
      </c>
      <c r="D967" s="306">
        <f t="shared" ca="1" si="443"/>
        <v>-0.64087656247861702</v>
      </c>
      <c r="E967" s="307">
        <f t="shared" ca="1" si="444"/>
        <v>-0.57277816133240655</v>
      </c>
      <c r="F967" s="304">
        <f t="shared" ca="1" si="445"/>
        <v>0.85953335620773963</v>
      </c>
      <c r="G967" s="306">
        <f t="shared" ca="1" si="446"/>
        <v>7.2129263665078494</v>
      </c>
      <c r="H967" s="307">
        <f t="shared" ca="1" si="447"/>
        <v>-103.96390436814949</v>
      </c>
      <c r="I967" s="304">
        <f t="shared" ca="1" si="448"/>
        <v>104.21381730959861</v>
      </c>
      <c r="J967" s="306">
        <f t="shared" ca="1" si="449"/>
        <v>837.4075040097224</v>
      </c>
      <c r="K967" s="307">
        <f t="shared" ca="1" si="450"/>
        <v>-15.095143266678816</v>
      </c>
      <c r="L967" s="304">
        <f t="shared" ca="1" si="435"/>
        <v>837.54354580644633</v>
      </c>
      <c r="M967" s="306">
        <f t="shared" ca="1" si="451"/>
        <v>-1.501528183557749</v>
      </c>
      <c r="N967" s="304">
        <f t="shared" ca="1" si="452"/>
        <v>-86.031227737803789</v>
      </c>
      <c r="P967" s="310">
        <f t="shared" ca="1" si="453"/>
        <v>23</v>
      </c>
      <c r="Q967" s="304">
        <f t="shared" ca="1" si="454"/>
        <v>0</v>
      </c>
      <c r="R967" s="306">
        <f t="shared" ca="1" si="455"/>
        <v>0</v>
      </c>
      <c r="S967" s="307">
        <f t="shared" ca="1" si="456"/>
        <v>2.9362999999999984</v>
      </c>
      <c r="T967" s="304">
        <f t="shared" ca="1" si="436"/>
        <v>28.805102999999985</v>
      </c>
      <c r="U967" s="311">
        <f t="shared" ca="1" si="437"/>
        <v>0</v>
      </c>
      <c r="V967" s="306">
        <f t="shared" ca="1" si="438"/>
        <v>1.2268505517673705</v>
      </c>
      <c r="W967" s="304">
        <f t="shared" ca="1" si="439"/>
        <v>27.188511535787303</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0.52704731339717092</v>
      </c>
      <c r="AH967" s="304">
        <f t="shared" ca="1" si="463"/>
        <v>-9.2594270916235377</v>
      </c>
    </row>
    <row r="968" spans="1:34" x14ac:dyDescent="0.2">
      <c r="A968" s="347">
        <f t="shared" ca="1" si="441"/>
        <v>1E-4</v>
      </c>
      <c r="B968" s="304">
        <f t="shared" ca="1" si="442"/>
        <v>37.145900000001745</v>
      </c>
      <c r="D968" s="306">
        <f t="shared" ca="1" si="443"/>
        <v>-0.64087185865673191</v>
      </c>
      <c r="E968" s="307">
        <f t="shared" ca="1" si="444"/>
        <v>-0.57275879717811229</v>
      </c>
      <c r="F968" s="304">
        <f t="shared" ca="1" si="445"/>
        <v>0.85951694512851351</v>
      </c>
      <c r="G968" s="306">
        <f t="shared" ca="1" si="446"/>
        <v>7.2128622793219836</v>
      </c>
      <c r="H968" s="307">
        <f t="shared" ca="1" si="447"/>
        <v>-103.9639616440292</v>
      </c>
      <c r="I968" s="304">
        <f t="shared" ca="1" si="448"/>
        <v>104.2138700124971</v>
      </c>
      <c r="J968" s="306">
        <f t="shared" ca="1" si="449"/>
        <v>837.4075040097224</v>
      </c>
      <c r="K968" s="307">
        <f t="shared" ca="1" si="450"/>
        <v>-15.105539659979424</v>
      </c>
      <c r="L968" s="304">
        <f t="shared" ca="1" si="435"/>
        <v>837.54373324633764</v>
      </c>
      <c r="M968" s="306">
        <f t="shared" ca="1" si="451"/>
        <v>-1.5015288350806384</v>
      </c>
      <c r="N968" s="304">
        <f t="shared" ca="1" si="452"/>
        <v>-86.031265067315601</v>
      </c>
      <c r="P968" s="310">
        <f t="shared" ca="1" si="453"/>
        <v>23</v>
      </c>
      <c r="Q968" s="304">
        <f t="shared" ca="1" si="454"/>
        <v>0</v>
      </c>
      <c r="R968" s="306">
        <f t="shared" ca="1" si="455"/>
        <v>0</v>
      </c>
      <c r="S968" s="307">
        <f t="shared" ca="1" si="456"/>
        <v>2.9362999999999984</v>
      </c>
      <c r="T968" s="304">
        <f t="shared" ca="1" si="436"/>
        <v>28.805102999999985</v>
      </c>
      <c r="U968" s="311">
        <f t="shared" ca="1" si="437"/>
        <v>0</v>
      </c>
      <c r="V968" s="306">
        <f t="shared" ca="1" si="438"/>
        <v>1.2268518272508466</v>
      </c>
      <c r="W968" s="304">
        <f t="shared" ca="1" si="439"/>
        <v>27.188567301588613</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0.52702876362177697</v>
      </c>
      <c r="AH968" s="304">
        <f t="shared" ca="1" si="463"/>
        <v>-9.259446083774586</v>
      </c>
    </row>
    <row r="969" spans="1:34" x14ac:dyDescent="0.2">
      <c r="A969" s="347">
        <f t="shared" ca="1" si="441"/>
        <v>1E-4</v>
      </c>
      <c r="B969" s="304">
        <f t="shared" ca="1" si="442"/>
        <v>37.146000000001749</v>
      </c>
      <c r="D969" s="306">
        <f t="shared" ca="1" si="443"/>
        <v>-0.64086715484936752</v>
      </c>
      <c r="E969" s="307">
        <f t="shared" ca="1" si="444"/>
        <v>-0.57273943331955834</v>
      </c>
      <c r="F969" s="304">
        <f t="shared" ca="1" si="445"/>
        <v>0.8595005344058444</v>
      </c>
      <c r="G969" s="306">
        <f t="shared" ca="1" si="446"/>
        <v>7.212798192606499</v>
      </c>
      <c r="H969" s="307">
        <f t="shared" ca="1" si="447"/>
        <v>-103.96401891797252</v>
      </c>
      <c r="I969" s="304">
        <f t="shared" ca="1" si="448"/>
        <v>104.21392271354061</v>
      </c>
      <c r="J969" s="306">
        <f t="shared" ca="1" si="449"/>
        <v>837.4075040097224</v>
      </c>
      <c r="K969" s="307">
        <f t="shared" ca="1" si="450"/>
        <v>-15.115936059007524</v>
      </c>
      <c r="L969" s="304">
        <f t="shared" ca="1" si="435"/>
        <v>837.54392081534047</v>
      </c>
      <c r="M969" s="306">
        <f t="shared" ca="1" si="451"/>
        <v>-1.5015294865970801</v>
      </c>
      <c r="N969" s="304">
        <f t="shared" ca="1" si="452"/>
        <v>-86.031302396458003</v>
      </c>
      <c r="P969" s="310">
        <f t="shared" ca="1" si="453"/>
        <v>23</v>
      </c>
      <c r="Q969" s="304">
        <f t="shared" ca="1" si="454"/>
        <v>0</v>
      </c>
      <c r="R969" s="306">
        <f t="shared" ca="1" si="455"/>
        <v>0</v>
      </c>
      <c r="S969" s="307">
        <f t="shared" ca="1" si="456"/>
        <v>2.9362999999999984</v>
      </c>
      <c r="T969" s="304">
        <f t="shared" ca="1" si="436"/>
        <v>28.805102999999985</v>
      </c>
      <c r="U969" s="311">
        <f t="shared" ca="1" si="437"/>
        <v>0</v>
      </c>
      <c r="V969" s="306">
        <f t="shared" ca="1" si="438"/>
        <v>1.2268531027363521</v>
      </c>
      <c r="W969" s="304">
        <f t="shared" ca="1" si="439"/>
        <v>27.188623066538096</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0.52701021412794624</v>
      </c>
      <c r="AH969" s="304">
        <f t="shared" ca="1" si="463"/>
        <v>-9.2594650756355374</v>
      </c>
    </row>
    <row r="970" spans="1:34" x14ac:dyDescent="0.2">
      <c r="A970" s="347">
        <f t="shared" ca="1" si="441"/>
        <v>1E-4</v>
      </c>
      <c r="B970" s="304">
        <f t="shared" ca="1" si="442"/>
        <v>37.146100000001752</v>
      </c>
      <c r="D970" s="306">
        <f t="shared" ca="1" si="443"/>
        <v>-0.64086245105652417</v>
      </c>
      <c r="E970" s="307">
        <f t="shared" ca="1" si="444"/>
        <v>-0.57272006975675005</v>
      </c>
      <c r="F970" s="304">
        <f t="shared" ca="1" si="445"/>
        <v>0.85948412403973617</v>
      </c>
      <c r="G970" s="306">
        <f t="shared" ca="1" si="446"/>
        <v>7.2127341063613937</v>
      </c>
      <c r="H970" s="307">
        <f t="shared" ca="1" si="447"/>
        <v>-103.96407618997949</v>
      </c>
      <c r="I970" s="304">
        <f t="shared" ca="1" si="448"/>
        <v>104.21397541272923</v>
      </c>
      <c r="J970" s="306">
        <f t="shared" ca="1" si="449"/>
        <v>837.4075040097224</v>
      </c>
      <c r="K970" s="307">
        <f t="shared" ca="1" si="450"/>
        <v>-15.126332463762921</v>
      </c>
      <c r="L970" s="304">
        <f t="shared" ca="1" si="435"/>
        <v>837.5441085134546</v>
      </c>
      <c r="M970" s="306">
        <f t="shared" ca="1" si="451"/>
        <v>-1.5015301381070738</v>
      </c>
      <c r="N970" s="304">
        <f t="shared" ca="1" si="452"/>
        <v>-86.03133972523095</v>
      </c>
      <c r="P970" s="310">
        <f t="shared" ca="1" si="453"/>
        <v>23</v>
      </c>
      <c r="Q970" s="304">
        <f t="shared" ca="1" si="454"/>
        <v>0</v>
      </c>
      <c r="R970" s="306">
        <f t="shared" ca="1" si="455"/>
        <v>0</v>
      </c>
      <c r="S970" s="307">
        <f t="shared" ca="1" si="456"/>
        <v>2.9362999999999984</v>
      </c>
      <c r="T970" s="304">
        <f t="shared" ca="1" si="436"/>
        <v>28.805102999999985</v>
      </c>
      <c r="U970" s="311">
        <f t="shared" ca="1" si="437"/>
        <v>0</v>
      </c>
      <c r="V970" s="306">
        <f t="shared" ca="1" si="438"/>
        <v>1.2268543782238874</v>
      </c>
      <c r="W970" s="304">
        <f t="shared" ca="1" si="439"/>
        <v>27.188678830635784</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0.52699166491568761</v>
      </c>
      <c r="AH970" s="304">
        <f t="shared" ca="1" si="463"/>
        <v>-9.2594840672063867</v>
      </c>
    </row>
    <row r="971" spans="1:34" x14ac:dyDescent="0.2">
      <c r="A971" s="347">
        <f t="shared" ca="1" si="441"/>
        <v>1E-4</v>
      </c>
      <c r="B971" s="304">
        <f t="shared" ca="1" si="442"/>
        <v>37.146200000001755</v>
      </c>
      <c r="D971" s="306">
        <f t="shared" ca="1" si="443"/>
        <v>-0.64085774727820566</v>
      </c>
      <c r="E971" s="307">
        <f t="shared" ca="1" si="444"/>
        <v>-0.5727007064896803</v>
      </c>
      <c r="F971" s="304">
        <f t="shared" ca="1" si="445"/>
        <v>0.85946771403018707</v>
      </c>
      <c r="G971" s="306">
        <f t="shared" ca="1" si="446"/>
        <v>7.2126700205866658</v>
      </c>
      <c r="H971" s="307">
        <f t="shared" ca="1" si="447"/>
        <v>-103.96413346005015</v>
      </c>
      <c r="I971" s="304">
        <f t="shared" ca="1" si="448"/>
        <v>104.21402811006294</v>
      </c>
      <c r="J971" s="306">
        <f t="shared" ca="1" si="449"/>
        <v>837.4075040097224</v>
      </c>
      <c r="K971" s="307">
        <f t="shared" ca="1" si="450"/>
        <v>-15.136728874245422</v>
      </c>
      <c r="L971" s="304">
        <f t="shared" ca="1" si="435"/>
        <v>837.54429634068049</v>
      </c>
      <c r="M971" s="306">
        <f t="shared" ca="1" si="451"/>
        <v>-1.5015307896106203</v>
      </c>
      <c r="N971" s="304">
        <f t="shared" ca="1" si="452"/>
        <v>-86.0313770536345</v>
      </c>
      <c r="P971" s="310">
        <f t="shared" ca="1" si="453"/>
        <v>23</v>
      </c>
      <c r="Q971" s="304">
        <f t="shared" ca="1" si="454"/>
        <v>0</v>
      </c>
      <c r="R971" s="306">
        <f t="shared" ca="1" si="455"/>
        <v>0</v>
      </c>
      <c r="S971" s="307">
        <f t="shared" ca="1" si="456"/>
        <v>2.9362999999999984</v>
      </c>
      <c r="T971" s="304">
        <f t="shared" ca="1" si="436"/>
        <v>28.805102999999985</v>
      </c>
      <c r="U971" s="311">
        <f t="shared" ca="1" si="437"/>
        <v>0</v>
      </c>
      <c r="V971" s="306">
        <f t="shared" ca="1" si="438"/>
        <v>1.2268556537134523</v>
      </c>
      <c r="W971" s="304">
        <f t="shared" ca="1" si="439"/>
        <v>27.188734593881662</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0.52697311598498686</v>
      </c>
      <c r="AH971" s="304">
        <f t="shared" ca="1" si="463"/>
        <v>-9.2595030584871427</v>
      </c>
    </row>
    <row r="972" spans="1:34" x14ac:dyDescent="0.2">
      <c r="A972" s="347">
        <f t="shared" ca="1" si="441"/>
        <v>1E-4</v>
      </c>
      <c r="B972" s="304">
        <f t="shared" ca="1" si="442"/>
        <v>37.146300000001759</v>
      </c>
      <c r="D972" s="306">
        <f t="shared" ca="1" si="443"/>
        <v>-0.64085304351440653</v>
      </c>
      <c r="E972" s="307">
        <f t="shared" ca="1" si="444"/>
        <v>-0.57268134351835087</v>
      </c>
      <c r="F972" s="304">
        <f t="shared" ca="1" si="445"/>
        <v>0.85945130437719464</v>
      </c>
      <c r="G972" s="306">
        <f t="shared" ca="1" si="446"/>
        <v>7.2126059352823146</v>
      </c>
      <c r="H972" s="307">
        <f t="shared" ca="1" si="447"/>
        <v>-103.96419072818451</v>
      </c>
      <c r="I972" s="304">
        <f t="shared" ca="1" si="448"/>
        <v>104.21408080554178</v>
      </c>
      <c r="J972" s="306">
        <f t="shared" ca="1" si="449"/>
        <v>837.4075040097224</v>
      </c>
      <c r="K972" s="307">
        <f t="shared" ca="1" si="450"/>
        <v>-15.147125290454834</v>
      </c>
      <c r="L972" s="304">
        <f t="shared" ca="1" si="435"/>
        <v>837.54448429701813</v>
      </c>
      <c r="M972" s="306">
        <f t="shared" ca="1" si="451"/>
        <v>-1.501531441107719</v>
      </c>
      <c r="N972" s="304">
        <f t="shared" ca="1" si="452"/>
        <v>-86.031414381668625</v>
      </c>
      <c r="P972" s="310">
        <f t="shared" ca="1" si="453"/>
        <v>23</v>
      </c>
      <c r="Q972" s="304">
        <f t="shared" ca="1" si="454"/>
        <v>0</v>
      </c>
      <c r="R972" s="306">
        <f t="shared" ca="1" si="455"/>
        <v>0</v>
      </c>
      <c r="S972" s="307">
        <f t="shared" ca="1" si="456"/>
        <v>2.9362999999999984</v>
      </c>
      <c r="T972" s="304">
        <f t="shared" ca="1" si="436"/>
        <v>28.805102999999985</v>
      </c>
      <c r="U972" s="311">
        <f t="shared" ca="1" si="437"/>
        <v>0</v>
      </c>
      <c r="V972" s="306">
        <f t="shared" ca="1" si="438"/>
        <v>1.2268569292050471</v>
      </c>
      <c r="W972" s="304">
        <f t="shared" ca="1" si="439"/>
        <v>27.18879035627576</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0.52695456733585289</v>
      </c>
      <c r="AH972" s="304">
        <f t="shared" ca="1" si="463"/>
        <v>-9.2595220494778037</v>
      </c>
    </row>
    <row r="973" spans="1:34" x14ac:dyDescent="0.2">
      <c r="A973" s="347">
        <f t="shared" ca="1" si="441"/>
        <v>1E-4</v>
      </c>
      <c r="B973" s="304">
        <f t="shared" ca="1" si="442"/>
        <v>37.146400000001762</v>
      </c>
      <c r="D973" s="306">
        <f t="shared" ca="1" si="443"/>
        <v>-0.64084833976513267</v>
      </c>
      <c r="E973" s="307">
        <f t="shared" ca="1" si="444"/>
        <v>-0.57266198084274933</v>
      </c>
      <c r="F973" s="304">
        <f t="shared" ca="1" si="445"/>
        <v>0.85943489508075499</v>
      </c>
      <c r="G973" s="306">
        <f t="shared" ca="1" si="446"/>
        <v>7.2125418504483383</v>
      </c>
      <c r="H973" s="307">
        <f t="shared" ca="1" si="447"/>
        <v>-103.96424799438259</v>
      </c>
      <c r="I973" s="304">
        <f t="shared" ca="1" si="448"/>
        <v>104.21413349916581</v>
      </c>
      <c r="J973" s="306">
        <f t="shared" ca="1" si="449"/>
        <v>837.4075040097224</v>
      </c>
      <c r="K973" s="307">
        <f t="shared" ca="1" si="450"/>
        <v>-15.157521712390963</v>
      </c>
      <c r="L973" s="304">
        <f t="shared" ca="1" si="435"/>
        <v>837.54467238246752</v>
      </c>
      <c r="M973" s="306">
        <f t="shared" ca="1" si="451"/>
        <v>-1.5015320925983704</v>
      </c>
      <c r="N973" s="304">
        <f t="shared" ca="1" si="452"/>
        <v>-86.031451709333339</v>
      </c>
      <c r="P973" s="310">
        <f t="shared" ca="1" si="453"/>
        <v>23</v>
      </c>
      <c r="Q973" s="304">
        <f t="shared" ca="1" si="454"/>
        <v>0</v>
      </c>
      <c r="R973" s="306">
        <f t="shared" ca="1" si="455"/>
        <v>0</v>
      </c>
      <c r="S973" s="307">
        <f t="shared" ca="1" si="456"/>
        <v>2.9362999999999984</v>
      </c>
      <c r="T973" s="304">
        <f t="shared" ca="1" si="436"/>
        <v>28.805102999999985</v>
      </c>
      <c r="U973" s="311">
        <f t="shared" ca="1" si="437"/>
        <v>0</v>
      </c>
      <c r="V973" s="306">
        <f t="shared" ca="1" si="438"/>
        <v>1.2268582046986711</v>
      </c>
      <c r="W973" s="304">
        <f t="shared" ca="1" si="439"/>
        <v>27.188846117818077</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0.52693601896826969</v>
      </c>
      <c r="AH973" s="304">
        <f t="shared" ca="1" si="463"/>
        <v>-9.2595410401783802</v>
      </c>
    </row>
    <row r="974" spans="1:34" x14ac:dyDescent="0.2">
      <c r="A974" s="347">
        <f t="shared" ca="1" si="441"/>
        <v>1E-4</v>
      </c>
      <c r="B974" s="304">
        <f t="shared" ca="1" si="442"/>
        <v>37.146500000001765</v>
      </c>
      <c r="D974" s="306">
        <f t="shared" ca="1" si="443"/>
        <v>-0.6408436360303803</v>
      </c>
      <c r="E974" s="307">
        <f t="shared" ca="1" si="444"/>
        <v>-0.57264261846288456</v>
      </c>
      <c r="F974" s="304">
        <f t="shared" ca="1" si="445"/>
        <v>0.85941848614087157</v>
      </c>
      <c r="G974" s="306">
        <f t="shared" ca="1" si="446"/>
        <v>7.212477766084735</v>
      </c>
      <c r="H974" s="307">
        <f t="shared" ca="1" si="447"/>
        <v>-103.96430525864443</v>
      </c>
      <c r="I974" s="304">
        <f t="shared" ca="1" si="448"/>
        <v>104.21418619093501</v>
      </c>
      <c r="J974" s="306">
        <f t="shared" ca="1" si="449"/>
        <v>837.4075040097224</v>
      </c>
      <c r="K974" s="307">
        <f t="shared" ca="1" si="450"/>
        <v>-15.167918140053615</v>
      </c>
      <c r="L974" s="304">
        <f t="shared" ca="1" si="435"/>
        <v>837.5448605970289</v>
      </c>
      <c r="M974" s="306">
        <f t="shared" ca="1" si="451"/>
        <v>-1.5015327440825743</v>
      </c>
      <c r="N974" s="304">
        <f t="shared" ca="1" si="452"/>
        <v>-86.031489036628642</v>
      </c>
      <c r="P974" s="310">
        <f t="shared" ca="1" si="453"/>
        <v>23</v>
      </c>
      <c r="Q974" s="304">
        <f t="shared" ca="1" si="454"/>
        <v>0</v>
      </c>
      <c r="R974" s="306">
        <f t="shared" ca="1" si="455"/>
        <v>0</v>
      </c>
      <c r="S974" s="307">
        <f t="shared" ca="1" si="456"/>
        <v>2.9362999999999984</v>
      </c>
      <c r="T974" s="304">
        <f t="shared" ca="1" si="436"/>
        <v>28.805102999999985</v>
      </c>
      <c r="U974" s="311">
        <f t="shared" ca="1" si="437"/>
        <v>0</v>
      </c>
      <c r="V974" s="306">
        <f t="shared" ca="1" si="438"/>
        <v>1.2268594801943253</v>
      </c>
      <c r="W974" s="304">
        <f t="shared" ca="1" si="439"/>
        <v>27.188901878508634</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0.52691747088224616</v>
      </c>
      <c r="AH974" s="304">
        <f t="shared" ca="1" si="463"/>
        <v>-9.259560030588867</v>
      </c>
    </row>
    <row r="975" spans="1:34" x14ac:dyDescent="0.2">
      <c r="A975" s="347">
        <f t="shared" ca="1" si="441"/>
        <v>1E-4</v>
      </c>
      <c r="B975" s="304">
        <f t="shared" ca="1" si="442"/>
        <v>37.146600000001769</v>
      </c>
      <c r="D975" s="306">
        <f t="shared" ca="1" si="443"/>
        <v>-0.64083893231015365</v>
      </c>
      <c r="E975" s="307">
        <f t="shared" ca="1" si="444"/>
        <v>-0.57262325637873879</v>
      </c>
      <c r="F975" s="304">
        <f t="shared" ca="1" si="445"/>
        <v>0.85940207755753573</v>
      </c>
      <c r="G975" s="306">
        <f t="shared" ca="1" si="446"/>
        <v>7.2124136821915039</v>
      </c>
      <c r="H975" s="307">
        <f t="shared" ca="1" si="447"/>
        <v>-103.96436252097007</v>
      </c>
      <c r="I975" s="304">
        <f t="shared" ca="1" si="448"/>
        <v>104.21423888084942</v>
      </c>
      <c r="J975" s="306">
        <f t="shared" ca="1" si="449"/>
        <v>837.4075040097224</v>
      </c>
      <c r="K975" s="307">
        <f t="shared" ca="1" si="450"/>
        <v>-15.178314573442595</v>
      </c>
      <c r="L975" s="304">
        <f t="shared" ca="1" si="435"/>
        <v>837.54504894070249</v>
      </c>
      <c r="M975" s="306">
        <f t="shared" ca="1" si="451"/>
        <v>-1.5015333955603309</v>
      </c>
      <c r="N975" s="304">
        <f t="shared" ca="1" si="452"/>
        <v>-86.031526363554548</v>
      </c>
      <c r="P975" s="310">
        <f t="shared" ca="1" si="453"/>
        <v>23</v>
      </c>
      <c r="Q975" s="304">
        <f t="shared" ca="1" si="454"/>
        <v>0</v>
      </c>
      <c r="R975" s="306">
        <f t="shared" ca="1" si="455"/>
        <v>0</v>
      </c>
      <c r="S975" s="307">
        <f t="shared" ca="1" si="456"/>
        <v>2.9362999999999984</v>
      </c>
      <c r="T975" s="304">
        <f t="shared" ca="1" si="436"/>
        <v>28.805102999999985</v>
      </c>
      <c r="U975" s="311">
        <f t="shared" ca="1" si="437"/>
        <v>0</v>
      </c>
      <c r="V975" s="306">
        <f t="shared" ca="1" si="438"/>
        <v>1.226860755692009</v>
      </c>
      <c r="W975" s="304">
        <f t="shared" ca="1" si="439"/>
        <v>27.188957638347421</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0.52689892307776809</v>
      </c>
      <c r="AH975" s="304">
        <f t="shared" ca="1" si="463"/>
        <v>-9.2595790207092765</v>
      </c>
    </row>
    <row r="976" spans="1:34" x14ac:dyDescent="0.2">
      <c r="A976" s="347">
        <f t="shared" ca="1" si="441"/>
        <v>1E-4</v>
      </c>
      <c r="B976" s="304">
        <f t="shared" ca="1" si="442"/>
        <v>37.146700000001772</v>
      </c>
      <c r="D976" s="306">
        <f t="shared" ca="1" si="443"/>
        <v>-0.64083422860445094</v>
      </c>
      <c r="E976" s="307">
        <f t="shared" ca="1" si="444"/>
        <v>-0.57260389459032091</v>
      </c>
      <c r="F976" s="304">
        <f t="shared" ca="1" si="445"/>
        <v>0.85938566933075222</v>
      </c>
      <c r="G976" s="306">
        <f t="shared" ca="1" si="446"/>
        <v>7.2123495987686432</v>
      </c>
      <c r="H976" s="307">
        <f t="shared" ca="1" si="447"/>
        <v>-103.96441978135952</v>
      </c>
      <c r="I976" s="304">
        <f t="shared" ca="1" si="448"/>
        <v>104.2142915689091</v>
      </c>
      <c r="J976" s="306">
        <f t="shared" ca="1" si="449"/>
        <v>837.4075040097224</v>
      </c>
      <c r="K976" s="307">
        <f t="shared" ca="1" si="450"/>
        <v>-15.188711012557711</v>
      </c>
      <c r="L976" s="304">
        <f t="shared" ca="1" si="435"/>
        <v>837.54523741348817</v>
      </c>
      <c r="M976" s="306">
        <f t="shared" ca="1" si="451"/>
        <v>-1.5015340470316405</v>
      </c>
      <c r="N976" s="304">
        <f t="shared" ca="1" si="452"/>
        <v>-86.031563690111057</v>
      </c>
      <c r="P976" s="310">
        <f t="shared" ca="1" si="453"/>
        <v>23</v>
      </c>
      <c r="Q976" s="304">
        <f t="shared" ca="1" si="454"/>
        <v>0</v>
      </c>
      <c r="R976" s="306">
        <f t="shared" ca="1" si="455"/>
        <v>0</v>
      </c>
      <c r="S976" s="307">
        <f t="shared" ca="1" si="456"/>
        <v>2.9362999999999984</v>
      </c>
      <c r="T976" s="304">
        <f t="shared" ca="1" si="436"/>
        <v>28.805102999999985</v>
      </c>
      <c r="U976" s="311">
        <f t="shared" ca="1" si="437"/>
        <v>0</v>
      </c>
      <c r="V976" s="306">
        <f t="shared" ca="1" si="438"/>
        <v>1.2268620311917218</v>
      </c>
      <c r="W976" s="304">
        <f t="shared" ca="1" si="439"/>
        <v>27.189013397334474</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0.52688037555484257</v>
      </c>
      <c r="AH976" s="304">
        <f t="shared" ca="1" si="463"/>
        <v>-9.2595980105396034</v>
      </c>
    </row>
    <row r="977" spans="1:34" x14ac:dyDescent="0.2">
      <c r="A977" s="347">
        <f t="shared" ca="1" si="441"/>
        <v>1E-4</v>
      </c>
      <c r="B977" s="304">
        <f t="shared" ca="1" si="442"/>
        <v>37.146800000001775</v>
      </c>
      <c r="D977" s="306">
        <f t="shared" ca="1" si="443"/>
        <v>-0.64082952491327194</v>
      </c>
      <c r="E977" s="307">
        <f t="shared" ca="1" si="444"/>
        <v>-0.57258453309761848</v>
      </c>
      <c r="F977" s="304">
        <f t="shared" ca="1" si="445"/>
        <v>0.85936926146051307</v>
      </c>
      <c r="G977" s="306">
        <f t="shared" ca="1" si="446"/>
        <v>7.2122855158161521</v>
      </c>
      <c r="H977" s="307">
        <f t="shared" ca="1" si="447"/>
        <v>-103.96447703981283</v>
      </c>
      <c r="I977" s="304">
        <f t="shared" ca="1" si="448"/>
        <v>104.21434425511404</v>
      </c>
      <c r="J977" s="306">
        <f t="shared" ca="1" si="449"/>
        <v>837.4075040097224</v>
      </c>
      <c r="K977" s="307">
        <f t="shared" ca="1" si="450"/>
        <v>-15.199107457398769</v>
      </c>
      <c r="L977" s="304">
        <f t="shared" ca="1" si="435"/>
        <v>837.54542601538628</v>
      </c>
      <c r="M977" s="306">
        <f t="shared" ca="1" si="451"/>
        <v>-1.5015346984965028</v>
      </c>
      <c r="N977" s="304">
        <f t="shared" ca="1" si="452"/>
        <v>-86.031601016298168</v>
      </c>
      <c r="P977" s="310">
        <f t="shared" ca="1" si="453"/>
        <v>23</v>
      </c>
      <c r="Q977" s="304">
        <f t="shared" ca="1" si="454"/>
        <v>0</v>
      </c>
      <c r="R977" s="306">
        <f t="shared" ca="1" si="455"/>
        <v>0</v>
      </c>
      <c r="S977" s="307">
        <f t="shared" ca="1" si="456"/>
        <v>2.9362999999999984</v>
      </c>
      <c r="T977" s="304">
        <f t="shared" ca="1" si="436"/>
        <v>28.805102999999985</v>
      </c>
      <c r="U977" s="311">
        <f t="shared" ca="1" si="437"/>
        <v>0</v>
      </c>
      <c r="V977" s="306">
        <f t="shared" ca="1" si="438"/>
        <v>1.2268633066934647</v>
      </c>
      <c r="W977" s="304">
        <f t="shared" ca="1" si="439"/>
        <v>27.189069155469781</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0.52686182831345896</v>
      </c>
      <c r="AH977" s="304">
        <f t="shared" ca="1" si="463"/>
        <v>-9.2596170000798583</v>
      </c>
    </row>
    <row r="978" spans="1:34" x14ac:dyDescent="0.2">
      <c r="A978" s="347">
        <f t="shared" ca="1" si="441"/>
        <v>1E-4</v>
      </c>
      <c r="B978" s="304">
        <f t="shared" ca="1" si="442"/>
        <v>37.146900000001779</v>
      </c>
      <c r="D978" s="306">
        <f t="shared" ca="1" si="443"/>
        <v>-0.64082482123661944</v>
      </c>
      <c r="E978" s="307">
        <f t="shared" ca="1" si="444"/>
        <v>-0.57256517190063505</v>
      </c>
      <c r="F978" s="304">
        <f t="shared" ca="1" si="445"/>
        <v>0.8593528539468227</v>
      </c>
      <c r="G978" s="306">
        <f t="shared" ca="1" si="446"/>
        <v>7.2122214333340287</v>
      </c>
      <c r="H978" s="307">
        <f t="shared" ca="1" si="447"/>
        <v>-103.96453429633003</v>
      </c>
      <c r="I978" s="304">
        <f t="shared" ca="1" si="448"/>
        <v>104.21439693946429</v>
      </c>
      <c r="J978" s="306">
        <f t="shared" ca="1" si="449"/>
        <v>837.4075040097224</v>
      </c>
      <c r="K978" s="307">
        <f t="shared" ca="1" si="450"/>
        <v>-15.209503907965576</v>
      </c>
      <c r="L978" s="304">
        <f t="shared" ca="1" si="435"/>
        <v>837.54561474639672</v>
      </c>
      <c r="M978" s="306">
        <f t="shared" ca="1" si="451"/>
        <v>-1.501535349954918</v>
      </c>
      <c r="N978" s="304">
        <f t="shared" ca="1" si="452"/>
        <v>-86.031638342115883</v>
      </c>
      <c r="P978" s="310">
        <f t="shared" ca="1" si="453"/>
        <v>23</v>
      </c>
      <c r="Q978" s="304">
        <f t="shared" ca="1" si="454"/>
        <v>0</v>
      </c>
      <c r="R978" s="306">
        <f t="shared" ca="1" si="455"/>
        <v>0</v>
      </c>
      <c r="S978" s="307">
        <f t="shared" ca="1" si="456"/>
        <v>2.9362999999999984</v>
      </c>
      <c r="T978" s="304">
        <f t="shared" ca="1" si="436"/>
        <v>28.805102999999985</v>
      </c>
      <c r="U978" s="311">
        <f t="shared" ca="1" si="437"/>
        <v>0</v>
      </c>
      <c r="V978" s="306">
        <f t="shared" ca="1" si="438"/>
        <v>1.2268645821972366</v>
      </c>
      <c r="W978" s="304">
        <f t="shared" ca="1" si="439"/>
        <v>27.189124912753357</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0.52684328135361547</v>
      </c>
      <c r="AH978" s="304">
        <f t="shared" ca="1" si="463"/>
        <v>-9.2596359893300395</v>
      </c>
    </row>
    <row r="979" spans="1:34" x14ac:dyDescent="0.2">
      <c r="A979" s="347">
        <f t="shared" ca="1" si="441"/>
        <v>1E-4</v>
      </c>
      <c r="B979" s="304">
        <f t="shared" ca="1" si="442"/>
        <v>37.147000000001782</v>
      </c>
      <c r="D979" s="306">
        <f t="shared" ca="1" si="443"/>
        <v>-0.64082011757449275</v>
      </c>
      <c r="E979" s="307">
        <f t="shared" ca="1" si="444"/>
        <v>-0.57254581099936352</v>
      </c>
      <c r="F979" s="304">
        <f t="shared" ca="1" si="445"/>
        <v>0.85933644678967602</v>
      </c>
      <c r="G979" s="306">
        <f t="shared" ca="1" si="446"/>
        <v>7.2121573513222712</v>
      </c>
      <c r="H979" s="307">
        <f t="shared" ca="1" si="447"/>
        <v>-103.96459155091112</v>
      </c>
      <c r="I979" s="304">
        <f t="shared" ca="1" si="448"/>
        <v>104.21444962195987</v>
      </c>
      <c r="J979" s="306">
        <f t="shared" ca="1" si="449"/>
        <v>837.4075040097224</v>
      </c>
      <c r="K979" s="307">
        <f t="shared" ca="1" si="450"/>
        <v>-15.219900364257938</v>
      </c>
      <c r="L979" s="304">
        <f t="shared" ca="1" si="435"/>
        <v>837.54580360651983</v>
      </c>
      <c r="M979" s="306">
        <f t="shared" ca="1" si="451"/>
        <v>-1.5015360014068861</v>
      </c>
      <c r="N979" s="304">
        <f t="shared" ca="1" si="452"/>
        <v>-86.031675667564215</v>
      </c>
      <c r="P979" s="310">
        <f t="shared" ca="1" si="453"/>
        <v>23</v>
      </c>
      <c r="Q979" s="304">
        <f t="shared" ca="1" si="454"/>
        <v>0</v>
      </c>
      <c r="R979" s="306">
        <f t="shared" ca="1" si="455"/>
        <v>0</v>
      </c>
      <c r="S979" s="307">
        <f t="shared" ca="1" si="456"/>
        <v>2.9362999999999984</v>
      </c>
      <c r="T979" s="304">
        <f t="shared" ca="1" si="436"/>
        <v>28.805102999999985</v>
      </c>
      <c r="U979" s="311">
        <f t="shared" ca="1" si="437"/>
        <v>0</v>
      </c>
      <c r="V979" s="306">
        <f t="shared" ca="1" si="438"/>
        <v>1.2268658577030382</v>
      </c>
      <c r="W979" s="304">
        <f t="shared" ca="1" si="439"/>
        <v>27.189180669185216</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0.5268247346753121</v>
      </c>
      <c r="AH979" s="304">
        <f t="shared" ca="1" si="463"/>
        <v>-9.2596549782901523</v>
      </c>
    </row>
    <row r="980" spans="1:34" x14ac:dyDescent="0.2">
      <c r="A980" s="347">
        <f t="shared" ca="1" si="441"/>
        <v>1E-4</v>
      </c>
      <c r="B980" s="304">
        <f t="shared" ca="1" si="442"/>
        <v>37.147100000001785</v>
      </c>
      <c r="D980" s="306">
        <f t="shared" ca="1" si="443"/>
        <v>-0.6408154139268929</v>
      </c>
      <c r="E980" s="307">
        <f t="shared" ca="1" si="444"/>
        <v>-0.57252645039380212</v>
      </c>
      <c r="F980" s="304">
        <f t="shared" ca="1" si="445"/>
        <v>0.85932003998907291</v>
      </c>
      <c r="G980" s="306">
        <f t="shared" ca="1" si="446"/>
        <v>7.2120932697808788</v>
      </c>
      <c r="H980" s="307">
        <f t="shared" ca="1" si="447"/>
        <v>-103.96464880355616</v>
      </c>
      <c r="I980" s="304">
        <f t="shared" ca="1" si="448"/>
        <v>104.21450230260082</v>
      </c>
      <c r="J980" s="306">
        <f t="shared" ca="1" si="449"/>
        <v>837.4075040097224</v>
      </c>
      <c r="K980" s="307">
        <f t="shared" ca="1" si="450"/>
        <v>-15.230296826275662</v>
      </c>
      <c r="L980" s="304">
        <f t="shared" ca="1" si="435"/>
        <v>837.54599259575571</v>
      </c>
      <c r="M980" s="306">
        <f t="shared" ca="1" si="451"/>
        <v>-1.5015366528524077</v>
      </c>
      <c r="N980" s="304">
        <f t="shared" ca="1" si="452"/>
        <v>-86.031712992643179</v>
      </c>
      <c r="P980" s="310">
        <f t="shared" ca="1" si="453"/>
        <v>23</v>
      </c>
      <c r="Q980" s="304">
        <f t="shared" ca="1" si="454"/>
        <v>0</v>
      </c>
      <c r="R980" s="306">
        <f t="shared" ca="1" si="455"/>
        <v>0</v>
      </c>
      <c r="S980" s="307">
        <f t="shared" ca="1" si="456"/>
        <v>2.9362999999999984</v>
      </c>
      <c r="T980" s="304">
        <f t="shared" ca="1" si="436"/>
        <v>28.805102999999985</v>
      </c>
      <c r="U980" s="311">
        <f t="shared" ca="1" si="437"/>
        <v>0</v>
      </c>
      <c r="V980" s="306">
        <f t="shared" ca="1" si="438"/>
        <v>1.2268671332108694</v>
      </c>
      <c r="W980" s="304">
        <f t="shared" ca="1" si="439"/>
        <v>27.189236424765372</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0.52680618827854531</v>
      </c>
      <c r="AH980" s="304">
        <f t="shared" ca="1" si="463"/>
        <v>-9.2596739669601984</v>
      </c>
    </row>
    <row r="981" spans="1:34" x14ac:dyDescent="0.2">
      <c r="A981" s="347">
        <f t="shared" ca="1" si="441"/>
        <v>1E-4</v>
      </c>
      <c r="B981" s="304">
        <f t="shared" ca="1" si="442"/>
        <v>37.147200000001789</v>
      </c>
      <c r="D981" s="306">
        <f t="shared" ca="1" si="443"/>
        <v>-0.64081071029381731</v>
      </c>
      <c r="E981" s="307">
        <f t="shared" ca="1" si="444"/>
        <v>-0.57250709008394551</v>
      </c>
      <c r="F981" s="304">
        <f t="shared" ca="1" si="445"/>
        <v>0.85930363354500805</v>
      </c>
      <c r="G981" s="306">
        <f t="shared" ca="1" si="446"/>
        <v>7.2120291887098498</v>
      </c>
      <c r="H981" s="307">
        <f t="shared" ca="1" si="447"/>
        <v>-103.96470605426516</v>
      </c>
      <c r="I981" s="304">
        <f t="shared" ca="1" si="448"/>
        <v>104.21455498138714</v>
      </c>
      <c r="J981" s="306">
        <f t="shared" ca="1" si="449"/>
        <v>837.4075040097224</v>
      </c>
      <c r="K981" s="307">
        <f t="shared" ca="1" si="450"/>
        <v>-15.240693294018554</v>
      </c>
      <c r="L981" s="304">
        <f t="shared" ca="1" si="435"/>
        <v>837.54618171410436</v>
      </c>
      <c r="M981" s="306">
        <f t="shared" ca="1" si="451"/>
        <v>-1.5015373042914821</v>
      </c>
      <c r="N981" s="304">
        <f t="shared" ca="1" si="452"/>
        <v>-86.03175031735276</v>
      </c>
      <c r="P981" s="310">
        <f t="shared" ca="1" si="453"/>
        <v>23</v>
      </c>
      <c r="Q981" s="304">
        <f t="shared" ca="1" si="454"/>
        <v>0</v>
      </c>
      <c r="R981" s="306">
        <f t="shared" ca="1" si="455"/>
        <v>0</v>
      </c>
      <c r="S981" s="307">
        <f t="shared" ca="1" si="456"/>
        <v>2.9362999999999984</v>
      </c>
      <c r="T981" s="304">
        <f t="shared" ca="1" si="436"/>
        <v>28.805102999999985</v>
      </c>
      <c r="U981" s="311">
        <f t="shared" ca="1" si="437"/>
        <v>0</v>
      </c>
      <c r="V981" s="306">
        <f t="shared" ca="1" si="438"/>
        <v>1.2268684087207302</v>
      </c>
      <c r="W981" s="304">
        <f t="shared" ca="1" si="439"/>
        <v>27.189292179493822</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0.52678764216330976</v>
      </c>
      <c r="AH981" s="304">
        <f t="shared" ca="1" si="463"/>
        <v>-9.259692955340185</v>
      </c>
    </row>
    <row r="982" spans="1:34" x14ac:dyDescent="0.2">
      <c r="A982" s="347">
        <f t="shared" ca="1" si="441"/>
        <v>1E-4</v>
      </c>
      <c r="B982" s="304">
        <f t="shared" ca="1" si="442"/>
        <v>37.147300000001792</v>
      </c>
      <c r="D982" s="306">
        <f t="shared" ca="1" si="443"/>
        <v>-0.64080600667527099</v>
      </c>
      <c r="E982" s="307">
        <f t="shared" ca="1" si="444"/>
        <v>-0.57248773006979192</v>
      </c>
      <c r="F982" s="304">
        <f t="shared" ca="1" si="445"/>
        <v>0.85928722745748431</v>
      </c>
      <c r="G982" s="306">
        <f t="shared" ca="1" si="446"/>
        <v>7.2119651081091822</v>
      </c>
      <c r="H982" s="307">
        <f t="shared" ca="1" si="447"/>
        <v>-103.96476330303817</v>
      </c>
      <c r="I982" s="304">
        <f t="shared" ca="1" si="448"/>
        <v>104.21460765831887</v>
      </c>
      <c r="J982" s="306">
        <f t="shared" ca="1" si="449"/>
        <v>837.4075040097224</v>
      </c>
      <c r="K982" s="307">
        <f t="shared" ca="1" si="450"/>
        <v>-15.25108976748642</v>
      </c>
      <c r="L982" s="304">
        <f t="shared" ca="1" si="435"/>
        <v>837.54637096156603</v>
      </c>
      <c r="M982" s="306">
        <f t="shared" ca="1" si="451"/>
        <v>-1.50153795572411</v>
      </c>
      <c r="N982" s="304">
        <f t="shared" ca="1" si="452"/>
        <v>-86.031787641692972</v>
      </c>
      <c r="P982" s="310">
        <f t="shared" ca="1" si="453"/>
        <v>23</v>
      </c>
      <c r="Q982" s="304">
        <f t="shared" ca="1" si="454"/>
        <v>0</v>
      </c>
      <c r="R982" s="306">
        <f t="shared" ca="1" si="455"/>
        <v>0</v>
      </c>
      <c r="S982" s="307">
        <f t="shared" ca="1" si="456"/>
        <v>2.9362999999999984</v>
      </c>
      <c r="T982" s="304">
        <f t="shared" ca="1" si="436"/>
        <v>28.805102999999985</v>
      </c>
      <c r="U982" s="311">
        <f t="shared" ca="1" si="437"/>
        <v>0</v>
      </c>
      <c r="V982" s="306">
        <f t="shared" ca="1" si="438"/>
        <v>1.2268696842326205</v>
      </c>
      <c r="W982" s="304">
        <f t="shared" ca="1" si="439"/>
        <v>27.189347933370591</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0.52676909632960012</v>
      </c>
      <c r="AH982" s="304">
        <f t="shared" ca="1" si="463"/>
        <v>-9.2597119434301121</v>
      </c>
    </row>
    <row r="983" spans="1:34" x14ac:dyDescent="0.2">
      <c r="A983" s="347">
        <f t="shared" ca="1" si="441"/>
        <v>1E-4</v>
      </c>
      <c r="B983" s="304">
        <f t="shared" ca="1" si="442"/>
        <v>37.147400000001795</v>
      </c>
      <c r="D983" s="306">
        <f t="shared" ca="1" si="443"/>
        <v>-0.64080130307125105</v>
      </c>
      <c r="E983" s="307">
        <f t="shared" ca="1" si="444"/>
        <v>-0.57246837035133602</v>
      </c>
      <c r="F983" s="304">
        <f t="shared" ca="1" si="445"/>
        <v>0.85927082172649605</v>
      </c>
      <c r="G983" s="306">
        <f t="shared" ca="1" si="446"/>
        <v>7.2119010279788753</v>
      </c>
      <c r="H983" s="307">
        <f t="shared" ca="1" si="447"/>
        <v>-103.9648205498752</v>
      </c>
      <c r="I983" s="304">
        <f t="shared" ca="1" si="448"/>
        <v>104.21466033339607</v>
      </c>
      <c r="J983" s="306">
        <f t="shared" ca="1" si="449"/>
        <v>837.4075040097224</v>
      </c>
      <c r="K983" s="307">
        <f t="shared" ca="1" si="450"/>
        <v>-15.261486246679066</v>
      </c>
      <c r="L983" s="304">
        <f t="shared" ca="1" si="435"/>
        <v>837.54656033814081</v>
      </c>
      <c r="M983" s="306">
        <f t="shared" ca="1" si="451"/>
        <v>-1.501538607150291</v>
      </c>
      <c r="N983" s="304">
        <f t="shared" ca="1" si="452"/>
        <v>-86.031824965663802</v>
      </c>
      <c r="P983" s="310">
        <f t="shared" ca="1" si="453"/>
        <v>23</v>
      </c>
      <c r="Q983" s="304">
        <f t="shared" ca="1" si="454"/>
        <v>0</v>
      </c>
      <c r="R983" s="306">
        <f t="shared" ca="1" si="455"/>
        <v>0</v>
      </c>
      <c r="S983" s="307">
        <f t="shared" ca="1" si="456"/>
        <v>2.9362999999999984</v>
      </c>
      <c r="T983" s="304">
        <f t="shared" ca="1" si="436"/>
        <v>28.805102999999985</v>
      </c>
      <c r="U983" s="311">
        <f t="shared" ca="1" si="437"/>
        <v>0</v>
      </c>
      <c r="V983" s="306">
        <f t="shared" ca="1" si="438"/>
        <v>1.2268709597465404</v>
      </c>
      <c r="W983" s="304">
        <f t="shared" ca="1" si="439"/>
        <v>27.189403686395689</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0.52675055077741639</v>
      </c>
      <c r="AH983" s="304">
        <f t="shared" ca="1" si="463"/>
        <v>-9.2597309312299849</v>
      </c>
    </row>
    <row r="984" spans="1:34" x14ac:dyDescent="0.2">
      <c r="A984" s="347">
        <f t="shared" ca="1" si="441"/>
        <v>1E-4</v>
      </c>
      <c r="B984" s="304">
        <f t="shared" ca="1" si="442"/>
        <v>37.147500000001799</v>
      </c>
      <c r="D984" s="306">
        <f t="shared" ca="1" si="443"/>
        <v>-0.64079659948176104</v>
      </c>
      <c r="E984" s="307">
        <f t="shared" ca="1" si="444"/>
        <v>-0.5724490109285707</v>
      </c>
      <c r="F984" s="304">
        <f t="shared" ca="1" si="445"/>
        <v>0.85925441635204136</v>
      </c>
      <c r="G984" s="306">
        <f t="shared" ca="1" si="446"/>
        <v>7.2118369483189273</v>
      </c>
      <c r="H984" s="307">
        <f t="shared" ca="1" si="447"/>
        <v>-103.96487779477629</v>
      </c>
      <c r="I984" s="304">
        <f t="shared" ca="1" si="448"/>
        <v>104.21471300661872</v>
      </c>
      <c r="J984" s="306">
        <f t="shared" ca="1" si="449"/>
        <v>837.4075040097224</v>
      </c>
      <c r="K984" s="307">
        <f t="shared" ca="1" si="450"/>
        <v>-15.271882731596298</v>
      </c>
      <c r="L984" s="304">
        <f t="shared" ca="1" si="435"/>
        <v>837.54674984382871</v>
      </c>
      <c r="M984" s="306">
        <f t="shared" ca="1" si="451"/>
        <v>-1.5015392585700256</v>
      </c>
      <c r="N984" s="304">
        <f t="shared" ca="1" si="452"/>
        <v>-86.031862289265291</v>
      </c>
      <c r="P984" s="310">
        <f t="shared" ca="1" si="453"/>
        <v>23</v>
      </c>
      <c r="Q984" s="304">
        <f t="shared" ca="1" si="454"/>
        <v>0</v>
      </c>
      <c r="R984" s="306">
        <f t="shared" ca="1" si="455"/>
        <v>0</v>
      </c>
      <c r="S984" s="307">
        <f t="shared" ca="1" si="456"/>
        <v>2.9362999999999984</v>
      </c>
      <c r="T984" s="304">
        <f t="shared" ca="1" si="436"/>
        <v>28.805102999999985</v>
      </c>
      <c r="U984" s="311">
        <f t="shared" ca="1" si="437"/>
        <v>0</v>
      </c>
      <c r="V984" s="306">
        <f t="shared" ca="1" si="438"/>
        <v>1.2268722352624892</v>
      </c>
      <c r="W984" s="304">
        <f t="shared" ca="1" si="439"/>
        <v>27.189459438569106</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0.52673200550675148</v>
      </c>
      <c r="AH984" s="304">
        <f t="shared" ca="1" si="463"/>
        <v>-9.2597499187398107</v>
      </c>
    </row>
    <row r="985" spans="1:34" x14ac:dyDescent="0.2">
      <c r="A985" s="347">
        <f t="shared" ca="1" si="441"/>
        <v>1E-4</v>
      </c>
      <c r="B985" s="304">
        <f t="shared" ca="1" si="442"/>
        <v>37.147600000001802</v>
      </c>
      <c r="D985" s="306">
        <f t="shared" ca="1" si="443"/>
        <v>-0.64079189590679719</v>
      </c>
      <c r="E985" s="307">
        <f t="shared" ca="1" si="444"/>
        <v>-0.57242965180150307</v>
      </c>
      <c r="F985" s="304">
        <f t="shared" ca="1" si="445"/>
        <v>0.85923801133412248</v>
      </c>
      <c r="G985" s="306">
        <f t="shared" ca="1" si="446"/>
        <v>7.2117728691293363</v>
      </c>
      <c r="H985" s="307">
        <f t="shared" ca="1" si="447"/>
        <v>-103.96493503774147</v>
      </c>
      <c r="I985" s="304">
        <f t="shared" ca="1" si="448"/>
        <v>104.21476567798689</v>
      </c>
      <c r="J985" s="306">
        <f t="shared" ca="1" si="449"/>
        <v>837.4075040097224</v>
      </c>
      <c r="K985" s="307">
        <f t="shared" ca="1" si="450"/>
        <v>-15.282279222237923</v>
      </c>
      <c r="L985" s="304">
        <f t="shared" ca="1" si="435"/>
        <v>837.54693947862984</v>
      </c>
      <c r="M985" s="306">
        <f t="shared" ca="1" si="451"/>
        <v>-1.5015399099833135</v>
      </c>
      <c r="N985" s="304">
        <f t="shared" ca="1" si="452"/>
        <v>-86.031899612497412</v>
      </c>
      <c r="P985" s="310">
        <f t="shared" ca="1" si="453"/>
        <v>23</v>
      </c>
      <c r="Q985" s="304">
        <f t="shared" ca="1" si="454"/>
        <v>0</v>
      </c>
      <c r="R985" s="306">
        <f t="shared" ca="1" si="455"/>
        <v>0</v>
      </c>
      <c r="S985" s="307">
        <f t="shared" ca="1" si="456"/>
        <v>2.9362999999999984</v>
      </c>
      <c r="T985" s="304">
        <f t="shared" ca="1" si="436"/>
        <v>28.805102999999985</v>
      </c>
      <c r="U985" s="311">
        <f t="shared" ca="1" si="437"/>
        <v>0</v>
      </c>
      <c r="V985" s="306">
        <f t="shared" ca="1" si="438"/>
        <v>1.2268735107804682</v>
      </c>
      <c r="W985" s="304">
        <f t="shared" ca="1" si="439"/>
        <v>27.189515189890887</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0.5267134605176107</v>
      </c>
      <c r="AH985" s="304">
        <f t="shared" ca="1" si="463"/>
        <v>-9.2597689059595822</v>
      </c>
    </row>
    <row r="986" spans="1:34" x14ac:dyDescent="0.2">
      <c r="A986" s="347">
        <f t="shared" ca="1" si="441"/>
        <v>1E-4</v>
      </c>
      <c r="B986" s="304">
        <f t="shared" ca="1" si="442"/>
        <v>37.147700000001805</v>
      </c>
      <c r="D986" s="306">
        <f t="shared" ca="1" si="443"/>
        <v>-0.64078719234636394</v>
      </c>
      <c r="E986" s="307">
        <f t="shared" ca="1" si="444"/>
        <v>-0.57241029297011714</v>
      </c>
      <c r="F986" s="304">
        <f t="shared" ca="1" si="445"/>
        <v>0.85922160667273229</v>
      </c>
      <c r="G986" s="306">
        <f t="shared" ca="1" si="446"/>
        <v>7.2117087904101016</v>
      </c>
      <c r="H986" s="307">
        <f t="shared" ca="1" si="447"/>
        <v>-103.96499227877077</v>
      </c>
      <c r="I986" s="304">
        <f t="shared" ca="1" si="448"/>
        <v>104.21481834750058</v>
      </c>
      <c r="J986" s="306">
        <f t="shared" ca="1" si="449"/>
        <v>837.4075040097224</v>
      </c>
      <c r="K986" s="307">
        <f t="shared" ca="1" si="450"/>
        <v>-15.292675718603748</v>
      </c>
      <c r="L986" s="304">
        <f t="shared" ca="1" si="435"/>
        <v>837.54712924254454</v>
      </c>
      <c r="M986" s="306">
        <f t="shared" ca="1" si="451"/>
        <v>-1.5015405613901551</v>
      </c>
      <c r="N986" s="304">
        <f t="shared" ca="1" si="452"/>
        <v>-86.031936935360179</v>
      </c>
      <c r="P986" s="310">
        <f t="shared" ca="1" si="453"/>
        <v>23</v>
      </c>
      <c r="Q986" s="304">
        <f t="shared" ca="1" si="454"/>
        <v>0</v>
      </c>
      <c r="R986" s="306">
        <f t="shared" ca="1" si="455"/>
        <v>0</v>
      </c>
      <c r="S986" s="307">
        <f t="shared" ca="1" si="456"/>
        <v>2.9362999999999984</v>
      </c>
      <c r="T986" s="304">
        <f t="shared" ca="1" si="436"/>
        <v>28.805102999999985</v>
      </c>
      <c r="U986" s="311">
        <f t="shared" ca="1" si="437"/>
        <v>0</v>
      </c>
      <c r="V986" s="306">
        <f t="shared" ca="1" si="438"/>
        <v>1.2268747863004759</v>
      </c>
      <c r="W986" s="304">
        <f t="shared" ca="1" si="439"/>
        <v>27.189570940361001</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0.52669491580997629</v>
      </c>
      <c r="AH986" s="304">
        <f t="shared" ca="1" si="463"/>
        <v>-9.2597878928893174</v>
      </c>
    </row>
    <row r="987" spans="1:34" x14ac:dyDescent="0.2">
      <c r="A987" s="347">
        <f t="shared" ca="1" si="441"/>
        <v>1E-4</v>
      </c>
      <c r="B987" s="304">
        <f t="shared" ca="1" si="442"/>
        <v>37.147800000001808</v>
      </c>
      <c r="D987" s="306">
        <f t="shared" ca="1" si="443"/>
        <v>-0.64078248880045929</v>
      </c>
      <c r="E987" s="307">
        <f t="shared" ca="1" si="444"/>
        <v>-0.57239093443442002</v>
      </c>
      <c r="F987" s="304">
        <f t="shared" ca="1" si="445"/>
        <v>0.85920520236787401</v>
      </c>
      <c r="G987" s="306">
        <f t="shared" ca="1" si="446"/>
        <v>7.2116447121612213</v>
      </c>
      <c r="H987" s="307">
        <f t="shared" ca="1" si="447"/>
        <v>-103.9650495178642</v>
      </c>
      <c r="I987" s="304">
        <f t="shared" ca="1" si="448"/>
        <v>104.21487101515982</v>
      </c>
      <c r="J987" s="306">
        <f t="shared" ca="1" si="449"/>
        <v>837.4075040097224</v>
      </c>
      <c r="K987" s="307">
        <f t="shared" ca="1" si="450"/>
        <v>-15.303072220693579</v>
      </c>
      <c r="L987" s="304">
        <f t="shared" ca="1" si="435"/>
        <v>837.54731913557282</v>
      </c>
      <c r="M987" s="306">
        <f t="shared" ca="1" si="451"/>
        <v>-1.5015412127905503</v>
      </c>
      <c r="N987" s="304">
        <f t="shared" ca="1" si="452"/>
        <v>-86.031974257853591</v>
      </c>
      <c r="P987" s="310">
        <f t="shared" ca="1" si="453"/>
        <v>23</v>
      </c>
      <c r="Q987" s="304">
        <f t="shared" ca="1" si="454"/>
        <v>0</v>
      </c>
      <c r="R987" s="306">
        <f t="shared" ca="1" si="455"/>
        <v>0</v>
      </c>
      <c r="S987" s="307">
        <f t="shared" ca="1" si="456"/>
        <v>2.9362999999999984</v>
      </c>
      <c r="T987" s="304">
        <f t="shared" ca="1" si="436"/>
        <v>28.805102999999985</v>
      </c>
      <c r="U987" s="311">
        <f t="shared" ca="1" si="437"/>
        <v>0</v>
      </c>
      <c r="V987" s="306">
        <f t="shared" ca="1" si="438"/>
        <v>1.226876061822513</v>
      </c>
      <c r="W987" s="304">
        <f t="shared" ca="1" si="439"/>
        <v>27.189626689979466</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0.5266763713838607</v>
      </c>
      <c r="AH987" s="304">
        <f t="shared" ca="1" si="463"/>
        <v>-9.2598068795290054</v>
      </c>
    </row>
    <row r="988" spans="1:34" x14ac:dyDescent="0.2">
      <c r="A988" s="347">
        <f t="shared" ca="1" si="441"/>
        <v>1E-4</v>
      </c>
      <c r="B988" s="304">
        <f t="shared" ca="1" si="442"/>
        <v>37.147900000001812</v>
      </c>
      <c r="D988" s="306">
        <f t="shared" ca="1" si="443"/>
        <v>-0.64077778526908458</v>
      </c>
      <c r="E988" s="307">
        <f t="shared" ca="1" si="444"/>
        <v>-0.5723715761944117</v>
      </c>
      <c r="F988" s="304">
        <f t="shared" ca="1" si="445"/>
        <v>0.85918879841954887</v>
      </c>
      <c r="G988" s="306">
        <f t="shared" ca="1" si="446"/>
        <v>7.2115806343826945</v>
      </c>
      <c r="H988" s="307">
        <f t="shared" ca="1" si="447"/>
        <v>-103.96510675502182</v>
      </c>
      <c r="I988" s="304">
        <f t="shared" ca="1" si="448"/>
        <v>104.21492368096466</v>
      </c>
      <c r="J988" s="306">
        <f t="shared" ca="1" si="449"/>
        <v>837.4075040097224</v>
      </c>
      <c r="K988" s="307">
        <f t="shared" ca="1" si="450"/>
        <v>-15.313468728507223</v>
      </c>
      <c r="L988" s="304">
        <f t="shared" ca="1" si="435"/>
        <v>837.54750915771467</v>
      </c>
      <c r="M988" s="306">
        <f t="shared" ca="1" si="451"/>
        <v>-1.5015418641844991</v>
      </c>
      <c r="N988" s="304">
        <f t="shared" ca="1" si="452"/>
        <v>-86.032011579977663</v>
      </c>
      <c r="P988" s="310">
        <f t="shared" ca="1" si="453"/>
        <v>23</v>
      </c>
      <c r="Q988" s="304">
        <f t="shared" ca="1" si="454"/>
        <v>0</v>
      </c>
      <c r="R988" s="306">
        <f t="shared" ca="1" si="455"/>
        <v>0</v>
      </c>
      <c r="S988" s="307">
        <f t="shared" ca="1" si="456"/>
        <v>2.9362999999999984</v>
      </c>
      <c r="T988" s="304">
        <f t="shared" ca="1" si="436"/>
        <v>28.805102999999985</v>
      </c>
      <c r="U988" s="311">
        <f t="shared" ca="1" si="437"/>
        <v>0</v>
      </c>
      <c r="V988" s="306">
        <f t="shared" ca="1" si="438"/>
        <v>1.2268773373465796</v>
      </c>
      <c r="W988" s="304">
        <f t="shared" ca="1" si="439"/>
        <v>27.189682438746321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0.52665782723925858</v>
      </c>
      <c r="AH988" s="304">
        <f t="shared" ca="1" si="463"/>
        <v>-9.2598258658786499</v>
      </c>
    </row>
    <row r="989" spans="1:34" x14ac:dyDescent="0.2">
      <c r="A989" s="347">
        <f t="shared" ca="1" si="441"/>
        <v>1E-4</v>
      </c>
      <c r="B989" s="304">
        <f t="shared" ca="1" si="442"/>
        <v>37.148000000001815</v>
      </c>
      <c r="D989" s="306">
        <f t="shared" ca="1" si="443"/>
        <v>-0.64077308175224179</v>
      </c>
      <c r="E989" s="307">
        <f t="shared" ca="1" si="444"/>
        <v>-0.57235221825007088</v>
      </c>
      <c r="F989" s="304">
        <f t="shared" ca="1" si="445"/>
        <v>0.85917239482774466</v>
      </c>
      <c r="G989" s="306">
        <f t="shared" ca="1" si="446"/>
        <v>7.2115165570745194</v>
      </c>
      <c r="H989" s="307">
        <f t="shared" ca="1" si="447"/>
        <v>-103.96516399024365</v>
      </c>
      <c r="I989" s="304">
        <f t="shared" ca="1" si="448"/>
        <v>104.2149763449151</v>
      </c>
      <c r="J989" s="306">
        <f t="shared" ca="1" si="449"/>
        <v>837.4075040097224</v>
      </c>
      <c r="K989" s="307">
        <f t="shared" ca="1" si="450"/>
        <v>-15.323865242044485</v>
      </c>
      <c r="L989" s="304">
        <f t="shared" ca="1" si="435"/>
        <v>837.54769930897044</v>
      </c>
      <c r="M989" s="306">
        <f t="shared" ca="1" si="451"/>
        <v>-1.5015425155720019</v>
      </c>
      <c r="N989" s="304">
        <f t="shared" ca="1" si="452"/>
        <v>-86.032048901732395</v>
      </c>
      <c r="P989" s="310">
        <f t="shared" ca="1" si="453"/>
        <v>23</v>
      </c>
      <c r="Q989" s="304">
        <f t="shared" ca="1" si="454"/>
        <v>0</v>
      </c>
      <c r="R989" s="306">
        <f t="shared" ca="1" si="455"/>
        <v>0</v>
      </c>
      <c r="S989" s="307">
        <f t="shared" ca="1" si="456"/>
        <v>2.9362999999999984</v>
      </c>
      <c r="T989" s="304">
        <f t="shared" ca="1" si="436"/>
        <v>28.805102999999985</v>
      </c>
      <c r="U989" s="311">
        <f t="shared" ca="1" si="437"/>
        <v>0</v>
      </c>
      <c r="V989" s="306">
        <f t="shared" ca="1" si="438"/>
        <v>1.2268786128726756</v>
      </c>
      <c r="W989" s="304">
        <f t="shared" ca="1" si="439"/>
        <v>27.189738186661558</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0.52663928337615573</v>
      </c>
      <c r="AH989" s="304">
        <f t="shared" ca="1" si="463"/>
        <v>-9.2598448519382686</v>
      </c>
    </row>
    <row r="990" spans="1:34" x14ac:dyDescent="0.2">
      <c r="A990" s="347">
        <f t="shared" ca="1" si="441"/>
        <v>1E-4</v>
      </c>
      <c r="B990" s="304">
        <f t="shared" ca="1" si="442"/>
        <v>37.148100000001818</v>
      </c>
      <c r="D990" s="306">
        <f t="shared" ca="1" si="443"/>
        <v>-0.64076837824992749</v>
      </c>
      <c r="E990" s="307">
        <f t="shared" ca="1" si="444"/>
        <v>-0.57233286060140642</v>
      </c>
      <c r="F990" s="304">
        <f t="shared" ca="1" si="445"/>
        <v>0.85915599159246459</v>
      </c>
      <c r="G990" s="306">
        <f t="shared" ca="1" si="446"/>
        <v>7.2114524802366944</v>
      </c>
      <c r="H990" s="307">
        <f t="shared" ca="1" si="447"/>
        <v>-103.96522122352971</v>
      </c>
      <c r="I990" s="304">
        <f t="shared" ca="1" si="448"/>
        <v>104.2150290070112</v>
      </c>
      <c r="J990" s="306">
        <f t="shared" ca="1" si="449"/>
        <v>837.4075040097224</v>
      </c>
      <c r="K990" s="307">
        <f t="shared" ca="1" si="450"/>
        <v>-15.334261761305173</v>
      </c>
      <c r="L990" s="304">
        <f t="shared" ca="1" si="435"/>
        <v>837.54788958934012</v>
      </c>
      <c r="M990" s="306">
        <f t="shared" ca="1" si="451"/>
        <v>-1.5015431669530586</v>
      </c>
      <c r="N990" s="304">
        <f t="shared" ca="1" si="452"/>
        <v>-86.032086223117801</v>
      </c>
      <c r="P990" s="310">
        <f t="shared" ca="1" si="453"/>
        <v>23</v>
      </c>
      <c r="Q990" s="304">
        <f t="shared" ca="1" si="454"/>
        <v>0</v>
      </c>
      <c r="R990" s="306">
        <f t="shared" ca="1" si="455"/>
        <v>0</v>
      </c>
      <c r="S990" s="307">
        <f t="shared" ca="1" si="456"/>
        <v>2.9362999999999984</v>
      </c>
      <c r="T990" s="304">
        <f t="shared" ca="1" si="436"/>
        <v>28.805102999999985</v>
      </c>
      <c r="U990" s="311">
        <f t="shared" ca="1" si="437"/>
        <v>0</v>
      </c>
      <c r="V990" s="306">
        <f t="shared" ca="1" si="438"/>
        <v>1.226879888400801</v>
      </c>
      <c r="W990" s="304">
        <f t="shared" ca="1" si="439"/>
        <v>27.189793933725184</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0.52662073979455748</v>
      </c>
      <c r="AH990" s="304">
        <f t="shared" ca="1" si="463"/>
        <v>-9.2598638377078544</v>
      </c>
    </row>
    <row r="991" spans="1:34" x14ac:dyDescent="0.2">
      <c r="A991" s="347">
        <f t="shared" ca="1" si="441"/>
        <v>1E-4</v>
      </c>
      <c r="B991" s="304">
        <f t="shared" ca="1" si="442"/>
        <v>37.148200000001822</v>
      </c>
      <c r="D991" s="306">
        <f t="shared" ca="1" si="443"/>
        <v>-0.64076367476214469</v>
      </c>
      <c r="E991" s="307">
        <f t="shared" ca="1" si="444"/>
        <v>-0.57231350324841301</v>
      </c>
      <c r="F991" s="304">
        <f t="shared" ca="1" si="445"/>
        <v>0.85913958871370766</v>
      </c>
      <c r="G991" s="306">
        <f t="shared" ca="1" si="446"/>
        <v>7.2113884038692184</v>
      </c>
      <c r="H991" s="307">
        <f t="shared" ca="1" si="447"/>
        <v>-103.96527845488004</v>
      </c>
      <c r="I991" s="304">
        <f t="shared" ca="1" si="448"/>
        <v>104.21508166725295</v>
      </c>
      <c r="J991" s="306">
        <f t="shared" ca="1" si="449"/>
        <v>837.4075040097224</v>
      </c>
      <c r="K991" s="307">
        <f t="shared" ca="1" si="450"/>
        <v>-15.344658286289095</v>
      </c>
      <c r="L991" s="304">
        <f t="shared" ca="1" si="435"/>
        <v>837.54807999882382</v>
      </c>
      <c r="M991" s="306">
        <f t="shared" ca="1" si="451"/>
        <v>-1.501543818327669</v>
      </c>
      <c r="N991" s="304">
        <f t="shared" ca="1" si="452"/>
        <v>-86.032123544133867</v>
      </c>
      <c r="P991" s="310">
        <f t="shared" ca="1" si="453"/>
        <v>23</v>
      </c>
      <c r="Q991" s="304">
        <f t="shared" ca="1" si="454"/>
        <v>0</v>
      </c>
      <c r="R991" s="306">
        <f t="shared" ca="1" si="455"/>
        <v>0</v>
      </c>
      <c r="S991" s="307">
        <f t="shared" ca="1" si="456"/>
        <v>2.9362999999999984</v>
      </c>
      <c r="T991" s="304">
        <f t="shared" ca="1" si="436"/>
        <v>28.805102999999985</v>
      </c>
      <c r="U991" s="311">
        <f t="shared" ca="1" si="437"/>
        <v>0</v>
      </c>
      <c r="V991" s="306">
        <f t="shared" ca="1" si="438"/>
        <v>1.2268811639309554</v>
      </c>
      <c r="W991" s="304">
        <f t="shared" ca="1" si="439"/>
        <v>27.189849679937204</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0.52660219649445672</v>
      </c>
      <c r="AH991" s="304">
        <f t="shared" ca="1" si="463"/>
        <v>-9.2598828231874126</v>
      </c>
    </row>
    <row r="992" spans="1:34" x14ac:dyDescent="0.2">
      <c r="A992" s="347">
        <f t="shared" ca="1" si="441"/>
        <v>1E-4</v>
      </c>
      <c r="B992" s="304">
        <f t="shared" ca="1" si="442"/>
        <v>37.148300000001825</v>
      </c>
      <c r="D992" s="306">
        <f t="shared" ca="1" si="443"/>
        <v>-0.64075897128889459</v>
      </c>
      <c r="E992" s="307">
        <f t="shared" ca="1" si="444"/>
        <v>-0.57229414619109065</v>
      </c>
      <c r="F992" s="304">
        <f t="shared" ca="1" si="445"/>
        <v>0.85912318619147499</v>
      </c>
      <c r="G992" s="306">
        <f t="shared" ca="1" si="446"/>
        <v>7.2113243279720898</v>
      </c>
      <c r="H992" s="307">
        <f t="shared" ca="1" si="447"/>
        <v>-103.96533568429466</v>
      </c>
      <c r="I992" s="304">
        <f t="shared" ca="1" si="448"/>
        <v>104.21513432564041</v>
      </c>
      <c r="J992" s="306">
        <f t="shared" ca="1" si="449"/>
        <v>837.4075040097224</v>
      </c>
      <c r="K992" s="307">
        <f t="shared" ca="1" si="450"/>
        <v>-15.355054816996054</v>
      </c>
      <c r="L992" s="304">
        <f t="shared" ca="1" si="435"/>
        <v>837.54827053742179</v>
      </c>
      <c r="M992" s="306">
        <f t="shared" ca="1" si="451"/>
        <v>-1.5015444696958338</v>
      </c>
      <c r="N992" s="304">
        <f t="shared" ca="1" si="452"/>
        <v>-86.032160864780607</v>
      </c>
      <c r="P992" s="310">
        <f t="shared" ca="1" si="453"/>
        <v>23</v>
      </c>
      <c r="Q992" s="304">
        <f t="shared" ca="1" si="454"/>
        <v>0</v>
      </c>
      <c r="R992" s="306">
        <f t="shared" ca="1" si="455"/>
        <v>0</v>
      </c>
      <c r="S992" s="307">
        <f t="shared" ca="1" si="456"/>
        <v>2.9362999999999984</v>
      </c>
      <c r="T992" s="304">
        <f t="shared" ca="1" si="436"/>
        <v>28.805102999999985</v>
      </c>
      <c r="U992" s="311">
        <f t="shared" ca="1" si="437"/>
        <v>0</v>
      </c>
      <c r="V992" s="306">
        <f t="shared" ca="1" si="438"/>
        <v>1.2268824394631392</v>
      </c>
      <c r="W992" s="304">
        <f t="shared" ca="1" si="439"/>
        <v>27.189905425297649</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0.52658365347585523</v>
      </c>
      <c r="AH992" s="304">
        <f t="shared" ca="1" si="463"/>
        <v>-9.2599018083769433</v>
      </c>
    </row>
    <row r="993" spans="1:34" x14ac:dyDescent="0.2">
      <c r="A993" s="347">
        <f t="shared" ca="1" si="441"/>
        <v>1E-4</v>
      </c>
      <c r="B993" s="304">
        <f t="shared" ca="1" si="442"/>
        <v>37.148400000001828</v>
      </c>
      <c r="D993" s="306">
        <f t="shared" ca="1" si="443"/>
        <v>-0.64075426783017497</v>
      </c>
      <c r="E993" s="307">
        <f t="shared" ca="1" si="444"/>
        <v>-0.57227478942942689</v>
      </c>
      <c r="F993" s="304">
        <f t="shared" ca="1" si="445"/>
        <v>0.85910678402575691</v>
      </c>
      <c r="G993" s="306">
        <f t="shared" ca="1" si="446"/>
        <v>7.2112602525453067</v>
      </c>
      <c r="H993" s="307">
        <f t="shared" ca="1" si="447"/>
        <v>-103.96539291177361</v>
      </c>
      <c r="I993" s="304">
        <f t="shared" ca="1" si="448"/>
        <v>104.21518698217359</v>
      </c>
      <c r="J993" s="306">
        <f t="shared" ca="1" si="449"/>
        <v>837.4075040097224</v>
      </c>
      <c r="K993" s="307">
        <f t="shared" ca="1" si="450"/>
        <v>-15.365451353425858</v>
      </c>
      <c r="L993" s="304">
        <f t="shared" ca="1" si="435"/>
        <v>837.54846120513389</v>
      </c>
      <c r="M993" s="306">
        <f t="shared" ca="1" si="451"/>
        <v>-1.5015451210575523</v>
      </c>
      <c r="N993" s="304">
        <f t="shared" ca="1" si="452"/>
        <v>-86.032198185058022</v>
      </c>
      <c r="P993" s="310">
        <f t="shared" ca="1" si="453"/>
        <v>23</v>
      </c>
      <c r="Q993" s="304">
        <f t="shared" ca="1" si="454"/>
        <v>0</v>
      </c>
      <c r="R993" s="306">
        <f t="shared" ca="1" si="455"/>
        <v>0</v>
      </c>
      <c r="S993" s="307">
        <f t="shared" ca="1" si="456"/>
        <v>2.9362999999999984</v>
      </c>
      <c r="T993" s="304">
        <f t="shared" ca="1" si="436"/>
        <v>28.805102999999985</v>
      </c>
      <c r="U993" s="311">
        <f t="shared" ca="1" si="437"/>
        <v>0</v>
      </c>
      <c r="V993" s="306">
        <f t="shared" ca="1" si="438"/>
        <v>1.2268837149973526</v>
      </c>
      <c r="W993" s="304">
        <f t="shared" ca="1" si="439"/>
        <v>27.189961169806516</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0.52656511073874235</v>
      </c>
      <c r="AH993" s="304">
        <f t="shared" ca="1" si="463"/>
        <v>-9.2599207932764589</v>
      </c>
    </row>
    <row r="994" spans="1:34" x14ac:dyDescent="0.2">
      <c r="A994" s="347">
        <f t="shared" ca="1" si="441"/>
        <v>1E-4</v>
      </c>
      <c r="B994" s="304">
        <f t="shared" ca="1" si="442"/>
        <v>37.148500000001832</v>
      </c>
      <c r="D994" s="306">
        <f t="shared" ca="1" si="443"/>
        <v>-0.64074956438599029</v>
      </c>
      <c r="E994" s="307">
        <f t="shared" ca="1" si="444"/>
        <v>-0.57225543296342529</v>
      </c>
      <c r="F994" s="304">
        <f t="shared" ca="1" si="445"/>
        <v>0.8590903822165592</v>
      </c>
      <c r="G994" s="306">
        <f t="shared" ca="1" si="446"/>
        <v>7.2111961775888682</v>
      </c>
      <c r="H994" s="307">
        <f t="shared" ca="1" si="447"/>
        <v>-103.96545013731691</v>
      </c>
      <c r="I994" s="304">
        <f t="shared" ca="1" si="448"/>
        <v>104.21523963685253</v>
      </c>
      <c r="J994" s="306">
        <f t="shared" ca="1" si="449"/>
        <v>837.4075040097224</v>
      </c>
      <c r="K994" s="307">
        <f t="shared" ca="1" si="450"/>
        <v>-15.375847895578312</v>
      </c>
      <c r="L994" s="304">
        <f t="shared" ca="1" si="435"/>
        <v>837.54865200196059</v>
      </c>
      <c r="M994" s="306">
        <f t="shared" ca="1" si="451"/>
        <v>-1.5015457724128254</v>
      </c>
      <c r="N994" s="304">
        <f t="shared" ca="1" si="452"/>
        <v>-86.032235504966138</v>
      </c>
      <c r="P994" s="310">
        <f t="shared" ca="1" si="453"/>
        <v>23</v>
      </c>
      <c r="Q994" s="304">
        <f t="shared" ca="1" si="454"/>
        <v>0</v>
      </c>
      <c r="R994" s="306">
        <f t="shared" ca="1" si="455"/>
        <v>0</v>
      </c>
      <c r="S994" s="307">
        <f t="shared" ca="1" si="456"/>
        <v>2.9362999999999984</v>
      </c>
      <c r="T994" s="304">
        <f t="shared" ca="1" si="436"/>
        <v>28.805102999999985</v>
      </c>
      <c r="U994" s="311">
        <f t="shared" ca="1" si="437"/>
        <v>0</v>
      </c>
      <c r="V994" s="306">
        <f t="shared" ca="1" si="438"/>
        <v>1.2268849905335948</v>
      </c>
      <c r="W994" s="304">
        <f t="shared" ca="1" si="439"/>
        <v>27.190016913463811</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0.52654656828311985</v>
      </c>
      <c r="AH994" s="304">
        <f t="shared" ca="1" si="463"/>
        <v>-9.2599397778859558</v>
      </c>
    </row>
    <row r="995" spans="1:34" x14ac:dyDescent="0.2">
      <c r="A995" s="347">
        <f t="shared" ca="1" si="441"/>
        <v>1E-4</v>
      </c>
      <c r="B995" s="304">
        <f t="shared" ca="1" si="442"/>
        <v>37.148600000001835</v>
      </c>
      <c r="D995" s="306">
        <f t="shared" ca="1" si="443"/>
        <v>-0.64074486095633598</v>
      </c>
      <c r="E995" s="307">
        <f t="shared" ca="1" si="444"/>
        <v>-0.57223607679308053</v>
      </c>
      <c r="F995" s="304">
        <f t="shared" ca="1" si="445"/>
        <v>0.85907398076387498</v>
      </c>
      <c r="G995" s="306">
        <f t="shared" ca="1" si="446"/>
        <v>7.2111321031027726</v>
      </c>
      <c r="H995" s="307">
        <f t="shared" ca="1" si="447"/>
        <v>-103.96550736092459</v>
      </c>
      <c r="I995" s="304">
        <f t="shared" ca="1" si="448"/>
        <v>104.21529228967727</v>
      </c>
      <c r="J995" s="306">
        <f t="shared" ca="1" si="449"/>
        <v>837.4075040097224</v>
      </c>
      <c r="K995" s="307">
        <f t="shared" ca="1" si="450"/>
        <v>-15.386244443453224</v>
      </c>
      <c r="L995" s="304">
        <f t="shared" ca="1" si="435"/>
        <v>837.54884292790166</v>
      </c>
      <c r="M995" s="306">
        <f t="shared" ca="1" si="451"/>
        <v>-1.5015464237616525</v>
      </c>
      <c r="N995" s="304">
        <f t="shared" ca="1" si="452"/>
        <v>-86.032272824504915</v>
      </c>
      <c r="P995" s="310">
        <f t="shared" ca="1" si="453"/>
        <v>23</v>
      </c>
      <c r="Q995" s="304">
        <f t="shared" ca="1" si="454"/>
        <v>0</v>
      </c>
      <c r="R995" s="306">
        <f t="shared" ca="1" si="455"/>
        <v>0</v>
      </c>
      <c r="S995" s="307">
        <f t="shared" ca="1" si="456"/>
        <v>2.9362999999999984</v>
      </c>
      <c r="T995" s="304">
        <f t="shared" ca="1" si="436"/>
        <v>28.805102999999985</v>
      </c>
      <c r="U995" s="311">
        <f t="shared" ca="1" si="437"/>
        <v>0</v>
      </c>
      <c r="V995" s="306">
        <f t="shared" ca="1" si="438"/>
        <v>1.2268862660718665</v>
      </c>
      <c r="W995" s="304">
        <f t="shared" ca="1" si="439"/>
        <v>27.19007265626955</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0.52652802610898419</v>
      </c>
      <c r="AH995" s="304">
        <f t="shared" ca="1" si="463"/>
        <v>-9.2599587622054376</v>
      </c>
    </row>
    <row r="996" spans="1:34" x14ac:dyDescent="0.2">
      <c r="A996" s="347">
        <f t="shared" ca="1" si="441"/>
        <v>1E-4</v>
      </c>
      <c r="B996" s="304">
        <f t="shared" ca="1" si="442"/>
        <v>37.148700000001838</v>
      </c>
      <c r="D996" s="306">
        <f t="shared" ca="1" si="443"/>
        <v>-0.64074015754121716</v>
      </c>
      <c r="E996" s="307">
        <f t="shared" ca="1" si="444"/>
        <v>-0.57221672091838904</v>
      </c>
      <c r="F996" s="304">
        <f t="shared" ca="1" si="445"/>
        <v>0.85905757966770624</v>
      </c>
      <c r="G996" s="306">
        <f t="shared" ca="1" si="446"/>
        <v>7.2110680290870182</v>
      </c>
      <c r="H996" s="307">
        <f t="shared" ca="1" si="447"/>
        <v>-103.96556458259668</v>
      </c>
      <c r="I996" s="304">
        <f t="shared" ca="1" si="448"/>
        <v>104.21534494064778</v>
      </c>
      <c r="J996" s="306">
        <f t="shared" ca="1" si="449"/>
        <v>837.4075040097224</v>
      </c>
      <c r="K996" s="307">
        <f t="shared" ca="1" si="450"/>
        <v>-15.396640997050399</v>
      </c>
      <c r="L996" s="304">
        <f t="shared" ca="1" si="435"/>
        <v>837.54903398295755</v>
      </c>
      <c r="M996" s="306">
        <f t="shared" ca="1" si="451"/>
        <v>-1.5015470751040341</v>
      </c>
      <c r="N996" s="304">
        <f t="shared" ca="1" si="452"/>
        <v>-86.032310143674394</v>
      </c>
      <c r="P996" s="310">
        <f t="shared" ca="1" si="453"/>
        <v>23</v>
      </c>
      <c r="Q996" s="304">
        <f t="shared" ca="1" si="454"/>
        <v>0</v>
      </c>
      <c r="R996" s="306">
        <f t="shared" ca="1" si="455"/>
        <v>0</v>
      </c>
      <c r="S996" s="307">
        <f t="shared" ca="1" si="456"/>
        <v>2.9362999999999984</v>
      </c>
      <c r="T996" s="304">
        <f t="shared" ca="1" si="436"/>
        <v>28.805102999999985</v>
      </c>
      <c r="U996" s="311">
        <f t="shared" ca="1" si="437"/>
        <v>0</v>
      </c>
      <c r="V996" s="306">
        <f t="shared" ca="1" si="438"/>
        <v>1.2268875416121672</v>
      </c>
      <c r="W996" s="304">
        <f t="shared" ca="1" si="439"/>
        <v>27.190128398223727</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0.52650948421633181</v>
      </c>
      <c r="AH996" s="304">
        <f t="shared" ca="1" si="463"/>
        <v>-9.2599777462349095</v>
      </c>
    </row>
    <row r="997" spans="1:34" x14ac:dyDescent="0.2">
      <c r="A997" s="347">
        <f t="shared" ca="1" si="441"/>
        <v>1E-4</v>
      </c>
      <c r="B997" s="304">
        <f t="shared" ca="1" si="442"/>
        <v>37.148800000001842</v>
      </c>
      <c r="D997" s="306">
        <f t="shared" ca="1" si="443"/>
        <v>-0.64073545414063071</v>
      </c>
      <c r="E997" s="307">
        <f t="shared" ca="1" si="444"/>
        <v>-0.57219736533935084</v>
      </c>
      <c r="F997" s="304">
        <f t="shared" ca="1" si="445"/>
        <v>0.85904117892805043</v>
      </c>
      <c r="G997" s="306">
        <f t="shared" ca="1" si="446"/>
        <v>7.2110039555416039</v>
      </c>
      <c r="H997" s="307">
        <f t="shared" ca="1" si="447"/>
        <v>-103.96562180233322</v>
      </c>
      <c r="I997" s="304">
        <f t="shared" ca="1" si="448"/>
        <v>104.21539758976415</v>
      </c>
      <c r="J997" s="306">
        <f t="shared" ca="1" si="449"/>
        <v>837.4075040097224</v>
      </c>
      <c r="K997" s="307">
        <f t="shared" ca="1" si="450"/>
        <v>-15.407037556369646</v>
      </c>
      <c r="L997" s="304">
        <f t="shared" ca="1" si="435"/>
        <v>837.54922516712804</v>
      </c>
      <c r="M997" s="306">
        <f t="shared" ca="1" si="451"/>
        <v>-1.5015477264399699</v>
      </c>
      <c r="N997" s="304">
        <f t="shared" ca="1" si="452"/>
        <v>-86.032347462474576</v>
      </c>
      <c r="P997" s="310">
        <f t="shared" ca="1" si="453"/>
        <v>23</v>
      </c>
      <c r="Q997" s="304">
        <f t="shared" ca="1" si="454"/>
        <v>0</v>
      </c>
      <c r="R997" s="306">
        <f t="shared" ca="1" si="455"/>
        <v>0</v>
      </c>
      <c r="S997" s="307">
        <f t="shared" ca="1" si="456"/>
        <v>2.9362999999999984</v>
      </c>
      <c r="T997" s="304">
        <f t="shared" ca="1" si="436"/>
        <v>28.805102999999985</v>
      </c>
      <c r="U997" s="311">
        <f t="shared" ca="1" si="437"/>
        <v>0</v>
      </c>
      <c r="V997" s="306">
        <f t="shared" ca="1" si="438"/>
        <v>1.2268888171544969</v>
      </c>
      <c r="W997" s="304">
        <f t="shared" ca="1" si="439"/>
        <v>27.190184139326377</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0.52649094260516449</v>
      </c>
      <c r="AH997" s="304">
        <f t="shared" ca="1" si="463"/>
        <v>-9.25999672997437</v>
      </c>
    </row>
    <row r="998" spans="1:34" x14ac:dyDescent="0.2">
      <c r="A998" s="347">
        <f t="shared" ca="1" si="441"/>
        <v>1E-4</v>
      </c>
      <c r="B998" s="304">
        <f t="shared" ca="1" si="442"/>
        <v>37.148900000001845</v>
      </c>
      <c r="D998" s="306">
        <f t="shared" ca="1" si="443"/>
        <v>-0.64073075075458019</v>
      </c>
      <c r="E998" s="307">
        <f t="shared" ca="1" si="444"/>
        <v>-0.57217801005595881</v>
      </c>
      <c r="F998" s="304">
        <f t="shared" ca="1" si="445"/>
        <v>0.85902477854490611</v>
      </c>
      <c r="G998" s="306">
        <f t="shared" ca="1" si="446"/>
        <v>7.2109398824665281</v>
      </c>
      <c r="H998" s="307">
        <f t="shared" ca="1" si="447"/>
        <v>-103.96567902013422</v>
      </c>
      <c r="I998" s="304">
        <f t="shared" ca="1" si="448"/>
        <v>104.21545023702639</v>
      </c>
      <c r="J998" s="306">
        <f t="shared" ca="1" si="449"/>
        <v>837.4075040097224</v>
      </c>
      <c r="K998" s="307">
        <f t="shared" ca="1" si="450"/>
        <v>-15.41743412141077</v>
      </c>
      <c r="L998" s="304">
        <f t="shared" ca="1" si="435"/>
        <v>837.54941648041358</v>
      </c>
      <c r="M998" s="306">
        <f t="shared" ca="1" si="451"/>
        <v>-1.5015483777694605</v>
      </c>
      <c r="N998" s="304">
        <f t="shared" ca="1" si="452"/>
        <v>-86.032384780905446</v>
      </c>
      <c r="P998" s="310">
        <f t="shared" ca="1" si="453"/>
        <v>23</v>
      </c>
      <c r="Q998" s="304">
        <f t="shared" ca="1" si="454"/>
        <v>0</v>
      </c>
      <c r="R998" s="306">
        <f t="shared" ca="1" si="455"/>
        <v>0</v>
      </c>
      <c r="S998" s="307">
        <f t="shared" ca="1" si="456"/>
        <v>2.9362999999999984</v>
      </c>
      <c r="T998" s="304">
        <f t="shared" ca="1" si="436"/>
        <v>28.805102999999985</v>
      </c>
      <c r="U998" s="311">
        <f t="shared" ca="1" si="437"/>
        <v>0</v>
      </c>
      <c r="V998" s="306">
        <f t="shared" ca="1" si="438"/>
        <v>1.2268900926988562</v>
      </c>
      <c r="W998" s="304">
        <f t="shared" ca="1" si="439"/>
        <v>27.190239879577497</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0.52647240127546979</v>
      </c>
      <c r="AH998" s="304">
        <f t="shared" ca="1" si="463"/>
        <v>-9.2600157134238295</v>
      </c>
    </row>
    <row r="999" spans="1:34" x14ac:dyDescent="0.2">
      <c r="A999" s="347">
        <f t="shared" ca="1" si="441"/>
        <v>1E-4</v>
      </c>
      <c r="B999" s="304">
        <f t="shared" ca="1" si="442"/>
        <v>37.149000000001848</v>
      </c>
      <c r="D999" s="306">
        <f t="shared" ca="1" si="443"/>
        <v>-0.64072604738306271</v>
      </c>
      <c r="E999" s="307">
        <f t="shared" ca="1" si="444"/>
        <v>-0.57215865506820762</v>
      </c>
      <c r="F999" s="304">
        <f t="shared" ca="1" si="445"/>
        <v>0.85900837851826739</v>
      </c>
      <c r="G999" s="306">
        <f t="shared" ca="1" si="446"/>
        <v>7.2108758098617898</v>
      </c>
      <c r="H999" s="307">
        <f t="shared" ca="1" si="447"/>
        <v>-103.96573623599973</v>
      </c>
      <c r="I999" s="304">
        <f t="shared" ca="1" si="448"/>
        <v>104.21550288243451</v>
      </c>
      <c r="J999" s="306">
        <f t="shared" ca="1" si="449"/>
        <v>837.4075040097224</v>
      </c>
      <c r="K999" s="307">
        <f t="shared" ca="1" si="450"/>
        <v>-15.427830692173575</v>
      </c>
      <c r="L999" s="304">
        <f t="shared" ca="1" si="435"/>
        <v>837.54960792281406</v>
      </c>
      <c r="M999" s="306">
        <f t="shared" ca="1" si="451"/>
        <v>-1.5015490290925053</v>
      </c>
      <c r="N999" s="304">
        <f t="shared" ca="1" si="452"/>
        <v>-86.032422098967018</v>
      </c>
      <c r="P999" s="310">
        <f t="shared" ca="1" si="453"/>
        <v>23</v>
      </c>
      <c r="Q999" s="304">
        <f t="shared" ca="1" si="454"/>
        <v>0</v>
      </c>
      <c r="R999" s="306">
        <f t="shared" ca="1" si="455"/>
        <v>0</v>
      </c>
      <c r="S999" s="307">
        <f t="shared" ca="1" si="456"/>
        <v>2.9362999999999984</v>
      </c>
      <c r="T999" s="304">
        <f t="shared" ca="1" si="436"/>
        <v>28.805102999999985</v>
      </c>
      <c r="U999" s="311">
        <f t="shared" ca="1" si="437"/>
        <v>0</v>
      </c>
      <c r="V999" s="306">
        <f t="shared" ca="1" si="438"/>
        <v>1.2268913682452445</v>
      </c>
      <c r="W999" s="304">
        <f t="shared" ca="1" si="439"/>
        <v>27.190295618977093</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0.52645386022724594</v>
      </c>
      <c r="AH999" s="304">
        <f t="shared" ca="1" si="463"/>
        <v>-9.2600346965832898</v>
      </c>
    </row>
    <row r="1000" spans="1:34" x14ac:dyDescent="0.2">
      <c r="A1000" s="347">
        <f t="shared" ca="1" si="441"/>
        <v>1E-4</v>
      </c>
      <c r="B1000" s="304">
        <f t="shared" ca="1" si="442"/>
        <v>37.149100000001852</v>
      </c>
      <c r="D1000" s="306">
        <f t="shared" ca="1" si="443"/>
        <v>-0.64072134402608327</v>
      </c>
      <c r="E1000" s="307">
        <f t="shared" ca="1" si="444"/>
        <v>-0.57213930037609728</v>
      </c>
      <c r="F1000" s="304">
        <f t="shared" ca="1" si="445"/>
        <v>0.85899197884813838</v>
      </c>
      <c r="G1000" s="306">
        <f t="shared" ca="1" si="446"/>
        <v>7.2108117377273873</v>
      </c>
      <c r="H1000" s="307">
        <f t="shared" ca="1" si="447"/>
        <v>-103.96579344992976</v>
      </c>
      <c r="I1000" s="304">
        <f t="shared" ca="1" si="448"/>
        <v>104.21555552598856</v>
      </c>
      <c r="J1000" s="306">
        <f t="shared" ca="1" si="449"/>
        <v>837.4075040097224</v>
      </c>
      <c r="K1000" s="307">
        <f t="shared" ca="1" si="450"/>
        <v>-15.438227268657872</v>
      </c>
      <c r="L1000" s="304">
        <f t="shared" ca="1" si="435"/>
        <v>837.5497994943297</v>
      </c>
      <c r="M1000" s="306">
        <f t="shared" ca="1" si="451"/>
        <v>-1.5015496804091051</v>
      </c>
      <c r="N1000" s="304">
        <f t="shared" ca="1" si="452"/>
        <v>-86.032459416659307</v>
      </c>
      <c r="P1000" s="310">
        <f t="shared" ca="1" si="453"/>
        <v>23</v>
      </c>
      <c r="Q1000" s="304">
        <f t="shared" ca="1" si="454"/>
        <v>0</v>
      </c>
      <c r="R1000" s="306">
        <f t="shared" ca="1" si="455"/>
        <v>0</v>
      </c>
      <c r="S1000" s="307">
        <f t="shared" ca="1" si="456"/>
        <v>2.9362999999999984</v>
      </c>
      <c r="T1000" s="304">
        <f t="shared" ca="1" si="436"/>
        <v>28.805102999999985</v>
      </c>
      <c r="U1000" s="311">
        <f t="shared" ca="1" si="437"/>
        <v>0</v>
      </c>
      <c r="V1000" s="306">
        <f t="shared" ca="1" si="438"/>
        <v>1.2268926437936618</v>
      </c>
      <c r="W1000" s="304">
        <f t="shared" ca="1" si="439"/>
        <v>27.190351357525188</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0.52643531946050004</v>
      </c>
      <c r="AH1000" s="304">
        <f t="shared" ca="1" si="463"/>
        <v>-9.2600536794527493</v>
      </c>
    </row>
    <row r="1001" spans="1:34" x14ac:dyDescent="0.2">
      <c r="A1001" s="347">
        <f t="shared" ca="1" si="441"/>
        <v>1E-4</v>
      </c>
      <c r="B1001" s="304">
        <f t="shared" ca="1" si="442"/>
        <v>37.149200000001855</v>
      </c>
      <c r="D1001" s="306">
        <f t="shared" ca="1" si="443"/>
        <v>-0.64071664068363721</v>
      </c>
      <c r="E1001" s="307">
        <f t="shared" ca="1" si="444"/>
        <v>-0.57211994597962423</v>
      </c>
      <c r="F1001" s="304">
        <f t="shared" ca="1" si="445"/>
        <v>0.85897557953451353</v>
      </c>
      <c r="G1001" s="306">
        <f t="shared" ca="1" si="446"/>
        <v>7.2107476660633187</v>
      </c>
      <c r="H1001" s="307">
        <f t="shared" ca="1" si="447"/>
        <v>-103.96585066192436</v>
      </c>
      <c r="I1001" s="304">
        <f t="shared" ca="1" si="448"/>
        <v>104.21560816768857</v>
      </c>
      <c r="J1001" s="306">
        <f t="shared" ca="1" si="449"/>
        <v>837.4075040097224</v>
      </c>
      <c r="K1001" s="307">
        <f t="shared" ca="1" si="450"/>
        <v>-15.448623850863465</v>
      </c>
      <c r="L1001" s="304">
        <f t="shared" ca="1" si="435"/>
        <v>837.54999119496063</v>
      </c>
      <c r="M1001" s="306">
        <f t="shared" ca="1" si="451"/>
        <v>-1.5015503317192596</v>
      </c>
      <c r="N1001" s="304">
        <f t="shared" ca="1" si="452"/>
        <v>-86.032496733982313</v>
      </c>
      <c r="P1001" s="310">
        <f t="shared" ca="1" si="453"/>
        <v>23</v>
      </c>
      <c r="Q1001" s="304">
        <f t="shared" ca="1" si="454"/>
        <v>0</v>
      </c>
      <c r="R1001" s="306">
        <f t="shared" ca="1" si="455"/>
        <v>0</v>
      </c>
      <c r="S1001" s="307">
        <f t="shared" ca="1" si="456"/>
        <v>2.9362999999999984</v>
      </c>
      <c r="T1001" s="304">
        <f t="shared" ca="1" si="436"/>
        <v>28.805102999999985</v>
      </c>
      <c r="U1001" s="311">
        <f t="shared" ca="1" si="437"/>
        <v>0</v>
      </c>
      <c r="V1001" s="306">
        <f t="shared" ca="1" si="438"/>
        <v>1.2268939193441086</v>
      </c>
      <c r="W1001" s="304">
        <f t="shared" ca="1" si="439"/>
        <v>27.19040709522179</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0.5264167789752161</v>
      </c>
      <c r="AH1001" s="304">
        <f t="shared" ca="1" si="463"/>
        <v>-9.2600726620322185</v>
      </c>
    </row>
    <row r="1002" spans="1:34" x14ac:dyDescent="0.2">
      <c r="A1002" s="347">
        <f t="shared" ca="1" si="441"/>
        <v>1E-4</v>
      </c>
      <c r="B1002" s="304">
        <f t="shared" ca="1" si="442"/>
        <v>37.149300000001858</v>
      </c>
      <c r="D1002" s="306">
        <f t="shared" ca="1" si="443"/>
        <v>-0.64071193735572762</v>
      </c>
      <c r="E1002" s="307">
        <f t="shared" ca="1" si="444"/>
        <v>-0.5721005918787796</v>
      </c>
      <c r="F1002" s="304">
        <f t="shared" ca="1" si="445"/>
        <v>0.85895918057738918</v>
      </c>
      <c r="G1002" s="306">
        <f t="shared" ca="1" si="446"/>
        <v>7.2106835948695833</v>
      </c>
      <c r="H1002" s="307">
        <f t="shared" ca="1" si="447"/>
        <v>-103.96590787198355</v>
      </c>
      <c r="I1002" s="304">
        <f t="shared" ca="1" si="448"/>
        <v>104.21566080753453</v>
      </c>
      <c r="J1002" s="306">
        <f t="shared" ca="1" si="449"/>
        <v>837.4075040097224</v>
      </c>
      <c r="K1002" s="307">
        <f t="shared" ca="1" si="450"/>
        <v>-15.45902043879016</v>
      </c>
      <c r="L1002" s="304">
        <f t="shared" ca="1" si="435"/>
        <v>837.55018302470705</v>
      </c>
      <c r="M1002" s="306">
        <f t="shared" ca="1" si="451"/>
        <v>-1.5015509830229687</v>
      </c>
      <c r="N1002" s="304">
        <f t="shared" ca="1" si="452"/>
        <v>-86.032534050936036</v>
      </c>
      <c r="P1002" s="310">
        <f t="shared" ca="1" si="453"/>
        <v>23</v>
      </c>
      <c r="Q1002" s="304">
        <f t="shared" ca="1" si="454"/>
        <v>0</v>
      </c>
      <c r="R1002" s="306">
        <f t="shared" ca="1" si="455"/>
        <v>0</v>
      </c>
      <c r="S1002" s="307">
        <f t="shared" ca="1" si="456"/>
        <v>2.9362999999999984</v>
      </c>
      <c r="T1002" s="304">
        <f t="shared" ca="1" si="436"/>
        <v>28.805102999999985</v>
      </c>
      <c r="U1002" s="311">
        <f t="shared" ca="1" si="437"/>
        <v>0</v>
      </c>
      <c r="V1002" s="306">
        <f t="shared" ca="1" si="438"/>
        <v>1.2268951948965841</v>
      </c>
      <c r="W1002" s="304">
        <f t="shared" ca="1" si="439"/>
        <v>27.190462832066874</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0.52639823877139413</v>
      </c>
      <c r="AH1002" s="304">
        <f t="shared" ca="1" si="463"/>
        <v>-9.2600916443216992</v>
      </c>
    </row>
    <row r="1003" spans="1:34" x14ac:dyDescent="0.2">
      <c r="A1003" s="347">
        <f t="shared" ca="1" si="441"/>
        <v>1E-4</v>
      </c>
      <c r="B1003" s="304">
        <f t="shared" ca="1" si="442"/>
        <v>37.149400000001862</v>
      </c>
      <c r="D1003" s="306">
        <f t="shared" ca="1" si="443"/>
        <v>-0.64070723404235497</v>
      </c>
      <c r="E1003" s="307">
        <f t="shared" ca="1" si="444"/>
        <v>-0.57208123807357403</v>
      </c>
      <c r="F1003" s="304">
        <f t="shared" ca="1" si="445"/>
        <v>0.8589427819767731</v>
      </c>
      <c r="G1003" s="306">
        <f t="shared" ca="1" si="446"/>
        <v>7.2106195241461792</v>
      </c>
      <c r="H1003" s="307">
        <f t="shared" ca="1" si="447"/>
        <v>-103.96596508010735</v>
      </c>
      <c r="I1003" s="304">
        <f t="shared" ca="1" si="448"/>
        <v>104.21571344552653</v>
      </c>
      <c r="J1003" s="306">
        <f t="shared" ca="1" si="449"/>
        <v>837.4075040097224</v>
      </c>
      <c r="K1003" s="307">
        <f t="shared" ca="1" si="450"/>
        <v>-15.469417032437764</v>
      </c>
      <c r="L1003" s="304">
        <f t="shared" ca="1" si="435"/>
        <v>837.55037498356876</v>
      </c>
      <c r="M1003" s="306">
        <f t="shared" ca="1" si="451"/>
        <v>-1.5015516343202329</v>
      </c>
      <c r="N1003" s="304">
        <f t="shared" ca="1" si="452"/>
        <v>-86.032571367520475</v>
      </c>
      <c r="P1003" s="310">
        <f t="shared" ca="1" si="453"/>
        <v>23</v>
      </c>
      <c r="Q1003" s="304">
        <f t="shared" ca="1" si="454"/>
        <v>0</v>
      </c>
      <c r="R1003" s="306">
        <f t="shared" ca="1" si="455"/>
        <v>0</v>
      </c>
      <c r="S1003" s="307">
        <f t="shared" ca="1" si="456"/>
        <v>2.9362999999999984</v>
      </c>
      <c r="T1003" s="304">
        <f t="shared" ca="1" si="436"/>
        <v>28.805102999999985</v>
      </c>
      <c r="U1003" s="311">
        <f t="shared" ca="1" si="437"/>
        <v>0</v>
      </c>
      <c r="V1003" s="306">
        <f ca="1">Rho_moyen*(20000-Alt_rampe-pos_z)/(20000+Alt_rampe+pos_z)</f>
        <v>1.2268964704510883</v>
      </c>
      <c r="W1003" s="304">
        <f t="shared" ca="1" si="439"/>
        <v>27.190518568060501</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0.52637969884904301</v>
      </c>
      <c r="AH1003" s="304">
        <f t="shared" ca="1" si="463"/>
        <v>-9.2601106263211825</v>
      </c>
    </row>
    <row r="1004" spans="1:34" x14ac:dyDescent="0.2">
      <c r="A1004" s="348">
        <f t="shared" ca="1" si="441"/>
        <v>1E-4</v>
      </c>
      <c r="B1004" s="305">
        <f t="shared" ca="1" si="442"/>
        <v>37.149500000001865</v>
      </c>
      <c r="D1004" s="308">
        <f t="shared" ca="1" si="443"/>
        <v>-0.64070253074351946</v>
      </c>
      <c r="E1004" s="309">
        <f t="shared" ca="1" si="444"/>
        <v>-0.57206188456398799</v>
      </c>
      <c r="F1004" s="305">
        <f t="shared" ca="1" si="445"/>
        <v>0.85892638373265262</v>
      </c>
      <c r="G1004" s="308">
        <f t="shared" ca="1" si="446"/>
        <v>7.2105554538931047</v>
      </c>
      <c r="H1004" s="309">
        <f t="shared" ca="1" si="447"/>
        <v>-103.96602228629581</v>
      </c>
      <c r="I1004" s="305">
        <f t="shared" ca="1" si="448"/>
        <v>104.21576608166455</v>
      </c>
      <c r="J1004" s="308">
        <f t="shared" ca="1" si="449"/>
        <v>837.4075040097224</v>
      </c>
      <c r="K1004" s="309">
        <f t="shared" ca="1" si="450"/>
        <v>-15.479813631806085</v>
      </c>
      <c r="L1004" s="305">
        <f t="shared" ca="1" si="435"/>
        <v>837.5505670715462</v>
      </c>
      <c r="M1004" s="308">
        <f t="shared" ca="1" si="451"/>
        <v>-1.5015522856110521</v>
      </c>
      <c r="N1004" s="305">
        <f t="shared" ca="1" si="452"/>
        <v>-86.03260868373566</v>
      </c>
      <c r="P1004" s="312">
        <f t="shared" ca="1" si="453"/>
        <v>23</v>
      </c>
      <c r="Q1004" s="305">
        <f t="shared" ca="1" si="454"/>
        <v>0</v>
      </c>
      <c r="R1004" s="308">
        <f t="shared" ca="1" si="455"/>
        <v>0</v>
      </c>
      <c r="S1004" s="309">
        <f t="shared" ca="1" si="456"/>
        <v>2.9362999999999984</v>
      </c>
      <c r="T1004" s="305">
        <f t="shared" ca="1" si="436"/>
        <v>28.805102999999985</v>
      </c>
      <c r="U1004" s="313">
        <f t="shared" ca="1" si="437"/>
        <v>0</v>
      </c>
      <c r="V1004" s="308">
        <f t="shared" ca="1" si="438"/>
        <v>1.2268977460076222</v>
      </c>
      <c r="W1004" s="305">
        <f ca="1">1/2*Rho*Sref*Cx*vit_xz^2</f>
        <v>27.190574303202666</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0.52636115920814142</v>
      </c>
      <c r="AH1004" s="305">
        <f t="shared" ca="1" si="463"/>
        <v>-9.2601296080306899</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632" t="s">
        <v>281</v>
      </c>
      <c r="D2" s="632"/>
      <c r="M2" s="75"/>
    </row>
    <row r="3" spans="1:13" ht="12.75" customHeight="1" x14ac:dyDescent="0.2">
      <c r="A3" s="56"/>
      <c r="B3" s="2"/>
      <c r="C3" s="632"/>
      <c r="D3" s="632"/>
      <c r="M3" s="75"/>
    </row>
    <row r="4" spans="1:13" x14ac:dyDescent="0.2">
      <c r="A4" s="56"/>
      <c r="B4" s="2"/>
      <c r="C4" s="636" t="str">
        <f>IF(Lang="Français","Abaques de performance",IF(Lang="English","Performance charts",""))</f>
        <v>Abaques de performance</v>
      </c>
      <c r="D4" s="636"/>
      <c r="M4" s="75"/>
    </row>
    <row r="5" spans="1:13" x14ac:dyDescent="0.2">
      <c r="A5" s="56"/>
      <c r="B5" s="2"/>
      <c r="C5" s="636" t="str">
        <f>IF(Lang="Français","Calcul analytique simple",IF(Lang="English","Analytical computation",""))</f>
        <v>Calcul analytique simple</v>
      </c>
      <c r="D5" s="636"/>
      <c r="M5" s="75"/>
    </row>
    <row r="6" spans="1:13" x14ac:dyDescent="0.2">
      <c r="A6" s="56"/>
      <c r="B6" s="87"/>
      <c r="C6" s="1"/>
      <c r="D6" s="1"/>
      <c r="M6" s="75"/>
    </row>
    <row r="7" spans="1:13" x14ac:dyDescent="0.2">
      <c r="A7" s="59"/>
      <c r="B7" s="6"/>
      <c r="C7" s="612" t="str">
        <f>IF(Lang="Français","Fusée",IF(Lang="English","Rocket",""))</f>
        <v>Fusée</v>
      </c>
      <c r="D7" s="612"/>
      <c r="M7" s="75"/>
    </row>
    <row r="8" spans="1:13" ht="15.75" x14ac:dyDescent="0.25">
      <c r="A8" s="59"/>
      <c r="B8" s="140" t="str">
        <f>IF(Lang="Français","Nom",IF(Lang="English","Name",""))</f>
        <v>Nom</v>
      </c>
      <c r="C8" s="633" t="str">
        <f>Nom</f>
        <v>SP02-Beta</v>
      </c>
      <c r="D8" s="633"/>
      <c r="M8" s="75"/>
    </row>
    <row r="9" spans="1:13" ht="15.75" x14ac:dyDescent="0.25">
      <c r="A9" s="59"/>
      <c r="B9" s="140" t="s">
        <v>4</v>
      </c>
      <c r="C9" s="633" t="str">
        <f>Club</f>
        <v>L'AéroIPSA</v>
      </c>
      <c r="D9" s="633"/>
      <c r="M9" s="75"/>
    </row>
    <row r="10" spans="1:13" ht="15.75" x14ac:dyDescent="0.25">
      <c r="A10" s="59"/>
      <c r="B10" s="140" t="s">
        <v>563</v>
      </c>
      <c r="C10" s="662" t="str">
        <f>Matricule</f>
        <v>FX5</v>
      </c>
      <c r="D10" s="663"/>
      <c r="M10" s="75"/>
    </row>
    <row r="11" spans="1:13" x14ac:dyDescent="0.2">
      <c r="A11" s="59"/>
      <c r="B11" s="140" t="str">
        <f>IF(Lang="Français","Masse sans propu",IF(Lang="English","Mass without M",""))</f>
        <v>Masse sans propu</v>
      </c>
      <c r="C11" s="664">
        <f>MasseSans</f>
        <v>2.8519999999999999</v>
      </c>
      <c r="D11" s="664"/>
      <c r="M11" s="75"/>
    </row>
    <row r="12" spans="1:13" x14ac:dyDescent="0.2">
      <c r="A12" s="59"/>
      <c r="B12" s="140" t="str">
        <f>IF(Lang="Français","Masse totale",IF(Lang="English","Total mass",""))</f>
        <v>Masse totale</v>
      </c>
      <c r="C12" s="667" t="str">
        <f ca="1">MassePlein &amp; " kg ±" &amp; MasseSans &amp; " kg"</f>
        <v>3,0119 kg ±2,852 kg</v>
      </c>
      <c r="D12" s="667"/>
      <c r="M12" s="75"/>
    </row>
    <row r="13" spans="1:13" x14ac:dyDescent="0.2">
      <c r="A13" s="59"/>
      <c r="B13" s="227" t="str">
        <f>IF(Lang="Français","Propulseur",IF(Lang="English","Motor",""))</f>
        <v>Propulseur</v>
      </c>
      <c r="C13" s="610" t="str">
        <f>Propu</f>
        <v>Pandora (Pro24-6G BS)</v>
      </c>
      <c r="D13" s="611"/>
      <c r="M13" s="75"/>
    </row>
    <row r="14" spans="1:13" x14ac:dyDescent="0.2">
      <c r="A14" s="59"/>
      <c r="B14" s="1"/>
      <c r="C14" s="1"/>
      <c r="D14" s="1"/>
      <c r="M14" s="75"/>
    </row>
    <row r="15" spans="1:13" x14ac:dyDescent="0.2">
      <c r="A15" s="74"/>
      <c r="C15" s="612" t="str">
        <f>IF(Lang="Français","Traînée Aérdynamique",IF(Lang="English","Drag",""))</f>
        <v>Traînée Aérdynamique</v>
      </c>
      <c r="D15" s="612"/>
      <c r="M15" s="75"/>
    </row>
    <row r="16" spans="1:13" x14ac:dyDescent="0.2">
      <c r="A16" s="74"/>
      <c r="B16" s="139" t="str">
        <f>IF(Lang="Français","Diamètre Ø",IF(Lang="English","Diameter Ø",""))</f>
        <v>Diamètre Ø</v>
      </c>
      <c r="C16" s="665">
        <f>D_ref</f>
        <v>84</v>
      </c>
      <c r="D16" s="665"/>
      <c r="M16" s="75"/>
    </row>
    <row r="17" spans="1:13" x14ac:dyDescent="0.2">
      <c r="A17" s="74"/>
      <c r="B17" s="140" t="s">
        <v>5</v>
      </c>
      <c r="C17" s="666">
        <f>Cx</f>
        <v>0.6</v>
      </c>
      <c r="D17" s="666"/>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42</v>
      </c>
      <c r="C43" s="403">
        <f t="shared" ref="C43:C69" ca="1" si="1">1/2*Rho_moyen*PI()*D_var^2/4*Cx/10^6</f>
        <v>5.0915006738566377E-4</v>
      </c>
      <c r="D43" s="400">
        <f ca="1">MpropuPlein+0*MasseSans</f>
        <v>0.15989999999999999</v>
      </c>
      <c r="E43" s="400">
        <f t="shared" ref="E43:E69" ca="1" si="2">m_var - 0.5*m_poudre</f>
        <v>0.12209999999999999</v>
      </c>
      <c r="F43" s="400">
        <f t="shared" ref="F43:F69" ca="1" si="3">m_var - m_poudre</f>
        <v>8.43E-2</v>
      </c>
      <c r="G43" s="407">
        <f t="shared" ref="G43:G69" ca="1" si="4">MAX(0, (I_total/Temps_fin_propu)/m_prop-g)</f>
        <v>573.48238329238336</v>
      </c>
      <c r="H43" s="406">
        <f t="shared" ref="H43:H69" ca="1" si="5">Q_var/m_prop</f>
        <v>4.1699432218318087E-3</v>
      </c>
      <c r="I43" s="403">
        <f t="shared" ref="I43:I69" ca="1" si="6">Q_var/m_bal</f>
        <v>6.0397398266389532E-3</v>
      </c>
      <c r="J43" s="403">
        <f t="shared" ref="J43:J69" ca="1" si="7">1/(2*b_prop)*LN(  ((EXP(2*SQRT(a_prop*b_prop)*Temps_fin_propu)+1)^2)  /  (((1+1)^2)*EXP(2*SQRT(a_prop*b_prop)*Temps_fin_propu)))</f>
        <v>575.96294147993024</v>
      </c>
      <c r="K43" s="410">
        <f t="shared" ref="K43:K69" ca="1" si="8">SQRT(a_prop/b_prop)  *  (EXP(2*SQRT(a_prop*b_prop)*Temps_fin_propu)-1)/(EXP(2*SQRT(a_prop*b_prop)*Temps_fin_propu)+1)</f>
        <v>369.32332981562001</v>
      </c>
      <c r="L43" s="413">
        <f t="shared" ref="L43:L69" ca="1" si="9">alt_prop + 1/(2*b_bal) * LN(1+b_bal/g*V_prop^2)</f>
        <v>943.72596711044525</v>
      </c>
      <c r="M43" s="416">
        <f t="shared" ref="M43:M69" ca="1" si="10">Temps_fin_propu + ATAN(SQRT(b_bal/g)*V_prop)/SQRT(b_bal*g)</f>
        <v>8.0066772056142064</v>
      </c>
    </row>
    <row r="44" spans="1:13" x14ac:dyDescent="0.2">
      <c r="B44" s="426">
        <f t="shared" ca="1" si="0"/>
        <v>42</v>
      </c>
      <c r="C44" s="404">
        <f t="shared" ca="1" si="1"/>
        <v>5.0915006738566377E-4</v>
      </c>
      <c r="D44" s="401">
        <f ca="1">MpropuPlein+0.25*MasseSans</f>
        <v>0.87290000000000001</v>
      </c>
      <c r="E44" s="401">
        <f t="shared" ca="1" si="2"/>
        <v>0.83510000000000006</v>
      </c>
      <c r="F44" s="401">
        <f t="shared" ca="1" si="3"/>
        <v>0.79730000000000001</v>
      </c>
      <c r="G44" s="408">
        <f t="shared" ca="1" si="4"/>
        <v>75.473199616812352</v>
      </c>
      <c r="H44" s="404">
        <f t="shared" ca="1" si="5"/>
        <v>6.0968754327106185E-4</v>
      </c>
      <c r="I44" s="404">
        <f t="shared" ca="1" si="6"/>
        <v>6.3859283505037477E-4</v>
      </c>
      <c r="J44" s="404">
        <f t="shared" ca="1" si="7"/>
        <v>146.53115355195249</v>
      </c>
      <c r="K44" s="411">
        <f t="shared" ca="1" si="8"/>
        <v>142.31988756900898</v>
      </c>
      <c r="L44" s="414">
        <f t="shared" ca="1" si="9"/>
        <v>804.9541308787559</v>
      </c>
      <c r="M44" s="417">
        <f t="shared" ca="1" si="10"/>
        <v>12.793617430106487</v>
      </c>
    </row>
    <row r="45" spans="1:13" x14ac:dyDescent="0.2">
      <c r="B45" s="426">
        <f t="shared" ca="1" si="0"/>
        <v>42</v>
      </c>
      <c r="C45" s="404">
        <f t="shared" ca="1" si="1"/>
        <v>5.0915006738566377E-4</v>
      </c>
      <c r="D45" s="401">
        <f ca="1">MpropuPlein+0.5*MasseSans</f>
        <v>1.5858999999999999</v>
      </c>
      <c r="E45" s="401">
        <f t="shared" ca="1" si="2"/>
        <v>1.5480999999999998</v>
      </c>
      <c r="F45" s="401">
        <f t="shared" ca="1" si="3"/>
        <v>1.5103</v>
      </c>
      <c r="G45" s="408">
        <f t="shared" ca="1" si="4"/>
        <v>36.194780052968156</v>
      </c>
      <c r="H45" s="404">
        <f t="shared" ca="1" si="5"/>
        <v>3.2888706633012329E-4</v>
      </c>
      <c r="I45" s="404">
        <f t="shared" ca="1" si="6"/>
        <v>3.3711849790482937E-4</v>
      </c>
      <c r="J45" s="404">
        <f t="shared" ca="1" si="7"/>
        <v>71.822267513253735</v>
      </c>
      <c r="K45" s="411">
        <f t="shared" ca="1" si="8"/>
        <v>71.262063373651841</v>
      </c>
      <c r="L45" s="414">
        <f t="shared" ca="1" si="9"/>
        <v>310.39487098037023</v>
      </c>
      <c r="M45" s="417">
        <f t="shared" ca="1" si="10"/>
        <v>8.8810434134296123</v>
      </c>
    </row>
    <row r="46" spans="1:13" x14ac:dyDescent="0.2">
      <c r="B46" s="426">
        <f t="shared" ca="1" si="0"/>
        <v>42</v>
      </c>
      <c r="C46" s="404">
        <f t="shared" ca="1" si="1"/>
        <v>5.0915006738566377E-4</v>
      </c>
      <c r="D46" s="401">
        <f ca="1">MpropuPlein+0.75*MasseSans</f>
        <v>2.2988999999999997</v>
      </c>
      <c r="E46" s="401">
        <f t="shared" ca="1" si="2"/>
        <v>2.2610999999999999</v>
      </c>
      <c r="F46" s="401">
        <f t="shared" ca="1" si="3"/>
        <v>2.2232999999999996</v>
      </c>
      <c r="G46" s="408">
        <f t="shared" ca="1" si="4"/>
        <v>21.687943478837731</v>
      </c>
      <c r="H46" s="404">
        <f t="shared" ca="1" si="5"/>
        <v>2.2517804050491521E-4</v>
      </c>
      <c r="I46" s="404">
        <f t="shared" ca="1" si="6"/>
        <v>2.2900646218938688E-4</v>
      </c>
      <c r="J46" s="404">
        <f t="shared" ca="1" si="7"/>
        <v>43.23539655150546</v>
      </c>
      <c r="K46" s="411">
        <f t="shared" ca="1" si="8"/>
        <v>43.095633158179695</v>
      </c>
      <c r="L46" s="414">
        <f t="shared" ca="1" si="9"/>
        <v>135.90104215013088</v>
      </c>
      <c r="M46" s="417">
        <f t="shared" ca="1" si="10"/>
        <v>6.331145441564173</v>
      </c>
    </row>
    <row r="47" spans="1:13" x14ac:dyDescent="0.2">
      <c r="B47" s="426">
        <f t="shared" ca="1" si="0"/>
        <v>42</v>
      </c>
      <c r="C47" s="404">
        <f t="shared" ca="1" si="1"/>
        <v>5.0915006738566377E-4</v>
      </c>
      <c r="D47" s="401">
        <f ca="1">MpropuPlein+1*MasseSans</f>
        <v>3.0118999999999998</v>
      </c>
      <c r="E47" s="401">
        <f t="shared" ca="1" si="2"/>
        <v>2.9741</v>
      </c>
      <c r="F47" s="401">
        <f t="shared" ca="1" si="3"/>
        <v>2.9362999999999997</v>
      </c>
      <c r="G47" s="408">
        <f t="shared" ca="1" si="4"/>
        <v>14.136740190309672</v>
      </c>
      <c r="H47" s="404">
        <f t="shared" ca="1" si="5"/>
        <v>1.7119466977763483E-4</v>
      </c>
      <c r="I47" s="404">
        <f t="shared" ca="1" si="6"/>
        <v>1.7339851765339504E-4</v>
      </c>
      <c r="J47" s="404">
        <f t="shared" ca="1" si="7"/>
        <v>28.227980710258144</v>
      </c>
      <c r="K47" s="411">
        <f t="shared" ca="1" si="8"/>
        <v>28.182598110462852</v>
      </c>
      <c r="L47" s="414">
        <f t="shared" ca="1" si="9"/>
        <v>68.428548789343722</v>
      </c>
      <c r="M47" s="417">
        <f t="shared" ca="1" si="10"/>
        <v>4.8595119443346597</v>
      </c>
    </row>
    <row r="48" spans="1:13" x14ac:dyDescent="0.2">
      <c r="B48" s="426">
        <f t="shared" ca="1" si="0"/>
        <v>42</v>
      </c>
      <c r="C48" s="404">
        <f t="shared" ca="1" si="1"/>
        <v>5.0915006738566377E-4</v>
      </c>
      <c r="D48" s="401">
        <f ca="1">MpropuPlein+1.25*MasseSans</f>
        <v>3.7248999999999999</v>
      </c>
      <c r="E48" s="401">
        <f t="shared" ca="1" si="2"/>
        <v>3.6871</v>
      </c>
      <c r="F48" s="401">
        <f t="shared" ca="1" si="3"/>
        <v>3.6492999999999998</v>
      </c>
      <c r="G48" s="408">
        <f t="shared" ca="1" si="4"/>
        <v>9.5059935993056879</v>
      </c>
      <c r="H48" s="404">
        <f t="shared" ca="1" si="5"/>
        <v>1.380895737532651E-4</v>
      </c>
      <c r="I48" s="404">
        <f t="shared" ca="1" si="6"/>
        <v>1.3951992639291475E-4</v>
      </c>
      <c r="J48" s="404">
        <f t="shared" ca="1" si="7"/>
        <v>18.99537270501963</v>
      </c>
      <c r="K48" s="411">
        <f t="shared" ca="1" si="8"/>
        <v>18.978781433371434</v>
      </c>
      <c r="L48" s="414">
        <f t="shared" ca="1" si="9"/>
        <v>37.307028650692288</v>
      </c>
      <c r="M48" s="417">
        <f t="shared" ca="1" si="10"/>
        <v>3.9313427906858012</v>
      </c>
    </row>
    <row r="49" spans="2:13" x14ac:dyDescent="0.2">
      <c r="B49" s="426">
        <f t="shared" ca="1" si="0"/>
        <v>42</v>
      </c>
      <c r="C49" s="404">
        <f t="shared" ca="1" si="1"/>
        <v>5.0915006738566377E-4</v>
      </c>
      <c r="D49" s="401">
        <f ca="1">MpropuPlein+1.5*MasseSans</f>
        <v>4.4379</v>
      </c>
      <c r="E49" s="401">
        <f t="shared" ca="1" si="2"/>
        <v>4.4001000000000001</v>
      </c>
      <c r="F49" s="401">
        <f t="shared" ca="1" si="3"/>
        <v>4.3623000000000003</v>
      </c>
      <c r="G49" s="408">
        <f t="shared" ca="1" si="4"/>
        <v>6.3759957728233427</v>
      </c>
      <c r="H49" s="404">
        <f t="shared" ca="1" si="5"/>
        <v>1.1571329455822908E-4</v>
      </c>
      <c r="I49" s="404">
        <f t="shared" ca="1" si="6"/>
        <v>1.1671596804109386E-4</v>
      </c>
      <c r="J49" s="404">
        <f t="shared" ca="1" si="7"/>
        <v>12.745724304149043</v>
      </c>
      <c r="K49" s="411">
        <f t="shared" ca="1" si="8"/>
        <v>12.739461989852888</v>
      </c>
      <c r="L49" s="414">
        <f t="shared" ca="1" si="9"/>
        <v>21.009608363343673</v>
      </c>
      <c r="M49" s="417">
        <f t="shared" ca="1" si="10"/>
        <v>3.2977851034575423</v>
      </c>
    </row>
    <row r="50" spans="2:13" x14ac:dyDescent="0.2">
      <c r="B50" s="426">
        <f t="shared" ca="1" si="0"/>
        <v>42</v>
      </c>
      <c r="C50" s="404">
        <f t="shared" ca="1" si="1"/>
        <v>5.0915006738566377E-4</v>
      </c>
      <c r="D50" s="401">
        <f ca="1">MpropuPlein+1.75*MasseSans</f>
        <v>5.1509</v>
      </c>
      <c r="E50" s="401">
        <f t="shared" ca="1" si="2"/>
        <v>5.1131000000000002</v>
      </c>
      <c r="F50" s="401">
        <f t="shared" ca="1" si="3"/>
        <v>5.0753000000000004</v>
      </c>
      <c r="G50" s="408">
        <f t="shared" ca="1" si="4"/>
        <v>4.1189276564119606</v>
      </c>
      <c r="H50" s="404">
        <f t="shared" ca="1" si="5"/>
        <v>9.9577568869308985E-5</v>
      </c>
      <c r="I50" s="404">
        <f t="shared" ca="1" si="6"/>
        <v>1.0031920623128953E-4</v>
      </c>
      <c r="J50" s="404">
        <f t="shared" ca="1" si="7"/>
        <v>8.2356037781735942</v>
      </c>
      <c r="K50" s="411">
        <f t="shared" ca="1" si="8"/>
        <v>8.2333532280130157</v>
      </c>
      <c r="L50" s="414">
        <f t="shared" ca="1" si="9"/>
        <v>11.689458025400095</v>
      </c>
      <c r="M50" s="417">
        <f t="shared" ca="1" si="10"/>
        <v>2.8390878207481678</v>
      </c>
    </row>
    <row r="51" spans="2:13" x14ac:dyDescent="0.2">
      <c r="B51" s="427">
        <f t="shared" ca="1" si="0"/>
        <v>42</v>
      </c>
      <c r="C51" s="405">
        <f t="shared" ca="1" si="1"/>
        <v>5.0915006738566377E-4</v>
      </c>
      <c r="D51" s="402">
        <f ca="1">MpropuPlein+2*MasseSans</f>
        <v>5.8639000000000001</v>
      </c>
      <c r="E51" s="402">
        <f t="shared" ca="1" si="2"/>
        <v>5.8261000000000003</v>
      </c>
      <c r="F51" s="402">
        <f t="shared" ca="1" si="3"/>
        <v>5.7883000000000004</v>
      </c>
      <c r="G51" s="409">
        <f t="shared" ca="1" si="4"/>
        <v>2.4143009903709149</v>
      </c>
      <c r="H51" s="405">
        <f t="shared" ca="1" si="5"/>
        <v>8.7391233824627755E-5</v>
      </c>
      <c r="I51" s="405">
        <f t="shared" ca="1" si="6"/>
        <v>8.7961934831585047E-5</v>
      </c>
      <c r="J51" s="405">
        <f t="shared" ca="1" si="7"/>
        <v>4.8279229464493136</v>
      </c>
      <c r="K51" s="412">
        <f t="shared" ca="1" si="8"/>
        <v>4.8272440649354555</v>
      </c>
      <c r="L51" s="415">
        <f t="shared" ca="1" si="9"/>
        <v>6.0154790726812939</v>
      </c>
      <c r="M51" s="418">
        <f t="shared" ca="1" si="10"/>
        <v>2.4920395416448731</v>
      </c>
    </row>
    <row r="52" spans="2:13" x14ac:dyDescent="0.2">
      <c r="B52" s="425">
        <f t="shared" ref="B52:B60" si="11">D_ref</f>
        <v>84</v>
      </c>
      <c r="C52" s="403">
        <f t="shared" si="1"/>
        <v>2.0366002695426551E-3</v>
      </c>
      <c r="D52" s="400">
        <f ca="1">MpropuPlein+0*MasseSans</f>
        <v>0.15989999999999999</v>
      </c>
      <c r="E52" s="400">
        <f t="shared" ca="1" si="2"/>
        <v>0.12209999999999999</v>
      </c>
      <c r="F52" s="400">
        <f t="shared" ca="1" si="3"/>
        <v>8.43E-2</v>
      </c>
      <c r="G52" s="407">
        <f t="shared" ca="1" si="4"/>
        <v>573.48238329238336</v>
      </c>
      <c r="H52" s="403">
        <f t="shared" ca="1" si="5"/>
        <v>1.6679772887327235E-2</v>
      </c>
      <c r="I52" s="403">
        <f t="shared" ca="1" si="6"/>
        <v>2.4158959306555813E-2</v>
      </c>
      <c r="J52" s="403">
        <f t="shared" ca="1" si="7"/>
        <v>329.29127253077786</v>
      </c>
      <c r="K52" s="410">
        <f t="shared" ca="1" si="8"/>
        <v>185.42201346176171</v>
      </c>
      <c r="L52" s="413">
        <f t="shared" ca="1" si="9"/>
        <v>421.40012018928473</v>
      </c>
      <c r="M52" s="416">
        <f t="shared" ca="1" si="10"/>
        <v>5.004247001248757</v>
      </c>
    </row>
    <row r="53" spans="2:13" x14ac:dyDescent="0.2">
      <c r="B53" s="426">
        <f t="shared" si="11"/>
        <v>84</v>
      </c>
      <c r="C53" s="404">
        <f t="shared" si="1"/>
        <v>2.0366002695426551E-3</v>
      </c>
      <c r="D53" s="401">
        <f ca="1">MpropuPlein+0.25*MasseSans</f>
        <v>0.87290000000000001</v>
      </c>
      <c r="E53" s="401">
        <f t="shared" ca="1" si="2"/>
        <v>0.83510000000000006</v>
      </c>
      <c r="F53" s="401">
        <f t="shared" ca="1" si="3"/>
        <v>0.79730000000000001</v>
      </c>
      <c r="G53" s="408">
        <f t="shared" ca="1" si="4"/>
        <v>75.473199616812352</v>
      </c>
      <c r="H53" s="404">
        <f t="shared" ca="1" si="5"/>
        <v>2.4387501730842474E-3</v>
      </c>
      <c r="I53" s="404">
        <f t="shared" ca="1" si="6"/>
        <v>2.5543713402014991E-3</v>
      </c>
      <c r="J53" s="404">
        <f t="shared" ca="1" si="7"/>
        <v>135.40349739557129</v>
      </c>
      <c r="K53" s="411">
        <f t="shared" ca="1" si="8"/>
        <v>122.30750284724346</v>
      </c>
      <c r="L53" s="414">
        <f t="shared" ca="1" si="9"/>
        <v>446.29006772428693</v>
      </c>
      <c r="M53" s="417">
        <f t="shared" ca="1" si="10"/>
        <v>8.9603596716545511</v>
      </c>
    </row>
    <row r="54" spans="2:13" x14ac:dyDescent="0.2">
      <c r="B54" s="426">
        <f t="shared" si="11"/>
        <v>84</v>
      </c>
      <c r="C54" s="404">
        <f t="shared" si="1"/>
        <v>2.0366002695426551E-3</v>
      </c>
      <c r="D54" s="401">
        <f ca="1">MpropuPlein+0.5*MasseSans</f>
        <v>1.5858999999999999</v>
      </c>
      <c r="E54" s="401">
        <f t="shared" ca="1" si="2"/>
        <v>1.5480999999999998</v>
      </c>
      <c r="F54" s="401">
        <f t="shared" ca="1" si="3"/>
        <v>1.5103</v>
      </c>
      <c r="G54" s="408">
        <f t="shared" ca="1" si="4"/>
        <v>36.194780052968156</v>
      </c>
      <c r="H54" s="404">
        <f t="shared" ca="1" si="5"/>
        <v>1.3155482653204932E-3</v>
      </c>
      <c r="I54" s="404">
        <f t="shared" ca="1" si="6"/>
        <v>1.3484739916193175E-3</v>
      </c>
      <c r="J54" s="404">
        <f t="shared" ca="1" si="7"/>
        <v>70.201983030414368</v>
      </c>
      <c r="K54" s="411">
        <f t="shared" ca="1" si="8"/>
        <v>68.118773323234933</v>
      </c>
      <c r="L54" s="414">
        <f t="shared" ca="1" si="9"/>
        <v>253.13996571778347</v>
      </c>
      <c r="M54" s="417">
        <f t="shared" ca="1" si="10"/>
        <v>7.859339665954681</v>
      </c>
    </row>
    <row r="55" spans="2:13" x14ac:dyDescent="0.2">
      <c r="B55" s="426">
        <f t="shared" si="11"/>
        <v>84</v>
      </c>
      <c r="C55" s="404">
        <f t="shared" si="1"/>
        <v>2.0366002695426551E-3</v>
      </c>
      <c r="D55" s="401">
        <f ca="1">MpropuPlein+0.75*MasseSans</f>
        <v>2.2988999999999997</v>
      </c>
      <c r="E55" s="401">
        <f t="shared" ca="1" si="2"/>
        <v>2.2610999999999999</v>
      </c>
      <c r="F55" s="401">
        <f t="shared" ca="1" si="3"/>
        <v>2.2232999999999996</v>
      </c>
      <c r="G55" s="408">
        <f t="shared" ca="1" si="4"/>
        <v>21.687943478837731</v>
      </c>
      <c r="H55" s="404">
        <f t="shared" ca="1" si="5"/>
        <v>9.0071216201966084E-4</v>
      </c>
      <c r="I55" s="404">
        <f t="shared" ca="1" si="6"/>
        <v>9.1602584875754753E-4</v>
      </c>
      <c r="J55" s="404">
        <f t="shared" ca="1" si="7"/>
        <v>42.82249823063075</v>
      </c>
      <c r="K55" s="411">
        <f t="shared" ca="1" si="8"/>
        <v>42.280342085746796</v>
      </c>
      <c r="L55" s="414">
        <f t="shared" ca="1" si="9"/>
        <v>127.08333746799349</v>
      </c>
      <c r="M55" s="417">
        <f t="shared" ca="1" si="10"/>
        <v>6.0915958965925165</v>
      </c>
    </row>
    <row r="56" spans="2:13" x14ac:dyDescent="0.2">
      <c r="B56" s="426">
        <f t="shared" si="11"/>
        <v>84</v>
      </c>
      <c r="C56" s="404">
        <f t="shared" si="1"/>
        <v>2.0366002695426551E-3</v>
      </c>
      <c r="D56" s="401">
        <f ca="1">MpropuPlein+1*MasseSans</f>
        <v>3.0118999999999998</v>
      </c>
      <c r="E56" s="401">
        <f t="shared" ca="1" si="2"/>
        <v>2.9741</v>
      </c>
      <c r="F56" s="401">
        <f t="shared" ca="1" si="3"/>
        <v>2.9362999999999997</v>
      </c>
      <c r="G56" s="408">
        <f t="shared" ca="1" si="4"/>
        <v>14.136740190309672</v>
      </c>
      <c r="H56" s="404">
        <f t="shared" ca="1" si="5"/>
        <v>6.8477867911053932E-4</v>
      </c>
      <c r="I56" s="404">
        <f t="shared" ca="1" si="6"/>
        <v>6.9359407061358016E-4</v>
      </c>
      <c r="J56" s="404">
        <f t="shared" ca="1" si="7"/>
        <v>28.092874318849397</v>
      </c>
      <c r="K56" s="411">
        <f t="shared" ca="1" si="8"/>
        <v>27.914108931881561</v>
      </c>
      <c r="L56" s="414">
        <f t="shared" ca="1" si="9"/>
        <v>66.751948657554763</v>
      </c>
      <c r="M56" s="417">
        <f t="shared" ca="1" si="10"/>
        <v>4.7948832309257456</v>
      </c>
    </row>
    <row r="57" spans="2:13" x14ac:dyDescent="0.2">
      <c r="B57" s="426">
        <f t="shared" si="11"/>
        <v>84</v>
      </c>
      <c r="C57" s="404">
        <f t="shared" si="1"/>
        <v>2.0366002695426551E-3</v>
      </c>
      <c r="D57" s="401">
        <f ca="1">MpropuPlein+1.25*MasseSans</f>
        <v>3.7248999999999999</v>
      </c>
      <c r="E57" s="401">
        <f t="shared" ca="1" si="2"/>
        <v>3.6871</v>
      </c>
      <c r="F57" s="401">
        <f t="shared" ca="1" si="3"/>
        <v>3.6492999999999998</v>
      </c>
      <c r="G57" s="408">
        <f t="shared" ca="1" si="4"/>
        <v>9.5059935993056879</v>
      </c>
      <c r="H57" s="404">
        <f t="shared" ca="1" si="5"/>
        <v>5.5235829501306039E-4</v>
      </c>
      <c r="I57" s="404">
        <f t="shared" ca="1" si="6"/>
        <v>5.58079705571659E-4</v>
      </c>
      <c r="J57" s="404">
        <f t="shared" ca="1" si="7"/>
        <v>18.945806564347279</v>
      </c>
      <c r="K57" s="411">
        <f t="shared" ca="1" si="8"/>
        <v>18.879993961508426</v>
      </c>
      <c r="L57" s="414">
        <f t="shared" ca="1" si="9"/>
        <v>36.931951445269817</v>
      </c>
      <c r="M57" s="417">
        <f t="shared" ca="1" si="10"/>
        <v>3.9117132174804201</v>
      </c>
    </row>
    <row r="58" spans="2:13" x14ac:dyDescent="0.2">
      <c r="B58" s="426">
        <f t="shared" si="11"/>
        <v>84</v>
      </c>
      <c r="C58" s="404">
        <f t="shared" si="1"/>
        <v>2.0366002695426551E-3</v>
      </c>
      <c r="D58" s="401">
        <f ca="1">MpropuPlein+1.5*MasseSans</f>
        <v>4.4379</v>
      </c>
      <c r="E58" s="401">
        <f t="shared" ca="1" si="2"/>
        <v>4.4001000000000001</v>
      </c>
      <c r="F58" s="401">
        <f t="shared" ca="1" si="3"/>
        <v>4.3623000000000003</v>
      </c>
      <c r="G58" s="408">
        <f t="shared" ca="1" si="4"/>
        <v>6.3759957728233427</v>
      </c>
      <c r="H58" s="404">
        <f t="shared" ca="1" si="5"/>
        <v>4.6285317823291632E-4</v>
      </c>
      <c r="I58" s="404">
        <f t="shared" ca="1" si="6"/>
        <v>4.6686387216437542E-4</v>
      </c>
      <c r="J58" s="404">
        <f t="shared" ca="1" si="7"/>
        <v>12.72698154778544</v>
      </c>
      <c r="K58" s="411">
        <f t="shared" ca="1" si="8"/>
        <v>12.70204996365022</v>
      </c>
      <c r="L58" s="414">
        <f t="shared" ca="1" si="9"/>
        <v>20.918918552449071</v>
      </c>
      <c r="M58" s="417">
        <f t="shared" ca="1" si="10"/>
        <v>3.2915075012257997</v>
      </c>
    </row>
    <row r="59" spans="2:13" x14ac:dyDescent="0.2">
      <c r="B59" s="426">
        <f t="shared" si="11"/>
        <v>84</v>
      </c>
      <c r="C59" s="404">
        <f t="shared" si="1"/>
        <v>2.0366002695426551E-3</v>
      </c>
      <c r="D59" s="401">
        <f ca="1">MpropuPlein+1.75*MasseSans</f>
        <v>5.1509</v>
      </c>
      <c r="E59" s="401">
        <f t="shared" ca="1" si="2"/>
        <v>5.1131000000000002</v>
      </c>
      <c r="F59" s="401">
        <f t="shared" ca="1" si="3"/>
        <v>5.0753000000000004</v>
      </c>
      <c r="G59" s="408">
        <f t="shared" ca="1" si="4"/>
        <v>4.1189276564119606</v>
      </c>
      <c r="H59" s="404">
        <f t="shared" ca="1" si="5"/>
        <v>3.9831027547723594E-4</v>
      </c>
      <c r="I59" s="404">
        <f t="shared" ca="1" si="6"/>
        <v>4.0127682492515813E-4</v>
      </c>
      <c r="J59" s="404">
        <f t="shared" ca="1" si="7"/>
        <v>8.2288609704715068</v>
      </c>
      <c r="K59" s="411">
        <f t="shared" ca="1" si="8"/>
        <v>8.2198823330009283</v>
      </c>
      <c r="L59" s="414">
        <f t="shared" ca="1" si="9"/>
        <v>11.667865416146189</v>
      </c>
      <c r="M59" s="417">
        <f t="shared" ca="1" si="10"/>
        <v>2.8371378357021166</v>
      </c>
    </row>
    <row r="60" spans="2:13" x14ac:dyDescent="0.2">
      <c r="B60" s="427">
        <f t="shared" si="11"/>
        <v>84</v>
      </c>
      <c r="C60" s="405">
        <f t="shared" si="1"/>
        <v>2.0366002695426551E-3</v>
      </c>
      <c r="D60" s="402">
        <f ca="1">MpropuPlein+2*MasseSans</f>
        <v>5.8639000000000001</v>
      </c>
      <c r="E60" s="402">
        <f t="shared" ca="1" si="2"/>
        <v>5.8261000000000003</v>
      </c>
      <c r="F60" s="402">
        <f t="shared" ca="1" si="3"/>
        <v>5.7883000000000004</v>
      </c>
      <c r="G60" s="409">
        <f t="shared" ca="1" si="4"/>
        <v>2.4143009903709149</v>
      </c>
      <c r="H60" s="405">
        <f t="shared" ca="1" si="5"/>
        <v>3.4956493529851102E-4</v>
      </c>
      <c r="I60" s="405">
        <f t="shared" ca="1" si="6"/>
        <v>3.5184773932634019E-4</v>
      </c>
      <c r="J60" s="405">
        <f t="shared" ca="1" si="7"/>
        <v>4.8258876754810665</v>
      </c>
      <c r="K60" s="412">
        <f t="shared" ca="1" si="8"/>
        <v>4.8231758108831073</v>
      </c>
      <c r="L60" s="415">
        <f t="shared" ca="1" si="9"/>
        <v>6.0110724595290419</v>
      </c>
      <c r="M60" s="418">
        <f t="shared" ca="1" si="10"/>
        <v>2.4915224327310668</v>
      </c>
    </row>
    <row r="61" spans="2:13" x14ac:dyDescent="0.2">
      <c r="B61" s="425">
        <f t="shared" ref="B61:B69" si="12">D_ref*1.5</f>
        <v>126</v>
      </c>
      <c r="C61" s="403">
        <f t="shared" si="1"/>
        <v>4.5823506064709748E-3</v>
      </c>
      <c r="D61" s="400">
        <f ca="1">MpropuPlein+0*MasseSans</f>
        <v>0.15989999999999999</v>
      </c>
      <c r="E61" s="400">
        <f t="shared" ca="1" si="2"/>
        <v>0.12209999999999999</v>
      </c>
      <c r="F61" s="400">
        <f t="shared" ca="1" si="3"/>
        <v>8.43E-2</v>
      </c>
      <c r="G61" s="407">
        <f t="shared" ca="1" si="4"/>
        <v>573.48238329238336</v>
      </c>
      <c r="H61" s="403">
        <f t="shared" ca="1" si="5"/>
        <v>3.7529488996486282E-2</v>
      </c>
      <c r="I61" s="403">
        <f t="shared" ca="1" si="6"/>
        <v>5.4357658439750593E-2</v>
      </c>
      <c r="J61" s="403">
        <f t="shared" ca="1" si="7"/>
        <v>228.76204633138835</v>
      </c>
      <c r="K61" s="410">
        <f t="shared" ca="1" si="8"/>
        <v>123.6157213781817</v>
      </c>
      <c r="L61" s="413">
        <f t="shared" ca="1" si="9"/>
        <v>269.6994657695717</v>
      </c>
      <c r="M61" s="416">
        <f t="shared" ca="1" si="10"/>
        <v>4.0028325784479488</v>
      </c>
    </row>
    <row r="62" spans="2:13" x14ac:dyDescent="0.2">
      <c r="B62" s="426">
        <f t="shared" si="12"/>
        <v>126</v>
      </c>
      <c r="C62" s="404">
        <f t="shared" si="1"/>
        <v>4.5823506064709748E-3</v>
      </c>
      <c r="D62" s="401">
        <f ca="1">MpropuPlein+0.25*MasseSans</f>
        <v>0.87290000000000001</v>
      </c>
      <c r="E62" s="401">
        <f t="shared" ca="1" si="2"/>
        <v>0.83510000000000006</v>
      </c>
      <c r="F62" s="401">
        <f t="shared" ca="1" si="3"/>
        <v>0.79730000000000001</v>
      </c>
      <c r="G62" s="408">
        <f t="shared" ca="1" si="4"/>
        <v>75.473199616812352</v>
      </c>
      <c r="H62" s="404">
        <f t="shared" ca="1" si="5"/>
        <v>5.4871878894395577E-3</v>
      </c>
      <c r="I62" s="404">
        <f t="shared" ca="1" si="6"/>
        <v>5.7473355154533737E-3</v>
      </c>
      <c r="J62" s="404">
        <f t="shared" ca="1" si="7"/>
        <v>121.62420859414406</v>
      </c>
      <c r="K62" s="411">
        <f t="shared" ca="1" si="8"/>
        <v>100.66747847731033</v>
      </c>
      <c r="L62" s="414">
        <f t="shared" ca="1" si="9"/>
        <v>290.12723839993868</v>
      </c>
      <c r="M62" s="417">
        <f t="shared" ca="1" si="10"/>
        <v>6.9752152974686847</v>
      </c>
    </row>
    <row r="63" spans="2:13" x14ac:dyDescent="0.2">
      <c r="B63" s="426">
        <f t="shared" si="12"/>
        <v>126</v>
      </c>
      <c r="C63" s="404">
        <f t="shared" si="1"/>
        <v>4.5823506064709748E-3</v>
      </c>
      <c r="D63" s="401">
        <f ca="1">MpropuPlein+0.5*MasseSans</f>
        <v>1.5858999999999999</v>
      </c>
      <c r="E63" s="401">
        <f t="shared" ca="1" si="2"/>
        <v>1.5480999999999998</v>
      </c>
      <c r="F63" s="401">
        <f t="shared" ca="1" si="3"/>
        <v>1.5103</v>
      </c>
      <c r="G63" s="408">
        <f t="shared" ca="1" si="4"/>
        <v>36.194780052968156</v>
      </c>
      <c r="H63" s="404">
        <f t="shared" ca="1" si="5"/>
        <v>2.9599835969711099E-3</v>
      </c>
      <c r="I63" s="404">
        <f t="shared" ca="1" si="6"/>
        <v>3.0340664811434647E-3</v>
      </c>
      <c r="J63" s="404">
        <f t="shared" ca="1" si="7"/>
        <v>67.742535444330159</v>
      </c>
      <c r="K63" s="411">
        <f t="shared" ca="1" si="8"/>
        <v>63.559462795447416</v>
      </c>
      <c r="L63" s="414">
        <f t="shared" ca="1" si="9"/>
        <v>201.33926579473797</v>
      </c>
      <c r="M63" s="417">
        <f t="shared" ca="1" si="10"/>
        <v>6.8744682273714588</v>
      </c>
    </row>
    <row r="64" spans="2:13" x14ac:dyDescent="0.2">
      <c r="B64" s="426">
        <f t="shared" si="12"/>
        <v>126</v>
      </c>
      <c r="C64" s="404">
        <f t="shared" si="1"/>
        <v>4.5823506064709748E-3</v>
      </c>
      <c r="D64" s="401">
        <f ca="1">MpropuPlein+0.75*MasseSans</f>
        <v>2.2988999999999997</v>
      </c>
      <c r="E64" s="401">
        <f t="shared" ca="1" si="2"/>
        <v>2.2610999999999999</v>
      </c>
      <c r="F64" s="401">
        <f t="shared" ca="1" si="3"/>
        <v>2.2232999999999996</v>
      </c>
      <c r="G64" s="408">
        <f t="shared" ca="1" si="4"/>
        <v>21.687943478837731</v>
      </c>
      <c r="H64" s="404">
        <f t="shared" ca="1" si="5"/>
        <v>2.0266023645442374E-3</v>
      </c>
      <c r="I64" s="404">
        <f t="shared" ca="1" si="6"/>
        <v>2.0610581597044824E-3</v>
      </c>
      <c r="J64" s="404">
        <f t="shared" ca="1" si="7"/>
        <v>42.161470355612586</v>
      </c>
      <c r="K64" s="411">
        <f t="shared" ca="1" si="8"/>
        <v>41.000785070444437</v>
      </c>
      <c r="L64" s="414">
        <f t="shared" ca="1" si="9"/>
        <v>115.53714765087051</v>
      </c>
      <c r="M64" s="417">
        <f t="shared" ca="1" si="10"/>
        <v>5.7710229785016303</v>
      </c>
    </row>
    <row r="65" spans="2:13" x14ac:dyDescent="0.2">
      <c r="B65" s="426">
        <f t="shared" si="12"/>
        <v>126</v>
      </c>
      <c r="C65" s="404">
        <f t="shared" si="1"/>
        <v>4.5823506064709748E-3</v>
      </c>
      <c r="D65" s="401">
        <f ca="1">MpropuPlein+1*MasseSans</f>
        <v>3.0118999999999998</v>
      </c>
      <c r="E65" s="401">
        <f t="shared" ca="1" si="2"/>
        <v>2.9741</v>
      </c>
      <c r="F65" s="401">
        <f t="shared" ca="1" si="3"/>
        <v>2.9362999999999997</v>
      </c>
      <c r="G65" s="408">
        <f t="shared" ca="1" si="4"/>
        <v>14.136740190309672</v>
      </c>
      <c r="H65" s="404">
        <f t="shared" ca="1" si="5"/>
        <v>1.5407520279987139E-3</v>
      </c>
      <c r="I65" s="404">
        <f t="shared" ca="1" si="6"/>
        <v>1.5605866588805555E-3</v>
      </c>
      <c r="J65" s="404">
        <f t="shared" ca="1" si="7"/>
        <v>27.872219774056028</v>
      </c>
      <c r="K65" s="411">
        <f t="shared" ca="1" si="8"/>
        <v>27.480013690343753</v>
      </c>
      <c r="L65" s="414">
        <f t="shared" ca="1" si="9"/>
        <v>64.219150313075403</v>
      </c>
      <c r="M65" s="417">
        <f t="shared" ca="1" si="10"/>
        <v>4.6965042733347273</v>
      </c>
    </row>
    <row r="66" spans="2:13" x14ac:dyDescent="0.2">
      <c r="B66" s="426">
        <f t="shared" si="12"/>
        <v>126</v>
      </c>
      <c r="C66" s="404">
        <f t="shared" si="1"/>
        <v>4.5823506064709748E-3</v>
      </c>
      <c r="D66" s="401">
        <f ca="1">MpropuPlein+1.25*MasseSans</f>
        <v>3.7248999999999999</v>
      </c>
      <c r="E66" s="401">
        <f t="shared" ca="1" si="2"/>
        <v>3.6871</v>
      </c>
      <c r="F66" s="401">
        <f t="shared" ca="1" si="3"/>
        <v>3.6492999999999998</v>
      </c>
      <c r="G66" s="408">
        <f t="shared" ca="1" si="4"/>
        <v>9.5059935993056879</v>
      </c>
      <c r="H66" s="404">
        <f t="shared" ca="1" si="5"/>
        <v>1.2428061637793863E-3</v>
      </c>
      <c r="I66" s="404">
        <f t="shared" ca="1" si="6"/>
        <v>1.2556793375362329E-3</v>
      </c>
      <c r="J66" s="404">
        <f t="shared" ca="1" si="7"/>
        <v>18.864107741748501</v>
      </c>
      <c r="K66" s="411">
        <f t="shared" ca="1" si="8"/>
        <v>18.718062340898054</v>
      </c>
      <c r="L66" s="414">
        <f t="shared" ca="1" si="9"/>
        <v>36.332850103724113</v>
      </c>
      <c r="M66" s="417">
        <f t="shared" ca="1" si="10"/>
        <v>3.8802796586432082</v>
      </c>
    </row>
    <row r="67" spans="2:13" x14ac:dyDescent="0.2">
      <c r="B67" s="426">
        <f t="shared" si="12"/>
        <v>126</v>
      </c>
      <c r="C67" s="404">
        <f t="shared" si="1"/>
        <v>4.5823506064709748E-3</v>
      </c>
      <c r="D67" s="401">
        <f ca="1">MpropuPlein+1.5*MasseSans</f>
        <v>4.4379</v>
      </c>
      <c r="E67" s="401">
        <f t="shared" ca="1" si="2"/>
        <v>4.4001000000000001</v>
      </c>
      <c r="F67" s="401">
        <f t="shared" ca="1" si="3"/>
        <v>4.3623000000000003</v>
      </c>
      <c r="G67" s="408">
        <f t="shared" ca="1" si="4"/>
        <v>6.3759957728233427</v>
      </c>
      <c r="H67" s="404">
        <f t="shared" ca="1" si="5"/>
        <v>1.0414196510240619E-3</v>
      </c>
      <c r="I67" s="404">
        <f t="shared" ca="1" si="6"/>
        <v>1.0504437123698448E-3</v>
      </c>
      <c r="J67" s="404">
        <f t="shared" ca="1" si="7"/>
        <v>12.69593861008121</v>
      </c>
      <c r="K67" s="411">
        <f t="shared" ca="1" si="8"/>
        <v>12.640279128016655</v>
      </c>
      <c r="L67" s="414">
        <f t="shared" ca="1" si="9"/>
        <v>20.770620702032517</v>
      </c>
      <c r="M67" s="417">
        <f t="shared" ca="1" si="10"/>
        <v>3.2812358737486571</v>
      </c>
    </row>
    <row r="68" spans="2:13" x14ac:dyDescent="0.2">
      <c r="B68" s="426">
        <f t="shared" si="12"/>
        <v>126</v>
      </c>
      <c r="C68" s="404">
        <f t="shared" si="1"/>
        <v>4.5823506064709748E-3</v>
      </c>
      <c r="D68" s="401">
        <f ca="1">MpropuPlein+1.75*MasseSans</f>
        <v>5.1509</v>
      </c>
      <c r="E68" s="401">
        <f t="shared" ca="1" si="2"/>
        <v>5.1131000000000002</v>
      </c>
      <c r="F68" s="401">
        <f t="shared" ca="1" si="3"/>
        <v>5.0753000000000004</v>
      </c>
      <c r="G68" s="408">
        <f t="shared" ca="1" si="4"/>
        <v>4.1189276564119606</v>
      </c>
      <c r="H68" s="404">
        <f t="shared" ca="1" si="5"/>
        <v>8.9619811982378096E-4</v>
      </c>
      <c r="I68" s="404">
        <f t="shared" ca="1" si="6"/>
        <v>9.0287285608160587E-4</v>
      </c>
      <c r="J68" s="404">
        <f t="shared" ca="1" si="7"/>
        <v>8.2176621030714614</v>
      </c>
      <c r="K68" s="411">
        <f t="shared" ca="1" si="8"/>
        <v>8.1975480058218437</v>
      </c>
      <c r="L68" s="414">
        <f t="shared" ca="1" si="9"/>
        <v>11.632179820300987</v>
      </c>
      <c r="M68" s="417">
        <f t="shared" ca="1" si="10"/>
        <v>2.8339154316418158</v>
      </c>
    </row>
    <row r="69" spans="2:13" x14ac:dyDescent="0.2">
      <c r="B69" s="427">
        <f t="shared" si="12"/>
        <v>126</v>
      </c>
      <c r="C69" s="405">
        <f t="shared" si="1"/>
        <v>4.5823506064709748E-3</v>
      </c>
      <c r="D69" s="402">
        <f ca="1">MpropuPlein+2*MasseSans</f>
        <v>5.8639000000000001</v>
      </c>
      <c r="E69" s="402">
        <f t="shared" ca="1" si="2"/>
        <v>5.8261000000000003</v>
      </c>
      <c r="F69" s="402">
        <f t="shared" ca="1" si="3"/>
        <v>5.7883000000000004</v>
      </c>
      <c r="G69" s="409">
        <f t="shared" ca="1" si="4"/>
        <v>2.4143009903709149</v>
      </c>
      <c r="H69" s="405">
        <f t="shared" ca="1" si="5"/>
        <v>7.8652110442164992E-4</v>
      </c>
      <c r="I69" s="405">
        <f t="shared" ca="1" si="6"/>
        <v>7.9165741348426557E-4</v>
      </c>
      <c r="J69" s="405">
        <f t="shared" ca="1" si="7"/>
        <v>4.8225016494992401</v>
      </c>
      <c r="K69" s="412">
        <f t="shared" ca="1" si="8"/>
        <v>4.8164136425617512</v>
      </c>
      <c r="L69" s="415">
        <f t="shared" ca="1" si="9"/>
        <v>6.0037531153321329</v>
      </c>
      <c r="M69" s="418">
        <f t="shared" ca="1" si="10"/>
        <v>2.4906637617426242</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1:D11"/>
    <mergeCell ref="C13:D13"/>
    <mergeCell ref="C15:D15"/>
    <mergeCell ref="C16:D16"/>
    <mergeCell ref="C17:D17"/>
    <mergeCell ref="C12:D12"/>
    <mergeCell ref="C10:D10"/>
    <mergeCell ref="C9:D9"/>
    <mergeCell ref="C2:D3"/>
    <mergeCell ref="C4:D4"/>
    <mergeCell ref="C5:D5"/>
    <mergeCell ref="C7:D7"/>
    <mergeCell ref="C8:D8"/>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632" t="s">
        <v>178</v>
      </c>
      <c r="D2" s="632"/>
    </row>
    <row r="3" spans="3:8" x14ac:dyDescent="0.2">
      <c r="C3" s="632"/>
      <c r="D3" s="632"/>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FX5</v>
      </c>
      <c r="N4" s="75"/>
      <c r="O4" s="6"/>
      <c r="P4" s="273"/>
      <c r="Q4" s="436"/>
      <c r="R4" s="48"/>
      <c r="S4" s="48"/>
      <c r="T4" s="48"/>
      <c r="U4" s="48"/>
    </row>
    <row r="5" spans="2:21" ht="15.75" customHeight="1" x14ac:dyDescent="0.2">
      <c r="B5" s="74"/>
      <c r="D5" t="s">
        <v>462</v>
      </c>
      <c r="E5" t="str">
        <f>Propu</f>
        <v>Pandora (Pro24-6G BS)</v>
      </c>
      <c r="G5" t="s">
        <v>459</v>
      </c>
      <c r="H5">
        <f>MasseSans</f>
        <v>2.8519999999999999</v>
      </c>
      <c r="N5" s="75"/>
      <c r="O5" s="6"/>
      <c r="P5" s="273"/>
      <c r="Q5" s="436"/>
      <c r="R5" s="48"/>
      <c r="S5" s="48"/>
      <c r="T5" s="48"/>
      <c r="U5" s="48"/>
    </row>
    <row r="6" spans="2:21" x14ac:dyDescent="0.2">
      <c r="B6" s="74"/>
      <c r="D6" t="s">
        <v>455</v>
      </c>
      <c r="E6" s="2" t="str">
        <f>Trajecto!H34</f>
        <v>Brun/Orange…</v>
      </c>
      <c r="G6" t="s">
        <v>460</v>
      </c>
      <c r="H6">
        <f>D_ref</f>
        <v>84</v>
      </c>
      <c r="N6" s="75"/>
      <c r="O6" s="6"/>
      <c r="P6" s="273"/>
      <c r="Q6" s="436"/>
      <c r="R6" s="48"/>
      <c r="S6" s="48"/>
      <c r="T6" s="48"/>
      <c r="U6" s="48"/>
    </row>
    <row r="7" spans="2:21" x14ac:dyDescent="0.2">
      <c r="B7" s="74"/>
      <c r="D7" t="s">
        <v>457</v>
      </c>
      <c r="E7" s="2" t="str">
        <f>Trajecto!H35</f>
        <v>Rouge…</v>
      </c>
      <c r="G7" t="s">
        <v>5</v>
      </c>
      <c r="H7">
        <f>Cx</f>
        <v>0.6</v>
      </c>
      <c r="N7" s="75"/>
      <c r="O7" s="6"/>
      <c r="P7" s="273"/>
      <c r="Q7" s="436"/>
      <c r="R7" s="48"/>
      <c r="S7" s="48"/>
      <c r="T7" s="48"/>
      <c r="U7" s="48"/>
    </row>
    <row r="8" spans="2:21" x14ac:dyDescent="0.2">
      <c r="B8" s="74"/>
      <c r="D8" t="s">
        <v>458</v>
      </c>
      <c r="E8" s="2">
        <f>S_para</f>
        <v>0.3125</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2.8519999999999999</v>
      </c>
      <c r="F11" s="246" t="s">
        <v>123</v>
      </c>
      <c r="G11" s="246" t="s">
        <v>125</v>
      </c>
      <c r="H11" s="668" t="e">
        <f ca="1">Vsortie_de_rampe</f>
        <v>#N/A</v>
      </c>
      <c r="I11" s="669"/>
      <c r="J11" s="76"/>
      <c r="N11" s="75"/>
      <c r="P11" s="48"/>
      <c r="Q11" s="436"/>
      <c r="R11" s="48"/>
      <c r="S11" s="48"/>
      <c r="T11" s="48"/>
      <c r="U11" s="440">
        <f>IF(RIGHT(Nb_diam,1)=",", "", X_j)</f>
        <v>0</v>
      </c>
    </row>
    <row r="12" spans="2:21" ht="13.5" thickBot="1" x14ac:dyDescent="0.25">
      <c r="B12" s="74"/>
      <c r="C12" s="12"/>
      <c r="D12" s="276"/>
      <c r="E12" s="244"/>
      <c r="F12" s="6" t="s">
        <v>123</v>
      </c>
      <c r="G12" s="6" t="s">
        <v>126</v>
      </c>
      <c r="H12" s="670">
        <f>Finesse</f>
        <v>11.80952380952381</v>
      </c>
      <c r="I12" s="671"/>
      <c r="J12" s="76"/>
      <c r="N12" s="75"/>
      <c r="O12" s="6"/>
      <c r="P12" s="273" t="s">
        <v>341</v>
      </c>
      <c r="Q12" s="441">
        <f>D_og</f>
        <v>84</v>
      </c>
      <c r="R12" s="48"/>
      <c r="S12" s="48"/>
      <c r="T12" s="48"/>
      <c r="U12" s="436"/>
    </row>
    <row r="13" spans="2:21" x14ac:dyDescent="0.2">
      <c r="B13" s="74"/>
      <c r="C13" s="12"/>
      <c r="D13" s="276" t="s">
        <v>5</v>
      </c>
      <c r="E13" s="244">
        <f>Cx</f>
        <v>0.6</v>
      </c>
      <c r="F13" s="6" t="s">
        <v>123</v>
      </c>
      <c r="G13" s="6" t="s">
        <v>433</v>
      </c>
      <c r="H13" s="670">
        <f>Cn</f>
        <v>15.188330654492475</v>
      </c>
      <c r="I13" s="671"/>
      <c r="J13" s="76"/>
      <c r="N13" s="75"/>
      <c r="O13" s="6"/>
      <c r="P13" s="48"/>
      <c r="Q13" s="436"/>
      <c r="R13" s="48"/>
      <c r="S13" s="48"/>
      <c r="T13" s="48"/>
      <c r="U13" s="440">
        <f>IF(RIGHT(Nb_diam,1)=",", "", X_r)</f>
        <v>0</v>
      </c>
    </row>
    <row r="14" spans="2:21" x14ac:dyDescent="0.2">
      <c r="B14" s="74"/>
      <c r="C14" s="12"/>
      <c r="D14" s="276" t="s">
        <v>143</v>
      </c>
      <c r="E14" s="244">
        <f>L_rampe</f>
        <v>4</v>
      </c>
      <c r="F14" s="6" t="s">
        <v>123</v>
      </c>
      <c r="G14" s="6" t="s">
        <v>127</v>
      </c>
      <c r="H14" s="247">
        <f ca="1">MS_min</f>
        <v>2.3786440222941545</v>
      </c>
      <c r="I14" s="254">
        <f ca="1">MS_max</f>
        <v>2.461361239820373</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36.127631919935588</v>
      </c>
      <c r="I15" s="254">
        <f ca="1">MS_Cn_max</f>
        <v>37.383968370543379</v>
      </c>
      <c r="J15" s="76"/>
      <c r="K15" s="76"/>
      <c r="N15" s="75"/>
      <c r="P15" s="48"/>
      <c r="Q15" s="436"/>
      <c r="R15" s="48"/>
      <c r="S15" s="48"/>
      <c r="T15" s="48"/>
    </row>
    <row r="16" spans="2:21" x14ac:dyDescent="0.2">
      <c r="B16" s="74"/>
      <c r="C16" s="12"/>
      <c r="D16" s="276" t="s">
        <v>145</v>
      </c>
      <c r="E16" s="244">
        <f>Q_ail</f>
        <v>4</v>
      </c>
      <c r="F16" s="6" t="s">
        <v>128</v>
      </c>
      <c r="G16" s="6" t="s">
        <v>129</v>
      </c>
      <c r="H16" s="247">
        <f ca="1">V_para</f>
        <v>12.267516728901475</v>
      </c>
      <c r="I16" s="253">
        <f>V_satellite</f>
        <v>12.655562623057198</v>
      </c>
      <c r="J16" s="76"/>
      <c r="N16" s="75"/>
      <c r="P16" s="48"/>
      <c r="Q16" s="436"/>
      <c r="R16" s="48"/>
      <c r="S16" s="48"/>
      <c r="T16" s="48"/>
      <c r="U16" s="440">
        <f>IF(RIGHT(Nb_diam,1)=",", "", l_j)</f>
        <v>0</v>
      </c>
    </row>
    <row r="17" spans="2:21" x14ac:dyDescent="0.2">
      <c r="B17" s="74"/>
      <c r="C17" s="12"/>
      <c r="D17" s="276" t="s">
        <v>146</v>
      </c>
      <c r="E17" s="272" t="str">
        <f>Forme_ogive</f>
        <v>Conique (droite)</v>
      </c>
      <c r="F17" s="6" t="s">
        <v>130</v>
      </c>
      <c r="G17" s="6" t="s">
        <v>131</v>
      </c>
      <c r="H17" s="670">
        <f>T_para</f>
        <v>16.399999999999999</v>
      </c>
      <c r="I17" s="671"/>
      <c r="J17" s="258"/>
      <c r="N17" s="75"/>
      <c r="P17" s="434" t="s">
        <v>342</v>
      </c>
      <c r="Q17" s="440">
        <f>IF(RIGHT(Nb_diam,1)=",", "", D2j)</f>
        <v>0</v>
      </c>
      <c r="R17" s="48"/>
      <c r="S17" s="48"/>
      <c r="T17" s="48"/>
      <c r="U17" s="436"/>
    </row>
    <row r="18" spans="2:21" x14ac:dyDescent="0.2">
      <c r="B18" s="74"/>
      <c r="C18" s="12"/>
      <c r="D18" s="276" t="s">
        <v>148</v>
      </c>
      <c r="E18" s="244">
        <f ca="1">XpropuRef-Long_propu</f>
        <v>714</v>
      </c>
      <c r="F18" s="12" t="s">
        <v>130</v>
      </c>
      <c r="G18" s="12" t="s">
        <v>427</v>
      </c>
      <c r="H18" s="635">
        <f ca="1">T_para-Combustion-Depotage</f>
        <v>2.4299999999999979</v>
      </c>
      <c r="I18" s="674"/>
      <c r="N18" s="75"/>
      <c r="P18" s="48"/>
      <c r="Q18" s="436"/>
      <c r="R18" s="48"/>
      <c r="S18" s="48"/>
    </row>
    <row r="19" spans="2:21" x14ac:dyDescent="0.2">
      <c r="B19" s="74"/>
      <c r="C19" s="531"/>
      <c r="D19" s="269"/>
      <c r="E19" s="271"/>
      <c r="F19" s="519" t="s">
        <v>132</v>
      </c>
      <c r="G19" s="274" t="s">
        <v>426</v>
      </c>
      <c r="H19" s="675">
        <f ca="1">Portee_balistique</f>
        <v>837.4075040097224</v>
      </c>
      <c r="I19" s="676"/>
      <c r="N19" s="75"/>
      <c r="P19" s="48"/>
      <c r="Q19" s="436"/>
      <c r="R19" s="48"/>
      <c r="S19" s="48"/>
      <c r="T19" s="48"/>
    </row>
    <row r="20" spans="2:21" x14ac:dyDescent="0.2">
      <c r="B20" s="74"/>
      <c r="C20" s="12"/>
      <c r="D20" s="6"/>
      <c r="E20" s="6"/>
      <c r="H20" s="518"/>
      <c r="I20" s="518"/>
      <c r="N20" s="75"/>
      <c r="P20" s="48"/>
      <c r="Q20" s="436"/>
      <c r="R20" s="48"/>
      <c r="S20" s="48"/>
      <c r="T20" s="48"/>
      <c r="U20" s="440">
        <f>IF(RIGHT(Nb_diam,1)=",", "", l_r)</f>
        <v>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543</v>
      </c>
      <c r="E23" s="527" t="s">
        <v>38</v>
      </c>
      <c r="F23" s="528">
        <f>m_ail</f>
        <v>170</v>
      </c>
      <c r="G23" s="526">
        <f>m_can</f>
        <v>180</v>
      </c>
      <c r="I23" s="529" t="s">
        <v>448</v>
      </c>
      <c r="J23" s="528">
        <f>l_j</f>
        <v>0</v>
      </c>
      <c r="K23" s="526">
        <f>l_r</f>
        <v>0</v>
      </c>
      <c r="N23" s="75"/>
      <c r="O23" s="273"/>
      <c r="P23" s="436"/>
      <c r="Q23" s="48"/>
      <c r="R23" s="48"/>
      <c r="S23" s="48"/>
      <c r="T23" s="226"/>
      <c r="U23" s="436"/>
    </row>
    <row r="24" spans="2:21" x14ac:dyDescent="0.2">
      <c r="B24" s="74"/>
      <c r="C24" s="526" t="s">
        <v>440</v>
      </c>
      <c r="D24" s="526">
        <f>Long_tot</f>
        <v>992</v>
      </c>
      <c r="E24" s="527" t="s">
        <v>443</v>
      </c>
      <c r="F24" s="528">
        <f>n_ail</f>
        <v>80</v>
      </c>
      <c r="G24" s="526">
        <f>n_can</f>
        <v>80</v>
      </c>
      <c r="I24" s="529" t="s">
        <v>449</v>
      </c>
      <c r="J24" s="528">
        <f>D1j</f>
        <v>0</v>
      </c>
      <c r="K24" s="526">
        <f>D1r</f>
        <v>0</v>
      </c>
      <c r="N24" s="75"/>
      <c r="O24" s="273"/>
      <c r="P24" s="436"/>
      <c r="Q24" s="48"/>
      <c r="R24" s="48"/>
      <c r="S24" s="48"/>
      <c r="T24" s="226"/>
      <c r="U24" s="436"/>
    </row>
    <row r="25" spans="2:21" x14ac:dyDescent="0.2">
      <c r="B25" s="74"/>
      <c r="C25" s="526" t="s">
        <v>441</v>
      </c>
      <c r="D25" s="526">
        <f>XpropuRef</f>
        <v>942</v>
      </c>
      <c r="E25" s="527" t="s">
        <v>444</v>
      </c>
      <c r="F25" s="528">
        <f>p_ail</f>
        <v>120</v>
      </c>
      <c r="G25" s="526">
        <f>p_can</f>
        <v>160</v>
      </c>
      <c r="I25" s="529" t="s">
        <v>450</v>
      </c>
      <c r="J25" s="528">
        <f>D2j</f>
        <v>0</v>
      </c>
      <c r="K25" s="526">
        <f>D2r</f>
        <v>0</v>
      </c>
      <c r="N25" s="75"/>
      <c r="O25" s="273"/>
      <c r="P25" s="436"/>
      <c r="Q25" s="48"/>
      <c r="R25" s="48"/>
      <c r="S25" s="48"/>
      <c r="T25" s="226"/>
      <c r="U25" s="436"/>
    </row>
    <row r="26" spans="2:21" x14ac:dyDescent="0.2">
      <c r="B26" s="74"/>
      <c r="C26" s="526" t="s">
        <v>438</v>
      </c>
      <c r="D26" s="526">
        <f>D_ref</f>
        <v>84</v>
      </c>
      <c r="E26" s="527" t="s">
        <v>445</v>
      </c>
      <c r="F26" s="528">
        <f>E_ail</f>
        <v>105</v>
      </c>
      <c r="G26" s="526">
        <f>E_can</f>
        <v>110</v>
      </c>
      <c r="I26" s="529" t="s">
        <v>451</v>
      </c>
      <c r="J26" s="528">
        <f>X_j</f>
        <v>0</v>
      </c>
      <c r="K26" s="526">
        <f>X_r</f>
        <v>0</v>
      </c>
      <c r="N26" s="75"/>
      <c r="O26" s="273"/>
      <c r="P26" s="436"/>
      <c r="Q26" s="48"/>
      <c r="R26" s="48"/>
      <c r="S26" s="48"/>
      <c r="T26" s="226"/>
      <c r="U26" s="436"/>
    </row>
    <row r="27" spans="2:21" x14ac:dyDescent="0.2">
      <c r="B27" s="74"/>
      <c r="C27" s="526" t="s">
        <v>439</v>
      </c>
      <c r="D27" s="526">
        <f>Long_ogive</f>
        <v>252</v>
      </c>
      <c r="E27" s="527" t="s">
        <v>446</v>
      </c>
      <c r="F27" s="528">
        <f>X_ail</f>
        <v>932</v>
      </c>
      <c r="G27" s="526">
        <f>X_can</f>
        <v>1250</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3" t="s">
        <v>141</v>
      </c>
      <c r="D29" s="673" t="s">
        <v>133</v>
      </c>
      <c r="E29" s="673" t="s">
        <v>134</v>
      </c>
      <c r="F29" s="673"/>
      <c r="G29" s="673"/>
      <c r="H29" s="672" t="s">
        <v>135</v>
      </c>
      <c r="I29" s="672"/>
      <c r="J29" s="672"/>
      <c r="K29" s="672"/>
      <c r="L29" s="673" t="s">
        <v>136</v>
      </c>
      <c r="M29" s="673" t="s">
        <v>137</v>
      </c>
      <c r="N29" s="75"/>
      <c r="O29" s="273" t="s">
        <v>430</v>
      </c>
      <c r="P29" s="441">
        <f>n_ail</f>
        <v>80</v>
      </c>
      <c r="Q29" s="2"/>
      <c r="R29" s="48"/>
      <c r="S29" s="48"/>
      <c r="T29" s="48"/>
      <c r="U29" s="12" t="s">
        <v>434</v>
      </c>
    </row>
    <row r="30" spans="2:21" ht="13.5" thickBot="1" x14ac:dyDescent="0.25">
      <c r="B30" s="74"/>
      <c r="C30" s="673"/>
      <c r="D30" s="673"/>
      <c r="E30" s="673"/>
      <c r="F30" s="673"/>
      <c r="G30" s="673"/>
      <c r="H30" s="672" t="s">
        <v>138</v>
      </c>
      <c r="I30" s="672"/>
      <c r="J30" s="69" t="s">
        <v>139</v>
      </c>
      <c r="K30" s="70" t="s">
        <v>140</v>
      </c>
      <c r="L30" s="673"/>
      <c r="M30" s="673"/>
      <c r="N30" s="75"/>
      <c r="P30" s="12"/>
      <c r="R30" s="48"/>
      <c r="S30" s="48"/>
      <c r="T30" s="226" t="s">
        <v>432</v>
      </c>
      <c r="U30" s="523">
        <f>[0]!p_can</f>
        <v>160</v>
      </c>
    </row>
    <row r="31" spans="2:21" ht="13.5" thickBot="1" x14ac:dyDescent="0.25">
      <c r="B31" s="74"/>
      <c r="C31" s="83">
        <f>Beta_rampe</f>
        <v>75.426997324279156</v>
      </c>
      <c r="D31" s="84">
        <f ca="1">Portee_balistique</f>
        <v>837.4075040097224</v>
      </c>
      <c r="E31" s="677">
        <f ca="1">T_para+Dt_para</f>
        <v>133.63407024339017</v>
      </c>
      <c r="F31" s="677"/>
      <c r="G31" s="677"/>
      <c r="H31" s="678">
        <f ca="1">Altitude_culmi</f>
        <v>1438.1709179079996</v>
      </c>
      <c r="I31" s="678"/>
      <c r="J31" s="85">
        <f ca="1">Temps_culmi</f>
        <v>16.399999999999928</v>
      </c>
      <c r="K31" s="86">
        <f ca="1">Vit_culmi</f>
        <v>24.25690016364392</v>
      </c>
      <c r="L31" s="84">
        <f ca="1">Acc_max</f>
        <v>51.850785916968078</v>
      </c>
      <c r="M31" s="86">
        <f ca="1">Vit_max</f>
        <v>174.0988930565585</v>
      </c>
      <c r="N31" s="75"/>
      <c r="O31" s="273" t="s">
        <v>436</v>
      </c>
      <c r="P31" s="441">
        <f>ep_ail</f>
        <v>3</v>
      </c>
      <c r="Q31" s="2"/>
      <c r="R31" s="48"/>
      <c r="S31" s="48"/>
      <c r="T31" s="226" t="s">
        <v>344</v>
      </c>
      <c r="U31" s="523">
        <f>[0]!m_can</f>
        <v>180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110</v>
      </c>
    </row>
    <row r="34" spans="2:21" ht="13.5" thickBot="1" x14ac:dyDescent="0.25">
      <c r="B34" s="77"/>
      <c r="C34" s="78"/>
      <c r="D34" s="78"/>
      <c r="E34" s="78"/>
      <c r="F34" s="78"/>
      <c r="G34" s="78"/>
      <c r="H34" s="78"/>
      <c r="I34" s="78"/>
      <c r="J34" s="78"/>
      <c r="K34" s="78"/>
      <c r="L34" s="78"/>
      <c r="M34" s="78"/>
      <c r="N34" s="79"/>
      <c r="O34" s="2"/>
      <c r="P34" s="273" t="s">
        <v>431</v>
      </c>
      <c r="Q34" s="441">
        <f>E_ail</f>
        <v>105</v>
      </c>
      <c r="T34" s="226" t="s">
        <v>436</v>
      </c>
      <c r="U34" s="523">
        <f>[0]!ep_can</f>
        <v>4</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FX5</v>
      </c>
      <c r="N38" s="75"/>
    </row>
    <row r="39" spans="2:21" x14ac:dyDescent="0.2">
      <c r="B39" s="74"/>
      <c r="D39" s="2"/>
      <c r="N39" s="75"/>
    </row>
    <row r="40" spans="2:21" x14ac:dyDescent="0.2">
      <c r="B40" s="74"/>
      <c r="D40" s="275" t="s">
        <v>149</v>
      </c>
      <c r="E40" s="246">
        <f>D_ref</f>
        <v>84</v>
      </c>
      <c r="F40" s="265"/>
      <c r="G40" s="265"/>
      <c r="H40" s="261" t="s">
        <v>198</v>
      </c>
      <c r="I40" s="261" t="s">
        <v>199</v>
      </c>
      <c r="J40" s="262" t="s">
        <v>200</v>
      </c>
      <c r="N40" s="75"/>
    </row>
    <row r="41" spans="2:21" x14ac:dyDescent="0.2">
      <c r="B41" s="74"/>
      <c r="D41" s="276" t="s">
        <v>147</v>
      </c>
      <c r="E41" s="6">
        <f>Long_ogive</f>
        <v>252</v>
      </c>
      <c r="F41" s="2"/>
      <c r="G41" s="2" t="s">
        <v>201</v>
      </c>
      <c r="H41" s="6">
        <f>MasseSans</f>
        <v>2.8519999999999999</v>
      </c>
      <c r="I41" s="6">
        <f ca="1">MasseVide</f>
        <v>2.9362999999999997</v>
      </c>
      <c r="J41" s="244">
        <f ca="1">MassePlein</f>
        <v>3.0118999999999998</v>
      </c>
      <c r="N41" s="75"/>
    </row>
    <row r="42" spans="2:21" x14ac:dyDescent="0.2">
      <c r="B42" s="74"/>
      <c r="D42" s="276" t="s">
        <v>150</v>
      </c>
      <c r="E42" s="6">
        <f>X_ail-m_ail</f>
        <v>762</v>
      </c>
      <c r="F42" s="255"/>
      <c r="G42" s="255" t="s">
        <v>218</v>
      </c>
      <c r="H42" s="263">
        <f>XcgSans</f>
        <v>543</v>
      </c>
      <c r="I42" s="263">
        <f ca="1">XcgVide</f>
        <v>551.18223614753265</v>
      </c>
      <c r="J42" s="245">
        <f ca="1">XcgPlein</f>
        <v>558.13048241973502</v>
      </c>
      <c r="N42" s="75"/>
    </row>
    <row r="43" spans="2:21" x14ac:dyDescent="0.2">
      <c r="B43" s="74"/>
      <c r="D43" s="276" t="str">
        <f>IF(Lang="Français","Emplanture 'm'",IF(Lang="English","Root edge  'm'",""))</f>
        <v>Emplanture 'm'</v>
      </c>
      <c r="E43" s="244">
        <f>m_ail</f>
        <v>170</v>
      </c>
      <c r="N43" s="75"/>
    </row>
    <row r="44" spans="2:21" x14ac:dyDescent="0.2">
      <c r="B44" s="74"/>
      <c r="D44" s="276" t="str">
        <f>IF(Lang="Français","Saumon      'n'",IF(Lang="English","Tip edge    'n'",""))</f>
        <v>Saumon      'n'</v>
      </c>
      <c r="E44" s="244">
        <f>n_ail</f>
        <v>80</v>
      </c>
      <c r="F44" s="246" t="s">
        <v>202</v>
      </c>
      <c r="G44" s="246" t="s">
        <v>207</v>
      </c>
      <c r="H44" s="668" t="e">
        <f ca="1">Vsortie_de_rampe</f>
        <v>#N/A</v>
      </c>
      <c r="I44" s="669"/>
      <c r="N44" s="75"/>
    </row>
    <row r="45" spans="2:21" x14ac:dyDescent="0.2">
      <c r="B45" s="74"/>
      <c r="D45" s="276" t="str">
        <f>IF(Lang="Français","Flèche        'p'",IF(Lang="English","Offset         'p'",""))</f>
        <v>Flèche        'p'</v>
      </c>
      <c r="E45" s="244">
        <f>p_ail</f>
        <v>120</v>
      </c>
      <c r="F45" s="6" t="s">
        <v>203</v>
      </c>
      <c r="G45" s="6" t="s">
        <v>208</v>
      </c>
      <c r="H45" s="670">
        <f>Finesse</f>
        <v>11.80952380952381</v>
      </c>
      <c r="I45" s="671"/>
      <c r="N45" s="75"/>
    </row>
    <row r="46" spans="2:21" x14ac:dyDescent="0.2">
      <c r="B46" s="74"/>
      <c r="D46" s="276" t="str">
        <f>IF(Lang="Français","Envergure   'E'",IF(Lang="English","Span          'E'",""))</f>
        <v>Envergure   'E'</v>
      </c>
      <c r="E46" s="244">
        <f>E_ail</f>
        <v>105</v>
      </c>
      <c r="F46" s="6" t="s">
        <v>204</v>
      </c>
      <c r="G46" s="6" t="s">
        <v>209</v>
      </c>
      <c r="H46" s="670">
        <f>Cn</f>
        <v>15.188330654492475</v>
      </c>
      <c r="I46" s="671"/>
      <c r="N46" s="75"/>
    </row>
    <row r="47" spans="2:21" x14ac:dyDescent="0.2">
      <c r="B47" s="74"/>
      <c r="D47" s="276" t="s">
        <v>144</v>
      </c>
      <c r="E47" s="244">
        <f>ep_ail</f>
        <v>3</v>
      </c>
      <c r="F47" s="6" t="s">
        <v>205</v>
      </c>
      <c r="G47" s="6" t="s">
        <v>210</v>
      </c>
      <c r="H47" s="247">
        <f ca="1">MS_min</f>
        <v>2.3786440222941545</v>
      </c>
      <c r="I47" s="254">
        <f ca="1">MS_max</f>
        <v>2.461361239820373</v>
      </c>
      <c r="N47" s="75"/>
    </row>
    <row r="48" spans="2:21" x14ac:dyDescent="0.2">
      <c r="B48" s="74"/>
      <c r="D48" s="276" t="s">
        <v>145</v>
      </c>
      <c r="E48" s="244">
        <f>Q_ail</f>
        <v>4</v>
      </c>
      <c r="F48" s="274" t="s">
        <v>206</v>
      </c>
      <c r="G48" s="274" t="s">
        <v>211</v>
      </c>
      <c r="H48" s="256">
        <f ca="1">MS_Cn_min</f>
        <v>36.127631919935588</v>
      </c>
      <c r="I48" s="264">
        <f ca="1">MS_Cn_max</f>
        <v>37.383968370543379</v>
      </c>
      <c r="N48" s="75"/>
    </row>
    <row r="49" spans="2:14" x14ac:dyDescent="0.2">
      <c r="B49" s="74"/>
      <c r="D49" s="276" t="s">
        <v>148</v>
      </c>
      <c r="E49" s="244">
        <f ca="1">XpropuRef-Long_propu</f>
        <v>714</v>
      </c>
      <c r="N49" s="75"/>
    </row>
    <row r="50" spans="2:14" x14ac:dyDescent="0.2">
      <c r="B50" s="74"/>
      <c r="D50" s="276" t="s">
        <v>146</v>
      </c>
      <c r="E50" s="272" t="str">
        <f>Forme_ogive</f>
        <v>Conique (droite)</v>
      </c>
      <c r="F50" s="273" t="s">
        <v>183</v>
      </c>
      <c r="G50" s="275" t="s">
        <v>5</v>
      </c>
      <c r="H50" s="246">
        <f>Cx</f>
        <v>0.6</v>
      </c>
      <c r="I50" s="265"/>
      <c r="J50" s="266"/>
      <c r="N50" s="75"/>
    </row>
    <row r="51" spans="2:14" x14ac:dyDescent="0.2">
      <c r="B51" s="74"/>
      <c r="D51" s="276" t="s">
        <v>142</v>
      </c>
      <c r="E51" s="244">
        <f>Long_tot</f>
        <v>992</v>
      </c>
      <c r="G51" s="276" t="s">
        <v>212</v>
      </c>
      <c r="H51" s="6">
        <f>Sref</f>
        <v>6.8017694409323948E-3</v>
      </c>
      <c r="J51" s="267"/>
      <c r="N51" s="75"/>
    </row>
    <row r="52" spans="2:14" x14ac:dyDescent="0.2">
      <c r="B52" s="74"/>
      <c r="D52" s="276" t="s">
        <v>196</v>
      </c>
      <c r="E52" s="244">
        <f>MAX(D_ref,D_ail,D_og,(RIGHT(Nb_diam,1)=",")*MAX(D1j,D1r,D2j,D2r))</f>
        <v>84</v>
      </c>
      <c r="G52" s="276" t="s">
        <v>213</v>
      </c>
      <c r="H52" s="6">
        <f>Beta_rampe</f>
        <v>75.426997324279156</v>
      </c>
      <c r="I52" s="6">
        <v>80</v>
      </c>
      <c r="J52" s="244">
        <v>90</v>
      </c>
      <c r="N52" s="75"/>
    </row>
    <row r="53" spans="2:14" x14ac:dyDescent="0.2">
      <c r="B53" s="74"/>
      <c r="D53" s="277" t="s">
        <v>197</v>
      </c>
      <c r="E53" s="260">
        <f>E_ail*2+D_ail</f>
        <v>294</v>
      </c>
      <c r="G53" s="278" t="s">
        <v>215</v>
      </c>
      <c r="H53" s="247">
        <f ca="1">Temps_culmi</f>
        <v>16.399999999999928</v>
      </c>
      <c r="I53" s="259"/>
      <c r="J53" s="268"/>
      <c r="N53" s="75"/>
    </row>
    <row r="54" spans="2:14" x14ac:dyDescent="0.2">
      <c r="B54" s="74"/>
      <c r="G54" s="278" t="s">
        <v>216</v>
      </c>
      <c r="H54" s="242">
        <f ca="1">Altitude_culmi</f>
        <v>1438.1709179079996</v>
      </c>
      <c r="I54" s="259"/>
      <c r="J54" s="268"/>
      <c r="N54" s="75"/>
    </row>
    <row r="55" spans="2:14" x14ac:dyDescent="0.2">
      <c r="B55" s="74"/>
      <c r="C55" s="275" t="s">
        <v>233</v>
      </c>
      <c r="D55" s="249" t="s">
        <v>60</v>
      </c>
      <c r="E55" s="243">
        <f>Long_tot</f>
        <v>992</v>
      </c>
      <c r="G55" s="278" t="s">
        <v>217</v>
      </c>
      <c r="H55" s="248">
        <f ca="1">Vit_culmi</f>
        <v>24.25690016364392</v>
      </c>
      <c r="I55" s="259"/>
      <c r="J55" s="268"/>
      <c r="N55" s="75"/>
    </row>
    <row r="56" spans="2:14" x14ac:dyDescent="0.2">
      <c r="B56" s="74"/>
      <c r="C56" s="276"/>
      <c r="D56" s="2" t="s">
        <v>219</v>
      </c>
      <c r="E56" s="244">
        <f>MAX(D_ref,D_ail,D_og,(RIGHT(Nb_diam,1)=",")*MAX(D1j,D1r,D2j,D2r))</f>
        <v>84</v>
      </c>
      <c r="G56" s="278" t="s">
        <v>133</v>
      </c>
      <c r="H56" s="242">
        <f ca="1">Portee_balistique</f>
        <v>837.4075040097224</v>
      </c>
      <c r="I56" s="259"/>
      <c r="J56" s="268"/>
      <c r="N56" s="75"/>
    </row>
    <row r="57" spans="2:14" x14ac:dyDescent="0.2">
      <c r="B57" s="74"/>
      <c r="C57" s="276"/>
      <c r="D57" s="2" t="s">
        <v>220</v>
      </c>
      <c r="E57" s="244">
        <f>E_ail*2+D_ail</f>
        <v>294</v>
      </c>
      <c r="G57" s="278" t="s">
        <v>214</v>
      </c>
      <c r="H57" s="242">
        <f ca="1">T_balistique</f>
        <v>37.100000000000222</v>
      </c>
      <c r="I57" s="259"/>
      <c r="J57" s="268"/>
      <c r="N57" s="75"/>
    </row>
    <row r="58" spans="2:14" x14ac:dyDescent="0.2">
      <c r="B58" s="74"/>
      <c r="C58" s="276"/>
      <c r="D58" s="2" t="s">
        <v>221</v>
      </c>
      <c r="E58" s="244">
        <f ca="1">MassePlein</f>
        <v>3.0118999999999998</v>
      </c>
      <c r="G58" s="278" t="s">
        <v>137</v>
      </c>
      <c r="H58" s="248">
        <f ca="1">Vit_max</f>
        <v>174.0988930565585</v>
      </c>
      <c r="I58" s="259"/>
      <c r="J58" s="268"/>
      <c r="N58" s="75"/>
    </row>
    <row r="59" spans="2:14" x14ac:dyDescent="0.2">
      <c r="B59" s="74"/>
      <c r="C59" s="277" t="s">
        <v>234</v>
      </c>
      <c r="D59" s="255" t="s">
        <v>145</v>
      </c>
      <c r="E59" s="260">
        <f>Q_ail</f>
        <v>4</v>
      </c>
      <c r="G59" s="278" t="s">
        <v>136</v>
      </c>
      <c r="H59" s="242">
        <f ca="1">Acc_max</f>
        <v>51.850785916968078</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312.33876420663228</v>
      </c>
      <c r="F62" s="280">
        <f ca="1">E62/9.81</f>
        <v>31.83881388446812</v>
      </c>
      <c r="H62" s="2"/>
      <c r="I62" s="2"/>
      <c r="J62" s="2"/>
      <c r="K62" s="2"/>
      <c r="N62" s="75"/>
    </row>
    <row r="63" spans="2:14" x14ac:dyDescent="0.2">
      <c r="B63" s="74"/>
      <c r="C63" s="276"/>
      <c r="D63" s="2" t="s">
        <v>223</v>
      </c>
      <c r="E63" s="242">
        <f ca="1">2*Acc_max*Masse_ail</f>
        <v>8.1664987819224724</v>
      </c>
      <c r="F63" s="248">
        <f ca="1">E63/9.81</f>
        <v>0.83246674637334062</v>
      </c>
      <c r="G63" s="246" t="s">
        <v>229</v>
      </c>
      <c r="H63" s="288">
        <f>S_ail*(ep_ail/1000)*2000</f>
        <v>7.8750000000000001E-2</v>
      </c>
      <c r="I63" s="2"/>
      <c r="J63" s="2"/>
      <c r="K63" s="2"/>
      <c r="N63" s="75"/>
    </row>
    <row r="64" spans="2:14" x14ac:dyDescent="0.2">
      <c r="B64" s="74"/>
      <c r="C64" s="277"/>
      <c r="D64" s="255" t="s">
        <v>224</v>
      </c>
      <c r="E64" s="263">
        <f ca="1">0.104*S_ail*Vit_max^2</f>
        <v>41.373729529203416</v>
      </c>
      <c r="F64" s="281">
        <f ca="1">E64/9.81</f>
        <v>4.2175055585324577</v>
      </c>
      <c r="G64" s="274" t="s">
        <v>228</v>
      </c>
      <c r="H64" s="289">
        <f>(E_ail*(m_ail+n_ail)/2)/10^6</f>
        <v>1.3125E-2</v>
      </c>
      <c r="I64" s="2"/>
      <c r="J64" s="2"/>
      <c r="K64" s="2"/>
      <c r="N64" s="75"/>
    </row>
    <row r="65" spans="2:14" x14ac:dyDescent="0.2">
      <c r="B65" s="74"/>
      <c r="C65" s="282" t="s">
        <v>242</v>
      </c>
      <c r="D65" s="285" t="s">
        <v>240</v>
      </c>
      <c r="E65" s="286">
        <f ca="1">2*Acc_max*H65</f>
        <v>156.16938210331614</v>
      </c>
      <c r="F65" s="286">
        <f ca="1">E65/9.81</f>
        <v>15.91940694223406</v>
      </c>
      <c r="G65" s="287" t="s">
        <v>241</v>
      </c>
      <c r="H65" s="279">
        <f ca="1">E58/2</f>
        <v>1.5059499999999999</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16.399999999999999</v>
      </c>
      <c r="I67" s="251">
        <f ca="1">Temps_culmi</f>
        <v>16.399999999999928</v>
      </c>
      <c r="J67" s="2"/>
      <c r="K67" s="2"/>
      <c r="N67" s="75"/>
    </row>
    <row r="68" spans="2:14" x14ac:dyDescent="0.2">
      <c r="B68" s="74"/>
      <c r="C68" s="6"/>
      <c r="D68" s="2"/>
      <c r="E68" s="2"/>
      <c r="F68" s="275" t="s">
        <v>231</v>
      </c>
      <c r="G68" s="249" t="s">
        <v>129</v>
      </c>
      <c r="H68" s="250">
        <f ca="1">V_para</f>
        <v>12.267516728901475</v>
      </c>
      <c r="I68" s="251">
        <f>V_satellite</f>
        <v>12.655562623057198</v>
      </c>
      <c r="J68" s="2"/>
      <c r="K68" s="2"/>
      <c r="N68" s="75"/>
    </row>
    <row r="69" spans="2:14" x14ac:dyDescent="0.2">
      <c r="B69" s="74"/>
      <c r="C69" s="6"/>
      <c r="D69" s="2"/>
      <c r="E69" s="2"/>
      <c r="F69" s="276"/>
      <c r="G69" s="2" t="s">
        <v>237</v>
      </c>
      <c r="H69" s="247">
        <f>S_para</f>
        <v>0.3125</v>
      </c>
      <c r="I69" s="253">
        <f>S_satellite</f>
        <v>0.1</v>
      </c>
      <c r="J69" s="2"/>
      <c r="K69" s="2"/>
      <c r="N69" s="75"/>
    </row>
    <row r="70" spans="2:14" x14ac:dyDescent="0.2">
      <c r="B70" s="74"/>
      <c r="C70" s="226"/>
      <c r="D70" s="2"/>
      <c r="F70" s="276"/>
      <c r="G70" s="2" t="s">
        <v>236</v>
      </c>
      <c r="H70" s="247">
        <f ca="1">V_ouverture</f>
        <v>24.25690016364392</v>
      </c>
      <c r="I70" s="253">
        <f ca="1">V_ouv_sat</f>
        <v>156.80500784158076</v>
      </c>
      <c r="N70" s="75"/>
    </row>
    <row r="71" spans="2:14" x14ac:dyDescent="0.2">
      <c r="B71" s="74"/>
      <c r="C71" s="226"/>
      <c r="F71" s="276"/>
      <c r="G71" s="2" t="s">
        <v>201</v>
      </c>
      <c r="H71" s="247">
        <f ca="1">m_vide</f>
        <v>2.9362999999999997</v>
      </c>
      <c r="I71" s="253">
        <f>m_satellite</f>
        <v>1</v>
      </c>
      <c r="N71" s="75"/>
    </row>
    <row r="72" spans="2:14" x14ac:dyDescent="0.2">
      <c r="B72" s="74"/>
      <c r="C72" s="226"/>
      <c r="F72" s="276"/>
      <c r="G72" s="2" t="s">
        <v>238</v>
      </c>
      <c r="H72" s="283">
        <f ca="1">1/2*Rho_moyen*S_para*V_ouverture^2</f>
        <v>112.62290262461106</v>
      </c>
      <c r="I72" s="284">
        <f ca="1">1/2*Rho_moyen*S_satellite*V_ouv_sat^2</f>
        <v>1506.0033921571401</v>
      </c>
      <c r="N72" s="75"/>
    </row>
    <row r="73" spans="2:14" x14ac:dyDescent="0.2">
      <c r="B73" s="74"/>
      <c r="D73" s="2"/>
      <c r="F73" s="277"/>
      <c r="G73" s="255" t="s">
        <v>239</v>
      </c>
      <c r="H73" s="256">
        <f ca="1">H72/9.81</f>
        <v>11.480418208421106</v>
      </c>
      <c r="I73" s="257">
        <f ca="1">I72/9.81</f>
        <v>153.51716535750663</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SP02-Beta</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46010</v>
      </c>
      <c r="E83" s="48"/>
      <c r="F83" s="436"/>
      <c r="G83" s="48"/>
      <c r="H83" s="48"/>
      <c r="I83" s="48"/>
      <c r="J83" s="48"/>
      <c r="K83" s="48"/>
      <c r="N83" s="75"/>
    </row>
    <row r="84" spans="2:14" ht="13.5" thickBot="1" x14ac:dyDescent="0.25">
      <c r="B84" s="74"/>
      <c r="E84" s="48"/>
      <c r="F84" s="436"/>
      <c r="G84" s="48"/>
      <c r="H84" s="48"/>
      <c r="I84" s="48"/>
      <c r="J84" s="440">
        <f>IF(RIGHT(Nb_diam,1)=",", "", X_j)</f>
        <v>0</v>
      </c>
      <c r="K84" s="48"/>
      <c r="N84" s="75"/>
    </row>
    <row r="85" spans="2:14" ht="13.5" thickBot="1" x14ac:dyDescent="0.25">
      <c r="B85" s="74"/>
      <c r="C85" s="275" t="s">
        <v>337</v>
      </c>
      <c r="D85" s="243" t="str">
        <f>Propu</f>
        <v>Pandora (Pro24-6G BS)</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0</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0</v>
      </c>
      <c r="G90" s="48"/>
      <c r="H90" s="48"/>
      <c r="I90" s="48"/>
      <c r="J90" s="441">
        <f>X_ail-m_ail</f>
        <v>762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0</v>
      </c>
      <c r="K92" s="48"/>
      <c r="N92" s="75"/>
    </row>
    <row r="93" spans="2:14" x14ac:dyDescent="0.2">
      <c r="B93" s="74"/>
      <c r="E93" s="48"/>
      <c r="F93" s="436"/>
      <c r="G93" s="48"/>
      <c r="H93" s="48"/>
      <c r="I93" s="48"/>
      <c r="J93" s="436"/>
      <c r="K93" s="48"/>
      <c r="N93" s="75"/>
    </row>
    <row r="94" spans="2:14" x14ac:dyDescent="0.2">
      <c r="B94" s="74"/>
      <c r="E94" s="434" t="s">
        <v>343</v>
      </c>
      <c r="F94" s="440">
        <f>IF(RIGHT(Nb_diam,1)=",", "", D2r)</f>
        <v>0</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170</v>
      </c>
      <c r="G97" s="48"/>
      <c r="H97" s="48"/>
      <c r="I97" s="48"/>
      <c r="J97" s="441">
        <f>p_ail</f>
        <v>120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714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105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2.8519999999999999</v>
      </c>
      <c r="F107" s="244">
        <f ca="1">MassePlein</f>
        <v>3.0118999999999998</v>
      </c>
      <c r="N107" s="75"/>
    </row>
    <row r="108" spans="2:14" x14ac:dyDescent="0.2">
      <c r="B108" s="74"/>
      <c r="D108" s="431" t="s">
        <v>352</v>
      </c>
      <c r="E108" s="274">
        <f>XcgSans</f>
        <v>543</v>
      </c>
      <c r="F108" s="260">
        <f ca="1">XcgPlein</f>
        <v>558.13048241973502</v>
      </c>
      <c r="N108" s="75"/>
    </row>
    <row r="109" spans="2:14" x14ac:dyDescent="0.2">
      <c r="B109" s="74"/>
      <c r="N109" s="75"/>
    </row>
    <row r="110" spans="2:14" x14ac:dyDescent="0.2">
      <c r="B110" s="74"/>
      <c r="D110" s="438" t="s">
        <v>355</v>
      </c>
      <c r="E110" s="439">
        <f ca="1">MasseVide</f>
        <v>2.9362999999999997</v>
      </c>
      <c r="G110" s="429" t="s">
        <v>356</v>
      </c>
      <c r="H110" s="265"/>
      <c r="I110" s="265"/>
      <c r="J110" s="266"/>
      <c r="N110" s="75"/>
    </row>
    <row r="111" spans="2:14" x14ac:dyDescent="0.2">
      <c r="B111" s="74"/>
      <c r="G111" s="276" t="s">
        <v>213</v>
      </c>
      <c r="H111" s="6">
        <f>Beta_rampe</f>
        <v>75.426997324279156</v>
      </c>
      <c r="I111" s="6">
        <v>80</v>
      </c>
      <c r="J111" s="244">
        <v>90</v>
      </c>
      <c r="N111" s="75"/>
    </row>
    <row r="112" spans="2:14" x14ac:dyDescent="0.2">
      <c r="B112" s="74"/>
      <c r="G112" s="278" t="s">
        <v>215</v>
      </c>
      <c r="H112" s="247">
        <f ca="1">Temps_culmi</f>
        <v>16.399999999999928</v>
      </c>
      <c r="I112" s="259"/>
      <c r="J112" s="268"/>
      <c r="N112" s="75"/>
    </row>
    <row r="113" spans="2:14" ht="12.75" customHeight="1" x14ac:dyDescent="0.25">
      <c r="B113" s="74"/>
      <c r="D113" s="435" t="s">
        <v>357</v>
      </c>
      <c r="E113" s="48"/>
      <c r="G113" s="278" t="s">
        <v>216</v>
      </c>
      <c r="H113" s="242">
        <f ca="1">Altitude_culmi</f>
        <v>1438.1709179079996</v>
      </c>
      <c r="I113" s="259"/>
      <c r="J113" s="268"/>
      <c r="N113" s="75"/>
    </row>
    <row r="114" spans="2:14" ht="12.75" customHeight="1" x14ac:dyDescent="0.25">
      <c r="B114" s="74"/>
      <c r="D114" s="48"/>
      <c r="E114" s="48"/>
      <c r="F114" s="435"/>
      <c r="G114" s="278" t="s">
        <v>217</v>
      </c>
      <c r="H114" s="248">
        <f ca="1">Vit_culmi</f>
        <v>24.25690016364392</v>
      </c>
      <c r="I114" s="259"/>
      <c r="J114" s="268"/>
      <c r="N114" s="75"/>
    </row>
    <row r="115" spans="2:14" x14ac:dyDescent="0.2">
      <c r="B115" s="74"/>
      <c r="C115" s="429" t="s">
        <v>358</v>
      </c>
      <c r="D115" s="249"/>
      <c r="E115" s="446">
        <v>0.1</v>
      </c>
      <c r="G115" s="278" t="s">
        <v>133</v>
      </c>
      <c r="H115" s="242">
        <f ca="1">Portee_balistique</f>
        <v>837.4075040097224</v>
      </c>
      <c r="I115" s="259"/>
      <c r="J115" s="268"/>
      <c r="N115" s="75"/>
    </row>
    <row r="116" spans="2:14" ht="12.75" customHeight="1" x14ac:dyDescent="0.2">
      <c r="B116" s="74"/>
      <c r="C116" s="431" t="s">
        <v>359</v>
      </c>
      <c r="D116" s="255"/>
      <c r="E116" s="447">
        <f>E_ail*(m_ail+n_ail)/2</f>
        <v>13125</v>
      </c>
      <c r="G116" s="278" t="s">
        <v>137</v>
      </c>
      <c r="H116" s="248">
        <f ca="1">Vit_max</f>
        <v>174.0988930565585</v>
      </c>
      <c r="I116" s="259"/>
      <c r="J116" s="268"/>
      <c r="N116" s="75"/>
    </row>
    <row r="117" spans="2:14" ht="12.75" customHeight="1" x14ac:dyDescent="0.2">
      <c r="B117" s="74"/>
      <c r="D117" s="48"/>
      <c r="E117" s="48"/>
      <c r="F117" s="48"/>
      <c r="G117" s="278" t="s">
        <v>136</v>
      </c>
      <c r="H117" s="242">
        <f ca="1">Acc_max</f>
        <v>51.850785916968078</v>
      </c>
      <c r="I117" s="259"/>
      <c r="J117" s="268"/>
      <c r="N117" s="75"/>
    </row>
    <row r="118" spans="2:14" x14ac:dyDescent="0.2">
      <c r="B118" s="74"/>
      <c r="C118" s="429" t="s">
        <v>360</v>
      </c>
      <c r="D118" s="249"/>
      <c r="E118" s="457"/>
      <c r="F118" s="458">
        <f>J90/100</f>
        <v>7.62</v>
      </c>
      <c r="G118" s="276" t="s">
        <v>5</v>
      </c>
      <c r="H118" s="6">
        <f>Cx</f>
        <v>0.6</v>
      </c>
      <c r="I118" s="259"/>
      <c r="J118" s="268"/>
      <c r="N118" s="75"/>
    </row>
    <row r="119" spans="2:14" x14ac:dyDescent="0.2">
      <c r="B119" s="74"/>
      <c r="C119" s="437" t="s">
        <v>361</v>
      </c>
      <c r="D119" s="2"/>
      <c r="E119" s="459">
        <f ca="1">2*Acc_max*MasseSans</f>
        <v>295.75688287038588</v>
      </c>
      <c r="F119" s="460">
        <f ca="1">E119/g</f>
        <v>30.148509976593871</v>
      </c>
      <c r="G119" s="269" t="s">
        <v>222</v>
      </c>
      <c r="H119" s="270"/>
      <c r="I119" s="270"/>
      <c r="J119" s="271"/>
      <c r="N119" s="75"/>
    </row>
    <row r="120" spans="2:14" x14ac:dyDescent="0.2">
      <c r="B120" s="74"/>
      <c r="C120" s="437" t="s">
        <v>362</v>
      </c>
      <c r="D120" s="2"/>
      <c r="E120" s="459">
        <f ca="1">2*Acc_max*E115</f>
        <v>10.370157183393616</v>
      </c>
      <c r="F120" s="460">
        <f ca="1">E120/g</f>
        <v>1.0571006303153532</v>
      </c>
      <c r="N120" s="75"/>
    </row>
    <row r="121" spans="2:14" x14ac:dyDescent="0.2">
      <c r="B121" s="74"/>
      <c r="C121" s="431" t="s">
        <v>363</v>
      </c>
      <c r="D121" s="255"/>
      <c r="E121" s="452">
        <f ca="1">0.104*E116/1000000*Vit_max^2</f>
        <v>41.373729529203416</v>
      </c>
      <c r="F121" s="453">
        <f ca="1">E121/g</f>
        <v>4.2175055585324577</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0.3125</v>
      </c>
      <c r="G127" s="48"/>
      <c r="J127" s="48"/>
      <c r="N127" s="75"/>
    </row>
    <row r="128" spans="2:14" x14ac:dyDescent="0.2">
      <c r="B128" s="74"/>
      <c r="C128" s="681" t="s">
        <v>368</v>
      </c>
      <c r="D128" s="682"/>
      <c r="E128" s="450">
        <f ca="1">0.5*Rho_moyen*S_para*Vit_culmi^2</f>
        <v>112.62290262461106</v>
      </c>
      <c r="F128" s="451">
        <f ca="1">E128/g</f>
        <v>11.480418208421106</v>
      </c>
      <c r="H128" s="48"/>
      <c r="I128" s="48"/>
      <c r="J128" s="48"/>
      <c r="K128" s="48"/>
      <c r="N128" s="75"/>
    </row>
    <row r="129" spans="2:14" x14ac:dyDescent="0.2">
      <c r="B129" s="74"/>
      <c r="C129" s="679" t="s">
        <v>369</v>
      </c>
      <c r="D129" s="680"/>
      <c r="E129" s="452">
        <f ca="1">E128/E126*2</f>
        <v>56.311451312305529</v>
      </c>
      <c r="F129" s="453">
        <f ca="1">E129/g</f>
        <v>5.7402091042105532</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81" t="s">
        <v>371</v>
      </c>
      <c r="D132" s="682"/>
      <c r="E132" s="454">
        <v>1</v>
      </c>
      <c r="F132" s="48"/>
      <c r="G132" s="48"/>
      <c r="H132" s="48"/>
      <c r="I132" s="48"/>
      <c r="J132" s="442"/>
      <c r="K132" s="48"/>
      <c r="N132" s="75"/>
    </row>
    <row r="133" spans="2:14" x14ac:dyDescent="0.2">
      <c r="B133" s="74"/>
      <c r="C133" s="679" t="s">
        <v>372</v>
      </c>
      <c r="D133" s="680"/>
      <c r="E133" s="455">
        <f ca="1">2*E132*Acc_max/g</f>
        <v>10.571006303153533</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C133:D133"/>
    <mergeCell ref="C128:D128"/>
    <mergeCell ref="C129:D129"/>
    <mergeCell ref="C132:D132"/>
    <mergeCell ref="H44:I44"/>
    <mergeCell ref="H45:I45"/>
    <mergeCell ref="H46:I46"/>
    <mergeCell ref="E31:G31"/>
    <mergeCell ref="M29:M30"/>
    <mergeCell ref="H30:I30"/>
    <mergeCell ref="L29:L30"/>
    <mergeCell ref="H31:I31"/>
    <mergeCell ref="H11:I11"/>
    <mergeCell ref="H12:I12"/>
    <mergeCell ref="H13:I13"/>
    <mergeCell ref="H29:K29"/>
    <mergeCell ref="C29:C30"/>
    <mergeCell ref="D29:D30"/>
    <mergeCell ref="H17:I17"/>
    <mergeCell ref="H18:I18"/>
    <mergeCell ref="H19:I19"/>
    <mergeCell ref="E29:G30"/>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2025-12-19T10:45:03Z</dcterms:modified>
</cp:coreProperties>
</file>