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backupFile="1" codeName="ThisWorkbook"/>
  <mc:AlternateContent xmlns:mc="http://schemas.openxmlformats.org/markup-compatibility/2006">
    <mc:Choice Requires="x15">
      <x15ac:absPath xmlns:x15ac="http://schemas.microsoft.com/office/spreadsheetml/2010/11/ac" url="C:\Users\alexi\Documents\scolaire\IPSA\AeroIpsa\SP-02\STABTRAJ\pro24_4_4_new\Alpha_Beta\"/>
    </mc:Choice>
  </mc:AlternateContent>
  <xr:revisionPtr revIDLastSave="0" documentId="13_ncr:1_{AD5508A5-A381-4F71-B49D-E25DFDEB91BF}" xr6:coauthVersionLast="47" xr6:coauthVersionMax="47" xr10:uidLastSave="{00000000-0000-0000-0000-000000000000}"/>
  <bookViews>
    <workbookView xWindow="-120" yWindow="-120" windowWidth="29040" windowHeight="15990" activeTab="1"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Propu!$A$317:$A$324</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7" i="6" l="1"/>
  <c r="C15" i="6" l="1"/>
  <c r="H27" i="6" s="1"/>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45" i="7"/>
  <c r="C16" i="8"/>
  <c r="B68" i="8"/>
  <c r="C68" i="8" s="1"/>
  <c r="B56" i="8"/>
  <c r="C56" i="8" s="1"/>
  <c r="B58" i="8"/>
  <c r="C58" i="8" s="1"/>
  <c r="B62" i="8"/>
  <c r="C62" i="8" s="1"/>
  <c r="O18" i="6"/>
  <c r="O21" i="6"/>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Q3" i="4"/>
  <c r="T3" i="4"/>
  <c r="Y4"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0" i="6"/>
  <c r="E34" i="6"/>
  <c r="D138" i="6"/>
  <c r="D145" i="6"/>
  <c r="D148" i="6"/>
  <c r="D143" i="6"/>
  <c r="D141" i="6"/>
  <c r="D134" i="6"/>
  <c r="E134" i="6" s="1"/>
  <c r="O20" i="6"/>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X2" i="4"/>
  <c r="E4" i="4"/>
  <c r="O3" i="4"/>
  <c r="V4" i="4"/>
  <c r="J4" i="4"/>
  <c r="P2" i="4"/>
  <c r="P3" i="4"/>
  <c r="T2" i="4"/>
  <c r="L3" i="4"/>
  <c r="H4" i="4"/>
  <c r="M4" i="4"/>
  <c r="Q4" i="4"/>
  <c r="R4" i="4"/>
  <c r="F3" i="4"/>
  <c r="X3" i="4"/>
  <c r="W4" i="4"/>
  <c r="H2" i="4"/>
  <c r="X4" i="4"/>
  <c r="N2" i="4"/>
  <c r="I4" i="4"/>
  <c r="G4" i="4"/>
  <c r="V2" i="4"/>
  <c r="S4" i="4"/>
  <c r="R2" i="4"/>
  <c r="U3" i="4"/>
  <c r="F4" i="4"/>
  <c r="Y3" i="4"/>
  <c r="J3" i="4"/>
  <c r="L4" i="4"/>
  <c r="B3" i="4"/>
  <c r="H3" i="4"/>
  <c r="W3" i="4"/>
  <c r="M3" i="4"/>
  <c r="P4" i="4"/>
  <c r="R3" i="4"/>
  <c r="D4" i="4"/>
  <c r="G3" i="4"/>
  <c r="Z2" i="4"/>
  <c r="L2" i="4"/>
  <c r="U4" i="4"/>
  <c r="K3" i="4"/>
  <c r="V3" i="4"/>
  <c r="T4" i="4"/>
  <c r="O4" i="4"/>
  <c r="E3" i="4"/>
  <c r="S3" i="4"/>
  <c r="B4" i="4"/>
  <c r="J2" i="4"/>
  <c r="D3" i="4"/>
  <c r="C3" i="4"/>
  <c r="I3" i="4"/>
  <c r="C4" i="4"/>
  <c r="K4" i="4"/>
  <c r="N3" i="4"/>
  <c r="N4" i="4"/>
  <c r="I28" i="6" l="1"/>
  <c r="I31" i="6"/>
  <c r="D166" i="6"/>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E29" i="6"/>
  <c r="M22" i="6" s="1"/>
  <c r="C191" i="6"/>
  <c r="D153" i="6"/>
  <c r="C192" i="6"/>
  <c r="C154" i="6" l="1"/>
  <c r="C153" i="6"/>
  <c r="C11" i="1"/>
  <c r="S4" i="3" s="1"/>
  <c r="T4" i="3" s="1"/>
  <c r="U4" i="3" s="1"/>
  <c r="P15" i="6"/>
  <c r="M15" i="6" s="1"/>
  <c r="E35" i="6"/>
  <c r="O22" i="6" s="1"/>
  <c r="O19" i="6" s="1"/>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H28" i="6" l="1"/>
  <c r="C190" i="6" s="1"/>
  <c r="J42" i="7"/>
  <c r="N15" i="6"/>
  <c r="H42" i="7"/>
  <c r="E108" i="7"/>
  <c r="D23" i="7"/>
  <c r="M19" i="6"/>
  <c r="H31" i="6" s="1"/>
  <c r="C151" i="6" s="1"/>
  <c r="AA6" i="3"/>
  <c r="H48" i="8"/>
  <c r="P29" i="1"/>
  <c r="A7" i="3"/>
  <c r="B7" i="3" s="1"/>
  <c r="P7" i="3" s="1"/>
  <c r="Q7" i="3" s="1"/>
  <c r="AD6" i="3"/>
  <c r="P6" i="3"/>
  <c r="Q6" i="3" s="1"/>
  <c r="H71" i="7"/>
  <c r="Z6" i="3"/>
  <c r="H68" i="7"/>
  <c r="H16" i="7"/>
  <c r="P28" i="1"/>
  <c r="H50" i="8"/>
  <c r="C149" i="6"/>
  <c r="H46" i="8"/>
  <c r="H13" i="7"/>
  <c r="H58" i="8"/>
  <c r="R194" i="4"/>
  <c r="P196" i="4"/>
  <c r="F108" i="7"/>
  <c r="D213" i="4"/>
  <c r="F213" i="4" s="1"/>
  <c r="B191" i="6"/>
  <c r="H61" i="8"/>
  <c r="D223" i="4"/>
  <c r="F223" i="4" s="1"/>
  <c r="X111" i="4"/>
  <c r="W111" i="4"/>
  <c r="D108" i="4" s="1"/>
  <c r="D188" i="4"/>
  <c r="F188" i="4" s="1"/>
  <c r="D130" i="6"/>
  <c r="E130" i="6" s="1"/>
  <c r="E129" i="6"/>
  <c r="C193" i="6"/>
  <c r="X236" i="4"/>
  <c r="W236" i="4"/>
  <c r="W201" i="4"/>
  <c r="X201" i="4"/>
  <c r="D198" i="4" s="1"/>
  <c r="D2" i="4"/>
  <c r="S28" i="6" l="1"/>
  <c r="C194" i="6"/>
  <c r="D152" i="6"/>
  <c r="H46" i="7"/>
  <c r="H32" i="6"/>
  <c r="I32" i="6"/>
  <c r="H29" i="6"/>
  <c r="B190" i="6" s="1"/>
  <c r="I42" i="7"/>
  <c r="I29" i="6"/>
  <c r="I30" i="6" s="1"/>
  <c r="C155" i="6"/>
  <c r="C150" i="6"/>
  <c r="B192" i="6"/>
  <c r="B193" i="6"/>
  <c r="C157" i="6"/>
  <c r="C152"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S194" i="4"/>
  <c r="Q196" i="4"/>
  <c r="F108" i="4"/>
  <c r="D233" i="4"/>
  <c r="F233" i="4" s="1"/>
  <c r="F2" i="4"/>
  <c r="B194" i="6" l="1"/>
  <c r="H14" i="7"/>
  <c r="I47" i="7"/>
  <c r="H47" i="7"/>
  <c r="H30" i="6"/>
  <c r="H48" i="7" s="1"/>
  <c r="S29" i="6"/>
  <c r="I48" i="7"/>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M7" i="3" s="1"/>
  <c r="N7" i="3" s="1"/>
  <c r="S14" i="3"/>
  <c r="T13" i="3"/>
  <c r="AA18" i="3"/>
  <c r="P18" i="3"/>
  <c r="Q18" i="3" s="1"/>
  <c r="R18" i="3" s="1"/>
  <c r="AC18" i="3"/>
  <c r="A19" i="3"/>
  <c r="B19" i="3" s="1"/>
  <c r="AD18" i="3"/>
  <c r="Z18" i="3"/>
  <c r="J7" i="3" l="1"/>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AD184" i="3" l="1"/>
  <c r="Z184" i="3"/>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AD402" i="3"/>
  <c r="P402" i="3"/>
  <c r="Q402" i="3" s="1"/>
  <c r="R402" i="3" s="1"/>
  <c r="S402" i="3" s="1"/>
  <c r="U401" i="3" l="1"/>
  <c r="Y400" i="3"/>
  <c r="T402" i="3"/>
  <c r="AG402" i="3" s="1"/>
  <c r="AH402" i="3" l="1"/>
  <c r="E402" i="3"/>
  <c r="H402" i="3" s="1"/>
  <c r="K402" i="3" s="1"/>
  <c r="AE402" i="3" s="1"/>
  <c r="D402" i="3"/>
  <c r="G402" i="3" s="1"/>
  <c r="F402" i="3" l="1"/>
  <c r="I402" i="3"/>
  <c r="J402" i="3"/>
  <c r="M402" i="3"/>
  <c r="N402" i="3" s="1"/>
  <c r="V402" i="3"/>
  <c r="A403" i="3"/>
  <c r="B403" i="3" s="1"/>
  <c r="W402" i="3" l="1"/>
  <c r="L402" i="3"/>
  <c r="AC403" i="3"/>
  <c r="AA403" i="3"/>
  <c r="P403" i="3"/>
  <c r="Q403" i="3" s="1"/>
  <c r="R403" i="3" s="1"/>
  <c r="S403" i="3" s="1"/>
  <c r="Z403" i="3"/>
  <c r="AD403" i="3"/>
  <c r="T403" i="3" l="1"/>
  <c r="AH403" i="3" s="1"/>
  <c r="U402" i="3"/>
  <c r="Y401" i="3"/>
  <c r="AG403" i="3" l="1"/>
  <c r="D403" i="3"/>
  <c r="E403" i="3"/>
  <c r="H403" i="3" s="1"/>
  <c r="F403" i="3" l="1"/>
  <c r="G403" i="3"/>
  <c r="K403" i="3"/>
  <c r="AE403" i="3" s="1"/>
  <c r="V403" i="3" l="1"/>
  <c r="A404" i="3"/>
  <c r="B404" i="3" s="1"/>
  <c r="I403" i="3"/>
  <c r="J403" i="3"/>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D405" i="3"/>
  <c r="AA405" i="3"/>
  <c r="U404" i="3" l="1"/>
  <c r="Y403" i="3"/>
  <c r="T405" i="3"/>
  <c r="E405" i="3" l="1"/>
  <c r="H405" i="3" s="1"/>
  <c r="K405" i="3" s="1"/>
  <c r="AE405" i="3" s="1"/>
  <c r="AH405" i="3"/>
  <c r="D405" i="3"/>
  <c r="AG405" i="3"/>
  <c r="F405" i="3" l="1"/>
  <c r="G405" i="3"/>
  <c r="V405" i="3"/>
  <c r="A406" i="3"/>
  <c r="B406" i="3" s="1"/>
  <c r="AD406" i="3" l="1"/>
  <c r="AA406" i="3"/>
  <c r="AC406" i="3"/>
  <c r="Z406" i="3"/>
  <c r="P406" i="3"/>
  <c r="Q406" i="3" s="1"/>
  <c r="R406" i="3" s="1"/>
  <c r="S406" i="3" s="1"/>
  <c r="I405" i="3"/>
  <c r="W405" i="3" s="1"/>
  <c r="J405" i="3"/>
  <c r="M405" i="3"/>
  <c r="N405" i="3" s="1"/>
  <c r="T406" i="3" l="1"/>
  <c r="L405" i="3"/>
  <c r="U405" i="3" l="1"/>
  <c r="E406" i="3" s="1"/>
  <c r="H406" i="3" s="1"/>
  <c r="AH406" i="3"/>
  <c r="AG406" i="3"/>
  <c r="Y404" i="3"/>
  <c r="K406" i="3" l="1"/>
  <c r="AE406" i="3" s="1"/>
  <c r="D406" i="3"/>
  <c r="V406" i="3" l="1"/>
  <c r="A407" i="3"/>
  <c r="B407" i="3" s="1"/>
  <c r="F406" i="3"/>
  <c r="G406" i="3"/>
  <c r="I406" i="3" l="1"/>
  <c r="W406" i="3" s="1"/>
  <c r="J406" i="3"/>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AD409" i="3"/>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AD410" i="3"/>
  <c r="Z410" i="3"/>
  <c r="I409" i="3"/>
  <c r="W409" i="3" s="1"/>
  <c r="J409" i="3"/>
  <c r="M409" i="3"/>
  <c r="N409" i="3" s="1"/>
  <c r="T410" i="3" l="1"/>
  <c r="L409" i="3"/>
  <c r="AG410" i="3" l="1"/>
  <c r="U409" i="3"/>
  <c r="D410" i="3" s="1"/>
  <c r="AH410" i="3"/>
  <c r="Y408" i="3"/>
  <c r="E410" i="3" l="1"/>
  <c r="H410" i="3" s="1"/>
  <c r="K410" i="3" s="1"/>
  <c r="AE410" i="3" s="1"/>
  <c r="G410" i="3"/>
  <c r="F410" i="3" l="1"/>
  <c r="I410" i="3"/>
  <c r="J410" i="3"/>
  <c r="M410" i="3"/>
  <c r="N410" i="3" s="1"/>
  <c r="V410" i="3"/>
  <c r="A411" i="3"/>
  <c r="B411" i="3" s="1"/>
  <c r="W410" i="3" l="1"/>
  <c r="L410" i="3"/>
  <c r="AC411" i="3"/>
  <c r="P411" i="3"/>
  <c r="Q411" i="3" s="1"/>
  <c r="R411" i="3" s="1"/>
  <c r="S411" i="3" s="1"/>
  <c r="AA411" i="3"/>
  <c r="Z411" i="3"/>
  <c r="AD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AD412" i="3"/>
  <c r="I411" i="3"/>
  <c r="W411" i="3" s="1"/>
  <c r="J411" i="3"/>
  <c r="M411" i="3"/>
  <c r="N411" i="3" s="1"/>
  <c r="T412" i="3" l="1"/>
  <c r="L411" i="3"/>
  <c r="U411" i="3" l="1"/>
  <c r="D412" i="3" s="1"/>
  <c r="AG412" i="3"/>
  <c r="AH412" i="3"/>
  <c r="Y410" i="3"/>
  <c r="G412" i="3" l="1"/>
  <c r="E412" i="3"/>
  <c r="H412" i="3" s="1"/>
  <c r="F412" i="3" l="1"/>
  <c r="I412" i="3"/>
  <c r="J412" i="3"/>
  <c r="M412" i="3"/>
  <c r="N412" i="3" s="1"/>
  <c r="K412" i="3"/>
  <c r="AE412" i="3" s="1"/>
  <c r="V412" i="3" l="1"/>
  <c r="W412" i="3" s="1"/>
  <c r="A413" i="3"/>
  <c r="B413" i="3" s="1"/>
  <c r="L412" i="3"/>
  <c r="U412" i="3" l="1"/>
  <c r="Y411" i="3"/>
  <c r="Z413" i="3"/>
  <c r="P413" i="3"/>
  <c r="Q413" i="3" s="1"/>
  <c r="R413" i="3" s="1"/>
  <c r="S413" i="3" s="1"/>
  <c r="AA413" i="3"/>
  <c r="AC413" i="3"/>
  <c r="AD413" i="3"/>
  <c r="T413" i="3" l="1"/>
  <c r="D413" i="3" s="1"/>
  <c r="E413" i="3" l="1"/>
  <c r="H413" i="3" s="1"/>
  <c r="K413" i="3" s="1"/>
  <c r="AE413" i="3" s="1"/>
  <c r="AH413" i="3"/>
  <c r="G413" i="3"/>
  <c r="AG413" i="3"/>
  <c r="F413" i="3" l="1"/>
  <c r="I413" i="3"/>
  <c r="J413" i="3"/>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AD429" i="3" s="1"/>
  <c r="M429" i="3"/>
  <c r="N429" i="3" s="1"/>
  <c r="V429" i="3"/>
  <c r="A430" i="3"/>
  <c r="B430" i="3" s="1"/>
  <c r="L429" i="3" l="1"/>
  <c r="W429" i="3"/>
  <c r="AA430" i="3"/>
  <c r="Z430" i="3"/>
  <c r="P430" i="3"/>
  <c r="Q430" i="3" s="1"/>
  <c r="R430" i="3" s="1"/>
  <c r="S430" i="3" s="1"/>
  <c r="AC430" i="3"/>
  <c r="U429" i="3" l="1"/>
  <c r="Y428" i="3"/>
  <c r="T430" i="3"/>
  <c r="D430" i="3" l="1"/>
  <c r="G430" i="3" s="1"/>
  <c r="AH430" i="3"/>
  <c r="E430" i="3"/>
  <c r="H430" i="3" s="1"/>
  <c r="AG430" i="3"/>
  <c r="F430" i="3" l="1"/>
  <c r="I430" i="3"/>
  <c r="J430" i="3"/>
  <c r="AD430" i="3" s="1"/>
  <c r="M430" i="3"/>
  <c r="N430" i="3" s="1"/>
  <c r="K430" i="3"/>
  <c r="AE430" i="3" s="1"/>
  <c r="V430" i="3" l="1"/>
  <c r="W430" i="3" s="1"/>
  <c r="A431" i="3"/>
  <c r="B431" i="3" s="1"/>
  <c r="L430" i="3"/>
  <c r="U430" i="3" l="1"/>
  <c r="Y429" i="3"/>
  <c r="AC431" i="3"/>
  <c r="Z431" i="3"/>
  <c r="P431" i="3"/>
  <c r="Q431" i="3" s="1"/>
  <c r="R431" i="3" s="1"/>
  <c r="S431" i="3" s="1"/>
  <c r="AA431" i="3"/>
  <c r="T431" i="3" l="1"/>
  <c r="AH431" i="3" s="1"/>
  <c r="E431" i="3" l="1"/>
  <c r="H431" i="3" s="1"/>
  <c r="AG431" i="3"/>
  <c r="D431" i="3"/>
  <c r="K431" i="3" l="1"/>
  <c r="AE431" i="3" s="1"/>
  <c r="F431" i="3"/>
  <c r="G431" i="3"/>
  <c r="V431" i="3" l="1"/>
  <c r="A432" i="3"/>
  <c r="B432" i="3" s="1"/>
  <c r="I431" i="3"/>
  <c r="J431" i="3"/>
  <c r="AD431" i="3" s="1"/>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U433" i="3" s="1"/>
  <c r="AD433" i="3"/>
  <c r="Y432" i="3"/>
  <c r="T434" i="3"/>
  <c r="AH434" i="3" l="1"/>
  <c r="E434" i="3"/>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A475" i="3"/>
  <c r="T475" i="3" l="1"/>
  <c r="AG475" i="3" s="1"/>
  <c r="AH475" i="3" l="1"/>
  <c r="E475" i="3"/>
  <c r="H475" i="3" s="1"/>
  <c r="K475" i="3" s="1"/>
  <c r="AE475" i="3" s="1"/>
  <c r="D475" i="3"/>
  <c r="F475" i="3" l="1"/>
  <c r="G475" i="3"/>
  <c r="M475" i="3" s="1"/>
  <c r="N475" i="3" s="1"/>
  <c r="V475" i="3"/>
  <c r="A476" i="3"/>
  <c r="B476" i="3" s="1"/>
  <c r="I475" i="3" l="1"/>
  <c r="W475" i="3" s="1"/>
  <c r="J475" i="3"/>
  <c r="P476" i="3"/>
  <c r="Q476" i="3" s="1"/>
  <c r="R476" i="3" s="1"/>
  <c r="S476" i="3" s="1"/>
  <c r="AA476" i="3"/>
  <c r="Z476" i="3"/>
  <c r="AC476" i="3"/>
  <c r="L475" i="3" l="1"/>
  <c r="U475" i="3" s="1"/>
  <c r="AD475" i="3"/>
  <c r="Y474" i="3"/>
  <c r="T476" i="3"/>
  <c r="AG476" i="3" l="1"/>
  <c r="D476" i="3"/>
  <c r="G476" i="3" s="1"/>
  <c r="E476" i="3"/>
  <c r="H476" i="3" s="1"/>
  <c r="K476" i="3" s="1"/>
  <c r="AE476" i="3" s="1"/>
  <c r="AH476" i="3"/>
  <c r="F476" i="3" l="1"/>
  <c r="V476" i="3"/>
  <c r="A477" i="3"/>
  <c r="B477" i="3" s="1"/>
  <c r="I476" i="3"/>
  <c r="J476" i="3"/>
  <c r="AD476" i="3" s="1"/>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C479" i="3"/>
  <c r="AA479" i="3"/>
  <c r="Z479" i="3"/>
  <c r="T479" i="3" l="1"/>
  <c r="L478" i="3"/>
  <c r="U478" i="3" l="1"/>
  <c r="E479" i="3" s="1"/>
  <c r="H479" i="3" s="1"/>
  <c r="AH479" i="3"/>
  <c r="AG479" i="3"/>
  <c r="Y477" i="3"/>
  <c r="D479" i="3" l="1"/>
  <c r="G479" i="3" s="1"/>
  <c r="K479" i="3"/>
  <c r="AE479" i="3" s="1"/>
  <c r="F479" i="3" l="1"/>
  <c r="I479" i="3"/>
  <c r="J479" i="3"/>
  <c r="AD479" i="3" s="1"/>
  <c r="M479" i="3"/>
  <c r="N479" i="3" s="1"/>
  <c r="V479" i="3"/>
  <c r="A480" i="3"/>
  <c r="B480" i="3" s="1"/>
  <c r="W479" i="3" l="1"/>
  <c r="AA480" i="3"/>
  <c r="P480" i="3"/>
  <c r="Q480" i="3" s="1"/>
  <c r="R480" i="3" s="1"/>
  <c r="S480" i="3" s="1"/>
  <c r="AC480" i="3"/>
  <c r="Z480" i="3"/>
  <c r="L479" i="3"/>
  <c r="U479" i="3" l="1"/>
  <c r="Y478" i="3"/>
  <c r="T480" i="3"/>
  <c r="E480" i="3" l="1"/>
  <c r="H480" i="3" s="1"/>
  <c r="K480" i="3" s="1"/>
  <c r="AE480" i="3" s="1"/>
  <c r="AH480" i="3"/>
  <c r="AG480" i="3"/>
  <c r="D480" i="3"/>
  <c r="V480" i="3" l="1"/>
  <c r="A481" i="3"/>
  <c r="B481" i="3" s="1"/>
  <c r="F480" i="3"/>
  <c r="G480" i="3"/>
  <c r="I480" i="3" l="1"/>
  <c r="W480" i="3" s="1"/>
  <c r="J480" i="3"/>
  <c r="AD480" i="3" s="1"/>
  <c r="M480" i="3"/>
  <c r="N480" i="3" s="1"/>
  <c r="P481" i="3"/>
  <c r="Q481" i="3" s="1"/>
  <c r="R481" i="3" s="1"/>
  <c r="S481" i="3" s="1"/>
  <c r="AC481" i="3"/>
  <c r="AA481" i="3"/>
  <c r="Z481" i="3"/>
  <c r="T481" i="3" l="1"/>
  <c r="L480" i="3"/>
  <c r="U480" i="3" l="1"/>
  <c r="D481" i="3" s="1"/>
  <c r="AG481" i="3"/>
  <c r="AH481" i="3"/>
  <c r="Y479" i="3"/>
  <c r="G481" i="3" l="1"/>
  <c r="E481" i="3"/>
  <c r="H481" i="3" s="1"/>
  <c r="K481" i="3" l="1"/>
  <c r="AE481" i="3" s="1"/>
  <c r="I481" i="3"/>
  <c r="J481" i="3"/>
  <c r="AD481" i="3" s="1"/>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A483" i="3"/>
  <c r="T483" i="3" l="1"/>
  <c r="E483" i="3" s="1"/>
  <c r="H483" i="3" s="1"/>
  <c r="AG483" i="3" l="1"/>
  <c r="AH483" i="3"/>
  <c r="D483" i="3"/>
  <c r="G483" i="3" s="1"/>
  <c r="K483" i="3"/>
  <c r="AE483" i="3" s="1"/>
  <c r="F483" i="3" l="1"/>
  <c r="I483" i="3"/>
  <c r="J483" i="3"/>
  <c r="AD483" i="3" s="1"/>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A485" i="3"/>
  <c r="AC485" i="3"/>
  <c r="Z485" i="3"/>
  <c r="U484" i="3" l="1"/>
  <c r="Y483" i="3"/>
  <c r="T485" i="3"/>
  <c r="D485" i="3" l="1"/>
  <c r="G485" i="3" s="1"/>
  <c r="AG485" i="3"/>
  <c r="AH485" i="3"/>
  <c r="E485" i="3"/>
  <c r="H485" i="3" s="1"/>
  <c r="K485" i="3" s="1"/>
  <c r="AE485" i="3" s="1"/>
  <c r="F485" i="3" l="1"/>
  <c r="I485" i="3"/>
  <c r="J485" i="3"/>
  <c r="AD485" i="3" s="1"/>
  <c r="M485" i="3"/>
  <c r="N485" i="3" s="1"/>
  <c r="V485" i="3"/>
  <c r="A486" i="3"/>
  <c r="B486" i="3" s="1"/>
  <c r="W485" i="3" l="1"/>
  <c r="L485" i="3"/>
  <c r="AA486" i="3"/>
  <c r="P486" i="3"/>
  <c r="Q486" i="3" s="1"/>
  <c r="R486" i="3" s="1"/>
  <c r="S486" i="3" s="1"/>
  <c r="AC486" i="3"/>
  <c r="Z486" i="3"/>
  <c r="T486" i="3" l="1"/>
  <c r="AH486" i="3" s="1"/>
  <c r="U485" i="3"/>
  <c r="Y484" i="3"/>
  <c r="D486" i="3" l="1"/>
  <c r="G486" i="3" s="1"/>
  <c r="AG486" i="3"/>
  <c r="E486" i="3"/>
  <c r="H486" i="3" s="1"/>
  <c r="K486" i="3" s="1"/>
  <c r="AE486" i="3" s="1"/>
  <c r="F486" i="3" l="1"/>
  <c r="V486" i="3"/>
  <c r="A487" i="3"/>
  <c r="B487" i="3" s="1"/>
  <c r="I486" i="3"/>
  <c r="J486" i="3"/>
  <c r="AD486" i="3" s="1"/>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Z490" i="3"/>
  <c r="AC490" i="3"/>
  <c r="P490" i="3"/>
  <c r="Q490" i="3" s="1"/>
  <c r="R490" i="3" s="1"/>
  <c r="S490" i="3" s="1"/>
  <c r="AA490" i="3"/>
  <c r="L489" i="3" l="1"/>
  <c r="U489" i="3" s="1"/>
  <c r="AD489" i="3"/>
  <c r="T490" i="3"/>
  <c r="Y488" i="3" l="1"/>
  <c r="AH490" i="3"/>
  <c r="E490" i="3"/>
  <c r="H490" i="3" s="1"/>
  <c r="K490" i="3" s="1"/>
  <c r="AE490" i="3" s="1"/>
  <c r="D490" i="3"/>
  <c r="AG490" i="3"/>
  <c r="V490" i="3" l="1"/>
  <c r="A491" i="3"/>
  <c r="B491" i="3" s="1"/>
  <c r="F490" i="3"/>
  <c r="G490" i="3"/>
  <c r="I490" i="3" l="1"/>
  <c r="W490" i="3" s="1"/>
  <c r="J490" i="3"/>
  <c r="AD490" i="3" s="1"/>
  <c r="M490" i="3"/>
  <c r="N490" i="3" s="1"/>
  <c r="P491" i="3"/>
  <c r="Q491" i="3" s="1"/>
  <c r="R491" i="3" s="1"/>
  <c r="S491" i="3" s="1"/>
  <c r="Z491" i="3"/>
  <c r="AC491" i="3"/>
  <c r="AA491" i="3"/>
  <c r="T491" i="3" l="1"/>
  <c r="L490" i="3"/>
  <c r="AH491" i="3" l="1"/>
  <c r="U490" i="3"/>
  <c r="D491" i="3" s="1"/>
  <c r="AG491" i="3"/>
  <c r="Y489" i="3"/>
  <c r="E491" i="3" l="1"/>
  <c r="H491" i="3" s="1"/>
  <c r="K491" i="3" s="1"/>
  <c r="AE491" i="3" s="1"/>
  <c r="G491" i="3"/>
  <c r="F491" i="3" l="1"/>
  <c r="I491" i="3"/>
  <c r="J491" i="3"/>
  <c r="AD491" i="3" s="1"/>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A505" i="3"/>
  <c r="L504" i="3" l="1"/>
  <c r="Y503" i="3" s="1"/>
  <c r="AD504" i="3"/>
  <c r="T505" i="3"/>
  <c r="AH505" i="3" l="1"/>
  <c r="U504" i="3"/>
  <c r="D505" i="3" s="1"/>
  <c r="G505" i="3" s="1"/>
  <c r="AG505" i="3"/>
  <c r="E505" i="3" l="1"/>
  <c r="H505" i="3" s="1"/>
  <c r="K505" i="3" s="1"/>
  <c r="AE505" i="3" s="1"/>
  <c r="J505" i="3"/>
  <c r="AD505" i="3" s="1"/>
  <c r="I505" i="3" l="1"/>
  <c r="F505" i="3"/>
  <c r="V505" i="3"/>
  <c r="M505" i="3"/>
  <c r="N505" i="3" s="1"/>
  <c r="A506" i="3"/>
  <c r="B506" i="3" s="1"/>
  <c r="P506" i="3" s="1"/>
  <c r="Q506" i="3" s="1"/>
  <c r="R506" i="3" s="1"/>
  <c r="S506" i="3" s="1"/>
  <c r="L505" i="3"/>
  <c r="W505" i="3" l="1"/>
  <c r="AA506" i="3"/>
  <c r="AC506" i="3"/>
  <c r="Z506" i="3"/>
  <c r="U505" i="3"/>
  <c r="Y504" i="3"/>
  <c r="T506" i="3"/>
  <c r="AG506" i="3" l="1"/>
  <c r="D506" i="3"/>
  <c r="G506" i="3" s="1"/>
  <c r="AH506" i="3"/>
  <c r="E506" i="3"/>
  <c r="H506" i="3" s="1"/>
  <c r="K506" i="3" s="1"/>
  <c r="AE506" i="3" s="1"/>
  <c r="F506" i="3" l="1"/>
  <c r="I506" i="3"/>
  <c r="J506" i="3"/>
  <c r="AD506" i="3" s="1"/>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C509" i="3" l="1"/>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AD509" i="3" s="1"/>
  <c r="M509" i="3"/>
  <c r="N509" i="3" s="1"/>
  <c r="K509" i="3"/>
  <c r="AE509" i="3" s="1"/>
  <c r="V509" i="3" l="1"/>
  <c r="W509" i="3" s="1"/>
  <c r="A510" i="3"/>
  <c r="B510" i="3" s="1"/>
  <c r="L509" i="3"/>
  <c r="U509" i="3" l="1"/>
  <c r="Y508" i="3"/>
  <c r="AC510" i="3"/>
  <c r="Z510" i="3"/>
  <c r="AA510" i="3"/>
  <c r="P510" i="3"/>
  <c r="Q510" i="3" s="1"/>
  <c r="R510" i="3" s="1"/>
  <c r="S510" i="3" s="1"/>
  <c r="T510" i="3" l="1"/>
  <c r="AH510" i="3" l="1"/>
  <c r="E510" i="3"/>
  <c r="H510" i="3" s="1"/>
  <c r="D510" i="3"/>
  <c r="AG510" i="3"/>
  <c r="F510" i="3" l="1"/>
  <c r="G510" i="3"/>
  <c r="K510" i="3"/>
  <c r="AE510" i="3" s="1"/>
  <c r="V510" i="3" l="1"/>
  <c r="A511" i="3"/>
  <c r="B511" i="3" s="1"/>
  <c r="I510" i="3"/>
  <c r="J510" i="3"/>
  <c r="AD510" i="3" s="1"/>
  <c r="M510" i="3"/>
  <c r="N510" i="3" s="1"/>
  <c r="L510" i="3" l="1"/>
  <c r="AA511" i="3"/>
  <c r="AC511" i="3"/>
  <c r="P511" i="3"/>
  <c r="Q511" i="3" s="1"/>
  <c r="R511" i="3" s="1"/>
  <c r="S511" i="3" s="1"/>
  <c r="Z511" i="3"/>
  <c r="W510" i="3"/>
  <c r="U510" i="3" l="1"/>
  <c r="Y509" i="3"/>
  <c r="T511" i="3"/>
  <c r="AG511" i="3" s="1"/>
  <c r="AH511" i="3" l="1"/>
  <c r="D511" i="3"/>
  <c r="E511" i="3"/>
  <c r="H511" i="3" s="1"/>
  <c r="F511" i="3" l="1"/>
  <c r="G511" i="3"/>
  <c r="K511" i="3"/>
  <c r="AE511" i="3" s="1"/>
  <c r="V511" i="3" l="1"/>
  <c r="A512" i="3"/>
  <c r="B512" i="3" s="1"/>
  <c r="I511" i="3"/>
  <c r="J511" i="3"/>
  <c r="AD511" i="3" s="1"/>
  <c r="M511" i="3"/>
  <c r="N511" i="3" s="1"/>
  <c r="W511" i="3" l="1"/>
  <c r="L511" i="3"/>
  <c r="AC512" i="3"/>
  <c r="Z512" i="3"/>
  <c r="AA512" i="3"/>
  <c r="P512" i="3"/>
  <c r="Q512" i="3" s="1"/>
  <c r="R512" i="3" s="1"/>
  <c r="S512" i="3" s="1"/>
  <c r="T512" i="3" l="1"/>
  <c r="U511" i="3"/>
  <c r="Y510" i="3"/>
  <c r="D512" i="3" l="1"/>
  <c r="G512" i="3" s="1"/>
  <c r="AH512" i="3"/>
  <c r="E512" i="3"/>
  <c r="H512" i="3" s="1"/>
  <c r="K512" i="3" s="1"/>
  <c r="AE512" i="3" s="1"/>
  <c r="AG512" i="3"/>
  <c r="F512" i="3" l="1"/>
  <c r="I512" i="3"/>
  <c r="J512" i="3"/>
  <c r="AD512" i="3" s="1"/>
  <c r="M512" i="3"/>
  <c r="N512" i="3" s="1"/>
  <c r="V512" i="3"/>
  <c r="A513" i="3"/>
  <c r="B513" i="3" s="1"/>
  <c r="W512" i="3" l="1"/>
  <c r="L512" i="3"/>
  <c r="AA513" i="3"/>
  <c r="P513" i="3"/>
  <c r="Q513" i="3" s="1"/>
  <c r="R513" i="3" s="1"/>
  <c r="S513" i="3" s="1"/>
  <c r="AC513" i="3"/>
  <c r="Z513" i="3"/>
  <c r="T513" i="3" l="1"/>
  <c r="AG513" i="3" s="1"/>
  <c r="U512" i="3"/>
  <c r="Y511" i="3"/>
  <c r="AH513" i="3" l="1"/>
  <c r="E513" i="3"/>
  <c r="H513" i="3" s="1"/>
  <c r="D513" i="3"/>
  <c r="F513" i="3" l="1"/>
  <c r="G513" i="3"/>
  <c r="K513" i="3"/>
  <c r="AE513" i="3" s="1"/>
  <c r="V513" i="3" l="1"/>
  <c r="A514" i="3"/>
  <c r="B514" i="3" s="1"/>
  <c r="I513" i="3"/>
  <c r="J513" i="3"/>
  <c r="AD513" i="3" s="1"/>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AD533" i="3" s="1"/>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AD622" i="3"/>
  <c r="T622" i="3" l="1"/>
  <c r="AG622" i="3" s="1"/>
  <c r="D622" i="3" l="1"/>
  <c r="E622" i="3"/>
  <c r="H622" i="3" s="1"/>
  <c r="K622" i="3" s="1"/>
  <c r="AE622" i="3" s="1"/>
  <c r="AH622" i="3"/>
  <c r="F622" i="3" l="1"/>
  <c r="G622" i="3"/>
  <c r="I622" i="3" s="1"/>
  <c r="V622" i="3"/>
  <c r="A623" i="3"/>
  <c r="B623" i="3" s="1"/>
  <c r="M622" i="3" l="1"/>
  <c r="N622" i="3" s="1"/>
  <c r="J622" i="3"/>
  <c r="L622" i="3" s="1"/>
  <c r="W622" i="3"/>
  <c r="P623" i="3"/>
  <c r="Q623" i="3" s="1"/>
  <c r="R623" i="3" s="1"/>
  <c r="S623" i="3" s="1"/>
  <c r="Z623" i="3"/>
  <c r="AD623" i="3"/>
  <c r="AA623" i="3"/>
  <c r="AC623" i="3"/>
  <c r="U622" i="3" l="1"/>
  <c r="Y621" i="3"/>
  <c r="T623" i="3"/>
  <c r="D623" i="3" l="1"/>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D625" i="3"/>
  <c r="AA625" i="3"/>
  <c r="Z625" i="3"/>
  <c r="AC625" i="3"/>
  <c r="U624" i="3" l="1"/>
  <c r="Y623" i="3"/>
  <c r="T625" i="3"/>
  <c r="D625" i="3" l="1"/>
  <c r="G625" i="3" s="1"/>
  <c r="E625" i="3"/>
  <c r="H625" i="3" s="1"/>
  <c r="AH625" i="3"/>
  <c r="AG625" i="3"/>
  <c r="F625" i="3" l="1"/>
  <c r="I625" i="3"/>
  <c r="J625" i="3"/>
  <c r="M625" i="3"/>
  <c r="N625" i="3" s="1"/>
  <c r="K625" i="3"/>
  <c r="AE625" i="3" s="1"/>
  <c r="V625" i="3" l="1"/>
  <c r="W625" i="3" s="1"/>
  <c r="A626" i="3"/>
  <c r="B626" i="3" s="1"/>
  <c r="L625" i="3"/>
  <c r="U625" i="3" l="1"/>
  <c r="Y624" i="3"/>
  <c r="AD626"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AD629" i="3"/>
  <c r="Z629" i="3"/>
  <c r="T629" i="3" l="1"/>
  <c r="U628" i="3"/>
  <c r="Y627" i="3"/>
  <c r="E629" i="3" l="1"/>
  <c r="H629" i="3" s="1"/>
  <c r="K629" i="3" s="1"/>
  <c r="AE629" i="3" s="1"/>
  <c r="AH629" i="3"/>
  <c r="AG629" i="3"/>
  <c r="D629" i="3"/>
  <c r="F629" i="3" l="1"/>
  <c r="G629" i="3"/>
  <c r="V629" i="3"/>
  <c r="A630" i="3"/>
  <c r="B630" i="3" s="1"/>
  <c r="I629" i="3" l="1"/>
  <c r="W629" i="3" s="1"/>
  <c r="J629" i="3"/>
  <c r="M629" i="3"/>
  <c r="N629" i="3" s="1"/>
  <c r="AD630" i="3"/>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M630" i="3"/>
  <c r="N630" i="3" s="1"/>
  <c r="V630" i="3" l="1"/>
  <c r="W630" i="3" s="1"/>
  <c r="A631" i="3"/>
  <c r="B631" i="3" s="1"/>
  <c r="L630" i="3"/>
  <c r="U630" i="3" l="1"/>
  <c r="Y629" i="3"/>
  <c r="AD631" i="3"/>
  <c r="P631" i="3"/>
  <c r="Q631" i="3" s="1"/>
  <c r="R631" i="3" s="1"/>
  <c r="S631" i="3" s="1"/>
  <c r="AC631" i="3"/>
  <c r="AA631" i="3"/>
  <c r="Z631" i="3"/>
  <c r="T631" i="3" l="1"/>
  <c r="D631" i="3" s="1"/>
  <c r="AH631" i="3" l="1"/>
  <c r="E631" i="3"/>
  <c r="H631" i="3" s="1"/>
  <c r="K631" i="3" s="1"/>
  <c r="AE631" i="3" s="1"/>
  <c r="G631" i="3"/>
  <c r="AG631" i="3"/>
  <c r="F631" i="3" l="1"/>
  <c r="I631" i="3"/>
  <c r="J631" i="3"/>
  <c r="M631" i="3"/>
  <c r="N631" i="3" s="1"/>
  <c r="V631" i="3"/>
  <c r="A632" i="3"/>
  <c r="B632" i="3" s="1"/>
  <c r="L631" i="3" l="1"/>
  <c r="W631" i="3"/>
  <c r="AC632" i="3"/>
  <c r="AA632" i="3"/>
  <c r="Z632" i="3"/>
  <c r="P632" i="3"/>
  <c r="Q632" i="3" s="1"/>
  <c r="R632" i="3" s="1"/>
  <c r="S632" i="3" s="1"/>
  <c r="AD632" i="3"/>
  <c r="T632" i="3" l="1"/>
  <c r="U631" i="3"/>
  <c r="Y630" i="3"/>
  <c r="D632" i="3" l="1"/>
  <c r="G632" i="3" s="1"/>
  <c r="E632" i="3"/>
  <c r="H632" i="3" s="1"/>
  <c r="K632" i="3" s="1"/>
  <c r="AE632" i="3" s="1"/>
  <c r="AG632" i="3"/>
  <c r="AH632" i="3"/>
  <c r="F632" i="3" l="1"/>
  <c r="I632" i="3"/>
  <c r="J632" i="3"/>
  <c r="M632" i="3"/>
  <c r="N632" i="3" s="1"/>
  <c r="V632" i="3"/>
  <c r="A633" i="3"/>
  <c r="B633" i="3" s="1"/>
  <c r="W632" i="3" l="1"/>
  <c r="L632" i="3"/>
  <c r="AD633"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AD705" i="3"/>
  <c r="T705" i="3" l="1"/>
  <c r="AH705" i="3" s="1"/>
  <c r="AG705" i="3" l="1"/>
  <c r="D705" i="3"/>
  <c r="E705" i="3"/>
  <c r="H705" i="3" s="1"/>
  <c r="F705" i="3" l="1"/>
  <c r="G705" i="3"/>
  <c r="K705" i="3"/>
  <c r="AE705" i="3" s="1"/>
  <c r="I705" i="3" l="1"/>
  <c r="J705" i="3"/>
  <c r="M705" i="3"/>
  <c r="N705" i="3" s="1"/>
  <c r="V705" i="3"/>
  <c r="A706" i="3"/>
  <c r="B706" i="3" s="1"/>
  <c r="W705" i="3" l="1"/>
  <c r="L705" i="3"/>
  <c r="P706" i="3"/>
  <c r="Q706" i="3" s="1"/>
  <c r="R706" i="3" s="1"/>
  <c r="S706" i="3" s="1"/>
  <c r="AA706" i="3"/>
  <c r="AC706" i="3"/>
  <c r="Z706" i="3"/>
  <c r="AD706" i="3"/>
  <c r="U705" i="3" l="1"/>
  <c r="Y704" i="3"/>
  <c r="T706" i="3"/>
  <c r="AH706" i="3" s="1"/>
  <c r="E706" i="3" l="1"/>
  <c r="H706" i="3" s="1"/>
  <c r="D706" i="3"/>
  <c r="AG706" i="3"/>
  <c r="K706" i="3" l="1"/>
  <c r="AE706" i="3" s="1"/>
  <c r="F706" i="3"/>
  <c r="G706" i="3"/>
  <c r="I706" i="3" l="1"/>
  <c r="J706" i="3"/>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AD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M709" i="3"/>
  <c r="N709" i="3" s="1"/>
  <c r="W709" i="3" l="1"/>
  <c r="L709" i="3"/>
  <c r="AD710" i="3"/>
  <c r="AC710" i="3"/>
  <c r="Z710" i="3"/>
  <c r="AA710" i="3"/>
  <c r="P710" i="3"/>
  <c r="Q710" i="3" s="1"/>
  <c r="R710" i="3" s="1"/>
  <c r="S710" i="3" s="1"/>
  <c r="U709" i="3" l="1"/>
  <c r="Y708" i="3"/>
  <c r="T710" i="3"/>
  <c r="AH710" i="3" s="1"/>
  <c r="D710" i="3" l="1"/>
  <c r="E710" i="3"/>
  <c r="H710" i="3" s="1"/>
  <c r="AG710" i="3"/>
  <c r="F710" i="3" l="1"/>
  <c r="G710" i="3"/>
  <c r="K710" i="3"/>
  <c r="AE710" i="3" s="1"/>
  <c r="I710" i="3" l="1"/>
  <c r="J710" i="3"/>
  <c r="M710" i="3"/>
  <c r="N710" i="3" s="1"/>
  <c r="V710" i="3"/>
  <c r="A711" i="3"/>
  <c r="B711" i="3" s="1"/>
  <c r="W710" i="3" l="1"/>
  <c r="L710" i="3"/>
  <c r="AA711" i="3"/>
  <c r="AC711" i="3"/>
  <c r="Z711" i="3"/>
  <c r="AD711" i="3"/>
  <c r="P711" i="3"/>
  <c r="Q711" i="3" s="1"/>
  <c r="R711" i="3" s="1"/>
  <c r="S711" i="3" s="1"/>
  <c r="T711" i="3" l="1"/>
  <c r="U710" i="3"/>
  <c r="Y709" i="3"/>
  <c r="D711" i="3" l="1"/>
  <c r="G711" i="3" s="1"/>
  <c r="E711" i="3"/>
  <c r="H711" i="3" s="1"/>
  <c r="AH711" i="3"/>
  <c r="AG711" i="3"/>
  <c r="F711" i="3" l="1"/>
  <c r="K711" i="3"/>
  <c r="AE711" i="3" s="1"/>
  <c r="I711" i="3"/>
  <c r="J711" i="3"/>
  <c r="M711" i="3"/>
  <c r="N711" i="3" s="1"/>
  <c r="L711" i="3" l="1"/>
  <c r="V711" i="3"/>
  <c r="W711" i="3" s="1"/>
  <c r="A712" i="3"/>
  <c r="B712" i="3" s="1"/>
  <c r="AC712" i="3" l="1"/>
  <c r="AD712" i="3"/>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M712" i="3"/>
  <c r="N712" i="3" s="1"/>
  <c r="W712" i="3" l="1"/>
  <c r="L712" i="3"/>
  <c r="Z713" i="3"/>
  <c r="P713" i="3"/>
  <c r="Q713" i="3" s="1"/>
  <c r="R713" i="3" s="1"/>
  <c r="S713" i="3" s="1"/>
  <c r="AC713" i="3"/>
  <c r="AD713" i="3"/>
  <c r="AA713" i="3"/>
  <c r="T713" i="3" l="1"/>
  <c r="AH713" i="3" s="1"/>
  <c r="U712" i="3"/>
  <c r="Y711" i="3"/>
  <c r="D713" i="3" l="1"/>
  <c r="AG713" i="3"/>
  <c r="E713" i="3"/>
  <c r="H713" i="3" s="1"/>
  <c r="F713" i="3" l="1"/>
  <c r="G713" i="3"/>
  <c r="M713" i="3" s="1"/>
  <c r="N713" i="3" s="1"/>
  <c r="K713" i="3"/>
  <c r="AE713" i="3" s="1"/>
  <c r="I713" i="3" l="1"/>
  <c r="J713" i="3"/>
  <c r="L713" i="3" s="1"/>
  <c r="V713" i="3"/>
  <c r="A714" i="3"/>
  <c r="B714" i="3" s="1"/>
  <c r="W713" i="3" l="1"/>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U714" i="3" l="1"/>
  <c r="Y713" i="3"/>
  <c r="T715" i="3"/>
  <c r="AG715" i="3" s="1"/>
  <c r="AH715" i="3" l="1"/>
  <c r="D715" i="3"/>
  <c r="G715" i="3" s="1"/>
  <c r="E715" i="3"/>
  <c r="H715" i="3" s="1"/>
  <c r="F715" i="3" l="1"/>
  <c r="I715" i="3"/>
  <c r="J715" i="3"/>
  <c r="AD715" i="3" s="1"/>
  <c r="M715" i="3"/>
  <c r="N715" i="3" s="1"/>
  <c r="K715" i="3"/>
  <c r="AE715" i="3" s="1"/>
  <c r="V715" i="3" l="1"/>
  <c r="W715" i="3" s="1"/>
  <c r="A716" i="3"/>
  <c r="B716" i="3" s="1"/>
  <c r="L715" i="3"/>
  <c r="U715" i="3" l="1"/>
  <c r="Y714" i="3"/>
  <c r="AC716" i="3"/>
  <c r="Z716" i="3"/>
  <c r="P716" i="3"/>
  <c r="Q716" i="3" s="1"/>
  <c r="R716" i="3" s="1"/>
  <c r="S716" i="3" s="1"/>
  <c r="AA716" i="3"/>
  <c r="T716" i="3" l="1"/>
  <c r="D716" i="3" s="1"/>
  <c r="E716" i="3" l="1"/>
  <c r="H716" i="3" s="1"/>
  <c r="K716" i="3" s="1"/>
  <c r="AE716" i="3" s="1"/>
  <c r="AH716" i="3"/>
  <c r="AG716" i="3"/>
  <c r="G716" i="3"/>
  <c r="F716" i="3" l="1"/>
  <c r="I716" i="3"/>
  <c r="J716" i="3"/>
  <c r="AD716" i="3" s="1"/>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Z739" i="3"/>
  <c r="T739" i="3" l="1"/>
  <c r="L738" i="3"/>
  <c r="AH739" i="3" l="1"/>
  <c r="U738" i="3"/>
  <c r="E739" i="3" s="1"/>
  <c r="H739" i="3" s="1"/>
  <c r="AG739" i="3"/>
  <c r="Y737" i="3"/>
  <c r="D739" i="3" l="1"/>
  <c r="G739" i="3" s="1"/>
  <c r="K739" i="3"/>
  <c r="AE739" i="3" s="1"/>
  <c r="F739" i="3" l="1"/>
  <c r="I739" i="3"/>
  <c r="J739" i="3"/>
  <c r="AD739" i="3" s="1"/>
  <c r="M739" i="3"/>
  <c r="N739" i="3" s="1"/>
  <c r="V739" i="3"/>
  <c r="A740" i="3"/>
  <c r="B740" i="3" s="1"/>
  <c r="W739" i="3" l="1"/>
  <c r="L739" i="3"/>
  <c r="P740" i="3"/>
  <c r="Q740" i="3" s="1"/>
  <c r="R740" i="3" s="1"/>
  <c r="S740" i="3" s="1"/>
  <c r="Z740" i="3"/>
  <c r="AC740" i="3"/>
  <c r="AA740" i="3"/>
  <c r="U739" i="3" l="1"/>
  <c r="Y738" i="3"/>
  <c r="T740" i="3"/>
  <c r="E740" i="3" l="1"/>
  <c r="H740" i="3" s="1"/>
  <c r="K740" i="3" s="1"/>
  <c r="AE740" i="3" s="1"/>
  <c r="D740" i="3"/>
  <c r="G740" i="3" s="1"/>
  <c r="AH740" i="3"/>
  <c r="AG740" i="3"/>
  <c r="F740" i="3" l="1"/>
  <c r="I740" i="3"/>
  <c r="J740" i="3"/>
  <c r="AD740" i="3" s="1"/>
  <c r="M740" i="3"/>
  <c r="N740" i="3" s="1"/>
  <c r="V740" i="3"/>
  <c r="A741" i="3"/>
  <c r="B741" i="3" s="1"/>
  <c r="W740" i="3" l="1"/>
  <c r="L740" i="3"/>
  <c r="AA741" i="3"/>
  <c r="P741" i="3"/>
  <c r="Q741" i="3" s="1"/>
  <c r="R741" i="3" s="1"/>
  <c r="S741" i="3" s="1"/>
  <c r="Z741" i="3"/>
  <c r="AC741" i="3"/>
  <c r="T741" i="3" l="1"/>
  <c r="AG741" i="3" s="1"/>
  <c r="U740" i="3"/>
  <c r="Y739" i="3"/>
  <c r="E741" i="3" l="1"/>
  <c r="H741" i="3" s="1"/>
  <c r="D741" i="3"/>
  <c r="AH741" i="3"/>
  <c r="K741" i="3" l="1"/>
  <c r="AE741" i="3" s="1"/>
  <c r="F741" i="3"/>
  <c r="G741" i="3"/>
  <c r="V741" i="3" l="1"/>
  <c r="A742" i="3"/>
  <c r="B742" i="3" s="1"/>
  <c r="I741" i="3"/>
  <c r="J741" i="3"/>
  <c r="AD741" i="3" s="1"/>
  <c r="M741" i="3"/>
  <c r="N741" i="3" s="1"/>
  <c r="L741" i="3" l="1"/>
  <c r="W741" i="3"/>
  <c r="AC742" i="3"/>
  <c r="P742" i="3"/>
  <c r="Q742" i="3" s="1"/>
  <c r="R742" i="3" s="1"/>
  <c r="S742" i="3" s="1"/>
  <c r="Z742" i="3"/>
  <c r="AA742" i="3"/>
  <c r="U741" i="3" l="1"/>
  <c r="Y740" i="3"/>
  <c r="T742" i="3"/>
  <c r="AG742" i="3" s="1"/>
  <c r="E742" i="3" l="1"/>
  <c r="H742" i="3" s="1"/>
  <c r="K742" i="3" s="1"/>
  <c r="AE742" i="3" s="1"/>
  <c r="AH742" i="3"/>
  <c r="D742" i="3"/>
  <c r="F742" i="3" l="1"/>
  <c r="G742" i="3"/>
  <c r="V742" i="3"/>
  <c r="A743" i="3"/>
  <c r="B743" i="3" s="1"/>
  <c r="I742" i="3" l="1"/>
  <c r="W742" i="3" s="1"/>
  <c r="J742" i="3"/>
  <c r="AD742" i="3" s="1"/>
  <c r="M742" i="3"/>
  <c r="N742" i="3" s="1"/>
  <c r="Z743" i="3"/>
  <c r="AA743" i="3"/>
  <c r="P743" i="3"/>
  <c r="Q743" i="3" s="1"/>
  <c r="R743" i="3" s="1"/>
  <c r="S743" i="3" s="1"/>
  <c r="AC743" i="3"/>
  <c r="T743" i="3" l="1"/>
  <c r="L742" i="3"/>
  <c r="U742" i="3" l="1"/>
  <c r="E743" i="3" s="1"/>
  <c r="H743" i="3" s="1"/>
  <c r="AH743" i="3"/>
  <c r="AG743" i="3"/>
  <c r="Y741" i="3"/>
  <c r="D743" i="3" l="1"/>
  <c r="G743" i="3" s="1"/>
  <c r="K743" i="3"/>
  <c r="AE743" i="3" s="1"/>
  <c r="F743" i="3" l="1"/>
  <c r="I743" i="3"/>
  <c r="J743" i="3"/>
  <c r="AD743" i="3" s="1"/>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sharedStrings.xml><?xml version="1.0" encoding="utf-8"?>
<sst xmlns="http://schemas.openxmlformats.org/spreadsheetml/2006/main" count="1735" uniqueCount="576">
  <si>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</si>
  <si>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</si>
  <si>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</si>
  <si>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</si>
  <si>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</si>
  <si>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</si>
  <si>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</si>
  <si>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</si>
  <si>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</si>
  <si>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</si>
  <si>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</si>
  <si>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</si>
  <si>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</si>
  <si>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</si>
  <si>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</si>
  <si>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</si>
  <si>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</si>
  <si>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</si>
  <si>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</si>
  <si>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</si>
  <si>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</si>
  <si>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</si>
  <si>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</si>
  <si>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</si>
  <si>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</si>
  <si>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</si>
  <si>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</si>
  <si>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</si>
  <si>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</si>
  <si>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</si>
  <si>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</si>
  <si>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</si>
  <si>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</si>
  <si>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</si>
  <si>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</si>
  <si>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</si>
  <si>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</si>
  <si>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</si>
  <si>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</si>
  <si>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</si>
  <si>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</si>
  <si>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</si>
  <si>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</si>
  <si>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</si>
  <si>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</si>
  <si>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</si>
  <si>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</si>
  <si>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</si>
  <si>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</si>
  <si>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</si>
  <si>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</si>
  <si>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</si>
  <si>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</si>
  <si>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</si>
  <si>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</si>
  <si>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</si>
  <si>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</si>
  <si>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</si>
  <si>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</si>
  <si>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</si>
  <si>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</si>
  <si>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</si>
  <si>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</si>
  <si>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</si>
  <si>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</si>
  <si>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</si>
  <si>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</si>
  <si>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</si>
  <si>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</si>
  <si>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</si>
  <si>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</si>
  <si>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</si>
  <si>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</si>
  <si>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</si>
  <si>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</si>
  <si>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</si>
  <si>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</si>
  <si>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</si>
  <si>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</si>
  <si>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</si>
  <si>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</si>
  <si>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</si>
  <si>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</si>
  <si>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</si>
  <si>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</si>
  <si>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</si>
  <si>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</si>
  <si>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</si>
  <si>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</si>
  <si>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</si>
  <si>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</si>
  <si>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</si>
  <si>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</si>
  <si>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</si>
  <si>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</si>
  <si>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</si>
  <si>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</si>
  <si>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</si>
  <si>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</si>
  <si>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</si>
  <si>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</si>
  <si>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</si>
  <si>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</si>
  <si>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</si>
  <si>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</si>
  <si>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</si>
  <si>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</si>
  <si>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</si>
  <si>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</si>
  <si>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</si>
  <si>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</si>
  <si>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</si>
  <si>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</si>
  <si>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</si>
  <si>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</si>
  <si>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</si>
  <si>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</si>
  <si>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</si>
  <si>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</si>
  <si>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</si>
  <si>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</si>
  <si>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</si>
  <si>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</si>
  <si>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</si>
  <si>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</si>
  <si>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</si>
  <si>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</si>
  <si>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</si>
  <si>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</si>
  <si>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</si>
  <si>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</si>
  <si>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</si>
  <si>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</si>
  <si>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</si>
  <si>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</si>
  <si>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</si>
  <si>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</si>
  <si>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</si>
  <si>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</si>
  <si>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</si>
  <si>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</si>
  <si>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</si>
  <si>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</si>
  <si>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</si>
  <si>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</si>
  <si>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</si>
  <si>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</si>
  <si>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</si>
  <si>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</si>
  <si>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</si>
  <si>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</si>
  <si>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</si>
  <si>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</si>
  <si>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</si>
  <si>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</si>
  <si>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</si>
  <si>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</si>
  <si>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</si>
  <si>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</si>
  <si>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</si>
  <si>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</si>
  <si>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</si>
  <si>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</si>
  <si>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</si>
  <si>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</si>
  <si>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</si>
  <si>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</si>
  <si>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</si>
  <si>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</si>
  <si>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</si>
  <si>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</si>
  <si>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</si>
  <si>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</si>
  <si>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</si>
  <si>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</si>
  <si>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</si>
  <si>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</si>
  <si>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</si>
  <si>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</si>
  <si>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</si>
  <si>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</si>
  <si>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</si>
  <si>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</si>
  <si>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</si>
  <si>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</si>
  <si>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</si>
  <si>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</si>
  <si>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</si>
  <si>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</si>
  <si>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</si>
  <si>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</si>
  <si>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</si>
  <si>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</si>
  <si>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</si>
  <si>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</si>
  <si>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</si>
  <si>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</si>
  <si>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</si>
  <si>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</si>
  <si>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</si>
  <si>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</si>
  <si>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</si>
  <si>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</si>
  <si>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</si>
  <si>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</si>
  <si>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</si>
  <si>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</si>
  <si>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</si>
  <si>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</si>
  <si>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</si>
  <si>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</si>
  <si>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</si>
  <si>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</si>
  <si>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</si>
  <si>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</si>
  <si>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</si>
  <si>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</si>
  <si>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</si>
  <si>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</si>
  <si>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</si>
  <si>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</si>
  <si>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</si>
  <si>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</si>
  <si>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</si>
  <si>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</si>
  <si>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</si>
  <si>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</si>
  <si>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</si>
  <si>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</si>
  <si>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</si>
  <si>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</si>
  <si>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</si>
  <si>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</si>
  <si>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</si>
  <si>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</si>
  <si>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</si>
  <si>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</si>
  <si>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</si>
  <si>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</si>
  <si>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</si>
  <si>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</si>
  <si>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</si>
  <si>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</si>
  <si>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</si>
  <si>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</si>
  <si>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</si>
  <si>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</si>
  <si>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</si>
  <si>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</si>
  <si>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</si>
  <si>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</si>
  <si>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</si>
  <si>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</si>
  <si>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</si>
  <si>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</si>
  <si>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</si>
  <si>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</si>
  <si>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</si>
  <si>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</si>
  <si>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</si>
  <si>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</si>
  <si>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</si>
  <si>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</si>
  <si>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</si>
  <si>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</si>
  <si>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</si>
  <si>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</si>
  <si>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</si>
  <si>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</si>
  <si>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</si>
  <si>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</si>
  <si>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</si>
  <si>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</si>
  <si>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</si>
  <si>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</si>
  <si>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</si>
  <si>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</si>
  <si>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</si>
  <si>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</si>
  <si>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</si>
  <si>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</si>
  <si>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</si>
  <si>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</si>
  <si>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</si>
  <si>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</si>
  <si>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</si>
  <si>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</si>
  <si>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</si>
  <si>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</si>
  <si>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</si>
  <si>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</si>
  <si>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</si>
  <si>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</si>
  <si>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</si>
  <si>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</si>
  <si>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</si>
  <si>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</si>
  <si>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</si>
  <si>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</si>
  <si>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</si>
  <si>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</si>
  <si>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</si>
  <si>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</si>
  <si>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</si>
  <si>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</si>
  <si>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</si>
  <si>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</si>
  <si>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</si>
  <si>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</si>
  <si>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</si>
  <si>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</si>
  <si>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</si>
  <si>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</si>
  <si>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</si>
  <si>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</si>
  <si>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</si>
  <si>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</si>
  <si>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</si>
  <si>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</si>
  <si>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</si>
  <si>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</si>
  <si>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</si>
  <si>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</si>
  <si>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</si>
  <si>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</si>
  <si>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</si>
  <si>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</si>
  <si>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</si>
  <si>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</si>
  <si>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</si>
  <si>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</si>
  <si>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</si>
  <si>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</si>
  <si>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</si>
  <si>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</si>
  <si>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</si>
  <si>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</si>
  <si>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</si>
  <si>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</si>
  <si>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</si>
  <si>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</si>
  <si>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</si>
  <si>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</si>
  <si>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</si>
  <si>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</si>
  <si>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</si>
  <si>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</si>
  <si>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</si>
  <si>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</si>
  <si>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</si>
  <si>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</si>
  <si>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</si>
  <si>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</si>
  <si>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</si>
  <si>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</si>
  <si>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</si>
  <si>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</si>
  <si>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</si>
  <si>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</si>
  <si>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</si>
  <si>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</si>
  <si>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</si>
  <si>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</si>
  <si>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</si>
  <si>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</si>
  <si>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</si>
  <si>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</si>
  <si>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</si>
  <si>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</si>
  <si>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</si>
  <si>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</si>
  <si>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</si>
  <si>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</si>
  <si>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</si>
  <si>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</si>
  <si>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</si>
  <si>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</si>
  <si>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</si>
  <si>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</si>
  <si>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</si>
  <si>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</si>
  <si>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</si>
  <si>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</si>
  <si>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</si>
  <si>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</si>
  <si>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</si>
  <si>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</si>
  <si>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</si>
  <si>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</si>
  <si>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</si>
  <si>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</si>
  <si>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</si>
  <si>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</si>
  <si>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</si>
  <si>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</si>
  <si>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</si>
  <si>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</si>
  <si>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</si>
  <si>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</si>
  <si>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</si>
  <si>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</si>
  <si>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</si>
  <si>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</si>
  <si>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</si>
  <si>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</si>
  <si>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</si>
  <si>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</si>
  <si>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</si>
  <si>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</si>
  <si>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</si>
  <si>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</si>
  <si>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</si>
  <si>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</si>
  <si>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</si>
  <si>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</si>
  <si>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</si>
  <si>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</si>
  <si>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</si>
  <si>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</si>
  <si>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</si>
  <si>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</si>
  <si>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</si>
  <si>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</si>
  <si>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</si>
  <si>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</si>
  <si>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</si>
  <si>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</si>
  <si>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</si>
  <si>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</si>
  <si>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</si>
  <si>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</si>
  <si>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</si>
  <si>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</si>
  <si>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</si>
  <si>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</si>
  <si>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</si>
  <si>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</si>
  <si>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</si>
  <si>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</si>
  <si>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</si>
  <si>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</si>
  <si>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</si>
  <si>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</si>
  <si>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</si>
  <si>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</si>
  <si>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</si>
  <si>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</si>
  <si>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</si>
  <si>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</si>
  <si>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</si>
  <si>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</si>
  <si>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</si>
  <si>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</si>
  <si>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</si>
  <si>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</si>
  <si>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</si>
  <si>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</si>
  <si>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</si>
  <si>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</si>
  <si>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</si>
  <si>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</si>
  <si>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</si>
  <si>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</si>
  <si>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</si>
  <si>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</si>
  <si>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</si>
  <si>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</si>
  <si>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</si>
  <si>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</si>
  <si>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</si>
  <si>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</si>
  <si>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</si>
  <si>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</si>
  <si>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</si>
  <si>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</si>
  <si>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</si>
  <si>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</si>
  <si>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</si>
  <si>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</si>
  <si>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</si>
  <si>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</si>
  <si>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</si>
  <si>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</si>
  <si>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</si>
  <si>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</si>
  <si>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</si>
  <si>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</si>
  <si>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</si>
  <si>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</si>
  <si>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</si>
  <si>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</si>
  <si>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</si>
  <si>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</si>
  <si>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</si>
  <si>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</si>
  <si>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</si>
  <si>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</si>
  <si>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</si>
  <si>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</si>
  <si>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</si>
  <si>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</si>
  <si>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</si>
  <si>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</si>
  <si>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</si>
  <si>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</si>
  <si>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</si>
  <si>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</si>
  <si>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</si>
  <si>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</si>
  <si>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</si>
  <si>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</si>
  <si>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</si>
  <si>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</si>
  <si>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</si>
  <si>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</si>
  <si>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</si>
  <si>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</si>
  <si>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</si>
  <si>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</si>
  <si>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</si>
  <si>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</si>
  <si>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</si>
  <si>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</si>
  <si>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</si>
  <si>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</si>
  <si>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</si>
  <si>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</si>
  <si>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</si>
  <si>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</si>
  <si>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</si>
  <si>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</si>
  <si>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</si>
  <si>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</si>
  <si>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</si>
  <si>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</si>
  <si>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</si>
  <si>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</si>
  <si>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</si>
  <si>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</si>
  <si>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</si>
  <si>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</si>
  <si>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</si>
  <si>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</si>
  <si>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</si>
  <si>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</si>
  <si>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</si>
  <si>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</si>
  <si>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</si>
  <si>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</si>
  <si>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</si>
  <si>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</si>
  <si>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</si>
  <si>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</si>
  <si>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</si>
  <si>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</si>
  <si>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</si>
  <si>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</si>
  <si>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</si>
  <si>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</si>
  <si>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</si>
  <si>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</si>
  <si>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</si>
  <si>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</si>
  <si>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</si>
  <si>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</si>
  <si>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</si>
  <si>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</si>
  <si>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</si>
  <si>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</si>
  <si>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</si>
  <si>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</si>
  <si>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</si>
  <si>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</si>
  <si>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OpenRocket</t>
  </si>
  <si>
    <t>MS</t>
  </si>
  <si>
    <t>Cnalpha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</si>
</sst>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77" fontId="2" fillId="4" borderId="2" xfId="2" applyNumberFormat="1" applyFont="1" applyFill="1" applyBorder="1" applyAlignment="1" applyProtection="1">
      <alignment horizontal="center"/>
      <protection locked="0"/>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165" fontId="33" fillId="5" borderId="2" xfId="2" applyNumberFormat="1"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0" fontId="45" fillId="0" borderId="83" xfId="2" applyFont="1" applyBorder="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2" fillId="12" borderId="15" xfId="0" applyFont="1" applyFill="1" applyBorder="1" applyAlignment="1" applyProtection="1">
      <alignment horizontal="center"/>
      <protection hidden="1"/>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166" fontId="2" fillId="17" borderId="46" xfId="0" applyNumberFormat="1" applyFont="1" applyFill="1" applyBorder="1" applyAlignment="1">
      <alignment horizontal="center" vertic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0" fillId="0" borderId="33" xfId="0" applyBorder="1" applyAlignment="1">
      <alignment horizontal="center"/>
    </xf>
    <xf numFmtId="0" fontId="0" fillId="0" borderId="0" xfId="0" applyAlignment="1">
      <alignment horizontal="center"/>
    </xf>
    <xf numFmtId="0" fontId="0" fillId="0" borderId="0" xfId="0"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0" borderId="33" xfId="0" applyBorder="1" applyAlignment="1" applyProtection="1">
      <alignment horizontal="center"/>
      <protection locked="0"/>
    </xf>
    <xf numFmtId="0" fontId="0" fillId="30" borderId="21" xfId="0" applyFill="1" applyBorder="1" applyAlignment="1">
      <alignment horizontal="center"/>
    </xf>
    <xf numFmtId="0" fontId="0" fillId="30" borderId="23" xfId="0" applyFill="1"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165" fontId="2" fillId="0" borderId="12" xfId="0" applyNumberFormat="1" applyFont="1" applyBorder="1" applyAlignment="1">
      <alignment horizontal="center" vertical="center"/>
    </xf>
    <xf numFmtId="0" fontId="2" fillId="0" borderId="102" xfId="0" applyFont="1" applyBorder="1" applyAlignment="1">
      <alignment horizontal="center" vertical="center"/>
    </xf>
    <xf numFmtId="0" fontId="2" fillId="0" borderId="12" xfId="0" applyFont="1" applyBorder="1" applyAlignment="1">
      <alignment horizontal="center" vertical="center"/>
    </xf>
    <xf numFmtId="1" fontId="2" fillId="0" borderId="12" xfId="0" applyNumberFormat="1"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-942</c:v>
                </c:pt>
                <c:pt idx="3">
                  <c:v>-1002</c:v>
                </c:pt>
                <c:pt idx="4">
                  <c:v>-2002</c:v>
                </c:pt>
                <c:pt idx="5">
                  <c:v>-2052</c:v>
                </c:pt>
                <c:pt idx="6">
                  <c:v>-2052</c:v>
                </c:pt>
                <c:pt idx="7">
                  <c:v>-2052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-1782</c:v>
                </c:pt>
                <c:pt idx="1">
                  <c:v>-1962</c:v>
                </c:pt>
                <c:pt idx="2">
                  <c:v>-2042</c:v>
                </c:pt>
                <c:pt idx="3">
                  <c:v>-1972</c:v>
                </c:pt>
                <c:pt idx="4">
                  <c:v>-1782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-942</c:v>
                </c:pt>
                <c:pt idx="3">
                  <c:v>-1002</c:v>
                </c:pt>
                <c:pt idx="4">
                  <c:v>-2002</c:v>
                </c:pt>
                <c:pt idx="5">
                  <c:v>-2052</c:v>
                </c:pt>
                <c:pt idx="6">
                  <c:v>-2052</c:v>
                </c:pt>
                <c:pt idx="7">
                  <c:v>-2052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-1782</c:v>
                </c:pt>
                <c:pt idx="1">
                  <c:v>-1962</c:v>
                </c:pt>
                <c:pt idx="2">
                  <c:v>-2042</c:v>
                </c:pt>
                <c:pt idx="3">
                  <c:v>-1972</c:v>
                </c:pt>
                <c:pt idx="4">
                  <c:v>-1782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-1174.0453603750955</c:v>
                </c:pt>
                <c:pt idx="1">
                  <c:v>-1092.0113049889408</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149.12948659418851</c:v>
                </c:pt>
                <c:pt idx="2">
                  <c:v>178.81567408747844</c:v>
                </c:pt>
                <c:pt idx="3">
                  <c:v>0</c:v>
                </c:pt>
              </c:numCache>
            </c:numRef>
          </c:xVal>
          <c:yVal>
            <c:numRef>
              <c:f>Stabilito!$C$151:$C$154</c:f>
              <c:numCache>
                <c:formatCode>0</c:formatCode>
                <c:ptCount val="4"/>
                <c:pt idx="0">
                  <c:v>-1303.4833344227256</c:v>
                </c:pt>
                <c:pt idx="1">
                  <c:v>-1303.4833344227256</c:v>
                </c:pt>
                <c:pt idx="2">
                  <c:v>-1398.6006307847383</c:v>
                </c:pt>
                <c:pt idx="3">
                  <c:v>-1398.6006307847383</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52</c:v>
                </c:pt>
                <c:pt idx="1">
                  <c:v>159</c:v>
                </c:pt>
                <c:pt idx="2">
                  <c:v>159</c:v>
                </c:pt>
                <c:pt idx="3">
                  <c:v>52</c:v>
                </c:pt>
                <c:pt idx="4">
                  <c:v>52</c:v>
                </c:pt>
              </c:numCache>
            </c:numRef>
          </c:xVal>
          <c:yVal>
            <c:numRef>
              <c:f>Stabilito!$C$158:$C$162</c:f>
              <c:numCache>
                <c:formatCode>0</c:formatCode>
                <c:ptCount val="5"/>
                <c:pt idx="0">
                  <c:v>-772</c:v>
                </c:pt>
                <c:pt idx="1">
                  <c:v>-892</c:v>
                </c:pt>
                <c:pt idx="2">
                  <c:v>-972</c:v>
                </c:pt>
                <c:pt idx="3">
                  <c:v>-942</c:v>
                </c:pt>
                <c:pt idx="4">
                  <c:v>-772</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-52</c:v>
                </c:pt>
                <c:pt idx="1">
                  <c:v>-159</c:v>
                </c:pt>
                <c:pt idx="2">
                  <c:v>-159</c:v>
                </c:pt>
                <c:pt idx="3">
                  <c:v>-52</c:v>
                </c:pt>
                <c:pt idx="4">
                  <c:v>-52</c:v>
                </c:pt>
              </c:numCache>
            </c:numRef>
          </c:xVal>
          <c:yVal>
            <c:numRef>
              <c:f>Stabilito!$C$158:$C$162</c:f>
              <c:numCache>
                <c:formatCode>0</c:formatCode>
                <c:ptCount val="5"/>
                <c:pt idx="0">
                  <c:v>-772</c:v>
                </c:pt>
                <c:pt idx="1">
                  <c:v>-892</c:v>
                </c:pt>
                <c:pt idx="2">
                  <c:v>-972</c:v>
                </c:pt>
                <c:pt idx="3">
                  <c:v>-942</c:v>
                </c:pt>
                <c:pt idx="4">
                  <c:v>-772</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52</c:v>
                </c:pt>
                <c:pt idx="1">
                  <c:v>149</c:v>
                </c:pt>
                <c:pt idx="2">
                  <c:v>149</c:v>
                </c:pt>
                <c:pt idx="3">
                  <c:v>52</c:v>
                </c:pt>
                <c:pt idx="4">
                  <c:v>52</c:v>
                </c:pt>
              </c:numCache>
            </c:numRef>
          </c:xVal>
          <c:yVal>
            <c:numRef>
              <c:f>Stabilito!$C$163:$C$167</c:f>
              <c:numCache>
                <c:formatCode>0</c:formatCode>
                <c:ptCount val="5"/>
                <c:pt idx="0">
                  <c:v>-1782</c:v>
                </c:pt>
                <c:pt idx="1">
                  <c:v>-1902.4137931034484</c:v>
                </c:pt>
                <c:pt idx="2">
                  <c:v>-2018.8275862068967</c:v>
                </c:pt>
                <c:pt idx="3">
                  <c:v>-1972</c:v>
                </c:pt>
                <c:pt idx="4">
                  <c:v>-1782</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-52</c:v>
                </c:pt>
                <c:pt idx="1">
                  <c:v>-149</c:v>
                </c:pt>
                <c:pt idx="2">
                  <c:v>-149</c:v>
                </c:pt>
                <c:pt idx="3">
                  <c:v>-52</c:v>
                </c:pt>
                <c:pt idx="4">
                  <c:v>-52</c:v>
                </c:pt>
              </c:numCache>
            </c:numRef>
          </c:xVal>
          <c:yVal>
            <c:numRef>
              <c:f>Stabilito!$C$163:$C$167</c:f>
              <c:numCache>
                <c:formatCode>0</c:formatCode>
                <c:ptCount val="5"/>
                <c:pt idx="0">
                  <c:v>-1782</c:v>
                </c:pt>
                <c:pt idx="1">
                  <c:v>-1902.4137931034484</c:v>
                </c:pt>
                <c:pt idx="2">
                  <c:v>-2018.8275862068967</c:v>
                </c:pt>
                <c:pt idx="3">
                  <c:v>-1972</c:v>
                </c:pt>
                <c:pt idx="4">
                  <c:v>-1782</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684</c:v>
                </c:pt>
                <c:pt idx="1">
                  <c:v>-684</c:v>
                </c:pt>
              </c:numCache>
            </c:numRef>
          </c:xVal>
          <c:yVal>
            <c:numRef>
              <c:f>Stabilito!$C$168:$C$169</c:f>
              <c:numCache>
                <c:formatCode>0</c:formatCode>
                <c:ptCount val="2"/>
                <c:pt idx="0">
                  <c:v>-2072.52</c:v>
                </c:pt>
                <c:pt idx="1">
                  <c:v>-2072.52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-27</c:v>
                </c:pt>
                <c:pt idx="1">
                  <c:v>27</c:v>
                </c:pt>
                <c:pt idx="2">
                  <c:v>27</c:v>
                </c:pt>
                <c:pt idx="3">
                  <c:v>-27</c:v>
                </c:pt>
                <c:pt idx="4">
                  <c:v>-27</c:v>
                </c:pt>
              </c:numCache>
            </c:numRef>
          </c:xVal>
          <c:yVal>
            <c:numRef>
              <c:f>Stabilito!$C$170:$C$174</c:f>
              <c:numCache>
                <c:formatCode>0</c:formatCode>
                <c:ptCount val="5"/>
                <c:pt idx="0">
                  <c:v>-1564</c:v>
                </c:pt>
                <c:pt idx="1">
                  <c:v>-1564</c:v>
                </c:pt>
                <c:pt idx="2">
                  <c:v>-2052</c:v>
                </c:pt>
                <c:pt idx="3">
                  <c:v>-2052</c:v>
                </c:pt>
                <c:pt idx="4">
                  <c:v>-1564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-2110.4</c:v>
                </c:pt>
                <c:pt idx="1">
                  <c:v>-2110.4</c:v>
                </c:pt>
                <c:pt idx="2">
                  <c:v>-2110.4</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-265.39999999999998</c:v>
                </c:pt>
                <c:pt idx="1">
                  <c:v>-265.39999999999998</c:v>
                </c:pt>
                <c:pt idx="2">
                  <c:v>-265.39999999999998</c:v>
                </c:pt>
              </c:numCache>
            </c:numRef>
          </c:xVal>
          <c:yVal>
            <c:numRef>
              <c:f>Stabilito!$C$143:$C$145</c:f>
              <c:numCache>
                <c:formatCode>0</c:formatCode>
                <c:ptCount val="3"/>
                <c:pt idx="0">
                  <c:v>-1782</c:v>
                </c:pt>
                <c:pt idx="1">
                  <c:v>-1872</c:v>
                </c:pt>
                <c:pt idx="2">
                  <c:v>-1962</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-299.60000000000002</c:v>
                </c:pt>
                <c:pt idx="1">
                  <c:v>-299.60000000000002</c:v>
                </c:pt>
                <c:pt idx="2">
                  <c:v>-299.60000000000002</c:v>
                </c:pt>
              </c:numCache>
            </c:numRef>
          </c:xVal>
          <c:yVal>
            <c:numRef>
              <c:f>Stabilito!$C$146:$C$148</c:f>
              <c:numCache>
                <c:formatCode>0</c:formatCode>
                <c:ptCount val="3"/>
                <c:pt idx="0">
                  <c:v>-1962</c:v>
                </c:pt>
                <c:pt idx="1">
                  <c:v>-2002</c:v>
                </c:pt>
                <c:pt idx="2">
                  <c:v>-2042</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299.60000000000002</c:v>
                </c:pt>
                <c:pt idx="1">
                  <c:v>299.60000000000002</c:v>
                </c:pt>
                <c:pt idx="2">
                  <c:v>299.60000000000002</c:v>
                </c:pt>
              </c:numCache>
            </c:numRef>
          </c:xVal>
          <c:yVal>
            <c:numRef>
              <c:f>Stabilito!$C$140:$C$142</c:f>
              <c:numCache>
                <c:formatCode>0</c:formatCode>
                <c:ptCount val="3"/>
                <c:pt idx="0">
                  <c:v>-1782</c:v>
                </c:pt>
                <c:pt idx="1">
                  <c:v>-1877</c:v>
                </c:pt>
                <c:pt idx="2">
                  <c:v>-1972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-299.60000000000002</c:v>
                </c:pt>
                <c:pt idx="1">
                  <c:v>-299.60000000000002</c:v>
                </c:pt>
                <c:pt idx="2">
                  <c:v>-299.60000000000002</c:v>
                </c:pt>
              </c:numCache>
            </c:numRef>
          </c:xVal>
          <c:yVal>
            <c:numRef>
              <c:f>Stabilito!$C$155:$C$157</c:f>
              <c:numCache>
                <c:formatCode>0</c:formatCode>
                <c:ptCount val="3"/>
                <c:pt idx="0">
                  <c:v>-1133.0283326820181</c:v>
                </c:pt>
                <c:pt idx="1">
                  <c:v>-1218.2558335523718</c:v>
                </c:pt>
                <c:pt idx="2">
                  <c:v>-1303.4833344227256</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1.3074542833093958</c:v>
                </c:pt>
                <c:pt idx="1">
                  <c:v>2.2682350546428571</c:v>
                </c:pt>
                <c:pt idx="2">
                  <c:v>3.0968618767252276</c:v>
                </c:pt>
                <c:pt idx="3">
                  <c:v>2.1360811053917663</c:v>
                </c:pt>
              </c:numCache>
            </c:numRef>
          </c:xVal>
          <c:yVal>
            <c:numRef>
              <c:f>Stabilito!$C$190:$C$193</c:f>
              <c:numCache>
                <c:formatCode>0.00</c:formatCode>
                <c:ptCount val="4"/>
                <c:pt idx="0">
                  <c:v>22.595376756695227</c:v>
                </c:pt>
                <c:pt idx="1">
                  <c:v>27.09328395264825</c:v>
                </c:pt>
                <c:pt idx="2">
                  <c:v>27.09328395264825</c:v>
                </c:pt>
                <c:pt idx="3">
                  <c:v>22.595376756695227</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2.1360811053917663</c:v>
                </c:pt>
                <c:pt idx="1">
                  <c:v>1.3074542833093958</c:v>
                </c:pt>
              </c:numCache>
            </c:numRef>
          </c:xVal>
          <c:yVal>
            <c:numRef>
              <c:f>Stabilito!$C$193:$C$194</c:f>
              <c:numCache>
                <c:formatCode>0.00</c:formatCode>
                <c:ptCount val="2"/>
                <c:pt idx="0">
                  <c:v>22.595376756695227</c:v>
                </c:pt>
                <c:pt idx="1">
                  <c:v>22.595376756695227</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2.1800000000000002</c:v>
                </c:pt>
                <c:pt idx="1">
                  <c:v>2.95</c:v>
                </c:pt>
              </c:numCache>
            </c:numRef>
          </c:xVal>
          <c:yVal>
            <c:numRef>
              <c:f>Stabilito!$V$31:$V$32</c:f>
              <c:numCache>
                <c:formatCode>General</c:formatCode>
                <c:ptCount val="2"/>
                <c:pt idx="0">
                  <c:v>24.960999999999999</c:v>
                </c:pt>
                <c:pt idx="1">
                  <c:v>24.960999999999999</c:v>
                </c:pt>
              </c:numCache>
            </c:numRef>
          </c:yVal>
          <c:smooth val="0"/>
          <c:extLst>
            <c:ext xmlns:c16="http://schemas.microsoft.com/office/drawing/2014/chart" uri="{C3380CC4-5D6E-409C-BE32-E72D297353CC}">
              <c16:uniqueId val="{00000000-DC51-4CCD-AC14-9DE9D19DAD5A}"/>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1320.237263236472</c:v>
                </c:pt>
              </c:numCache>
            </c:numRef>
          </c:xVal>
          <c:yVal>
            <c:numRef>
              <c:f>Trajecto!$C$121</c:f>
              <c:numCache>
                <c:formatCode>0</c:formatCode>
                <c:ptCount val="1"/>
                <c:pt idx="0">
                  <c:v>1320.237263236472</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7.2902730483602944</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30.197215307389662</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66.039701023267682</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107.50894301718999</c:v>
                </c:pt>
                <c:pt idx="401">
                  <c:v>#N/A</c:v>
                </c:pt>
                <c:pt idx="402">
                  <c:v>#N/A</c:v>
                </c:pt>
                <c:pt idx="403">
                  <c:v>#N/A</c:v>
                </c:pt>
                <c:pt idx="404">
                  <c:v>#N/A</c:v>
                </c:pt>
                <c:pt idx="405">
                  <c:v>#N/A</c:v>
                </c:pt>
                <c:pt idx="406">
                  <c:v>#N/A</c:v>
                </c:pt>
                <c:pt idx="407">
                  <c:v>#N/A</c:v>
                </c:pt>
                <c:pt idx="408">
                  <c:v>#N/A</c:v>
                </c:pt>
                <c:pt idx="409">
                  <c:v>#N/A</c:v>
                </c:pt>
                <c:pt idx="410">
                  <c:v>146.34926717206977</c:v>
                </c:pt>
                <c:pt idx="411">
                  <c:v>#N/A</c:v>
                </c:pt>
                <c:pt idx="412">
                  <c:v>#N/A</c:v>
                </c:pt>
                <c:pt idx="413">
                  <c:v>#N/A</c:v>
                </c:pt>
                <c:pt idx="414">
                  <c:v>#N/A</c:v>
                </c:pt>
                <c:pt idx="415">
                  <c:v>#N/A</c:v>
                </c:pt>
                <c:pt idx="416">
                  <c:v>#N/A</c:v>
                </c:pt>
                <c:pt idx="417">
                  <c:v>#N/A</c:v>
                </c:pt>
                <c:pt idx="418">
                  <c:v>#N/A</c:v>
                </c:pt>
                <c:pt idx="419">
                  <c:v>#N/A</c:v>
                </c:pt>
                <c:pt idx="420">
                  <c:v>182.60927167712023</c:v>
                </c:pt>
                <c:pt idx="421">
                  <c:v>#N/A</c:v>
                </c:pt>
                <c:pt idx="422">
                  <c:v>#N/A</c:v>
                </c:pt>
                <c:pt idx="423">
                  <c:v>#N/A</c:v>
                </c:pt>
                <c:pt idx="424">
                  <c:v>#N/A</c:v>
                </c:pt>
                <c:pt idx="425">
                  <c:v>#N/A</c:v>
                </c:pt>
                <c:pt idx="426">
                  <c:v>#N/A</c:v>
                </c:pt>
                <c:pt idx="427">
                  <c:v>#N/A</c:v>
                </c:pt>
                <c:pt idx="428">
                  <c:v>#N/A</c:v>
                </c:pt>
                <c:pt idx="429">
                  <c:v>#N/A</c:v>
                </c:pt>
                <c:pt idx="430">
                  <c:v>216.78152722546346</c:v>
                </c:pt>
                <c:pt idx="431">
                  <c:v>#N/A</c:v>
                </c:pt>
                <c:pt idx="432">
                  <c:v>#N/A</c:v>
                </c:pt>
                <c:pt idx="433">
                  <c:v>#N/A</c:v>
                </c:pt>
                <c:pt idx="434">
                  <c:v>#N/A</c:v>
                </c:pt>
                <c:pt idx="435">
                  <c:v>#N/A</c:v>
                </c:pt>
                <c:pt idx="436">
                  <c:v>#N/A</c:v>
                </c:pt>
                <c:pt idx="437">
                  <c:v>#N/A</c:v>
                </c:pt>
                <c:pt idx="438">
                  <c:v>#N/A</c:v>
                </c:pt>
                <c:pt idx="439">
                  <c:v>#N/A</c:v>
                </c:pt>
                <c:pt idx="440">
                  <c:v>249.2475871455444</c:v>
                </c:pt>
                <c:pt idx="441">
                  <c:v>#N/A</c:v>
                </c:pt>
                <c:pt idx="442">
                  <c:v>#N/A</c:v>
                </c:pt>
                <c:pt idx="443">
                  <c:v>#N/A</c:v>
                </c:pt>
                <c:pt idx="444">
                  <c:v>#N/A</c:v>
                </c:pt>
                <c:pt idx="445">
                  <c:v>#N/A</c:v>
                </c:pt>
                <c:pt idx="446">
                  <c:v>#N/A</c:v>
                </c:pt>
                <c:pt idx="447">
                  <c:v>#N/A</c:v>
                </c:pt>
                <c:pt idx="448">
                  <c:v>#N/A</c:v>
                </c:pt>
                <c:pt idx="449">
                  <c:v>#N/A</c:v>
                </c:pt>
                <c:pt idx="450">
                  <c:v>280.3107085553516</c:v>
                </c:pt>
                <c:pt idx="451">
                  <c:v>#N/A</c:v>
                </c:pt>
                <c:pt idx="452">
                  <c:v>#N/A</c:v>
                </c:pt>
                <c:pt idx="453">
                  <c:v>#N/A</c:v>
                </c:pt>
                <c:pt idx="454">
                  <c:v>#N/A</c:v>
                </c:pt>
                <c:pt idx="455">
                  <c:v>#N/A</c:v>
                </c:pt>
                <c:pt idx="456">
                  <c:v>#N/A</c:v>
                </c:pt>
                <c:pt idx="457">
                  <c:v>#N/A</c:v>
                </c:pt>
                <c:pt idx="458">
                  <c:v>#N/A</c:v>
                </c:pt>
                <c:pt idx="459">
                  <c:v>#N/A</c:v>
                </c:pt>
                <c:pt idx="460">
                  <c:v>310.21731038905915</c:v>
                </c:pt>
                <c:pt idx="461">
                  <c:v>#N/A</c:v>
                </c:pt>
                <c:pt idx="462">
                  <c:v>#N/A</c:v>
                </c:pt>
                <c:pt idx="463">
                  <c:v>#N/A</c:v>
                </c:pt>
                <c:pt idx="464">
                  <c:v>#N/A</c:v>
                </c:pt>
                <c:pt idx="465">
                  <c:v>#N/A</c:v>
                </c:pt>
                <c:pt idx="466">
                  <c:v>#N/A</c:v>
                </c:pt>
                <c:pt idx="467">
                  <c:v>#N/A</c:v>
                </c:pt>
                <c:pt idx="468">
                  <c:v>#N/A</c:v>
                </c:pt>
                <c:pt idx="469">
                  <c:v>#N/A</c:v>
                </c:pt>
                <c:pt idx="470">
                  <c:v>339.17141715294434</c:v>
                </c:pt>
                <c:pt idx="471">
                  <c:v>#N/A</c:v>
                </c:pt>
                <c:pt idx="472">
                  <c:v>#N/A</c:v>
                </c:pt>
                <c:pt idx="473">
                  <c:v>#N/A</c:v>
                </c:pt>
                <c:pt idx="474">
                  <c:v>#N/A</c:v>
                </c:pt>
                <c:pt idx="475">
                  <c:v>#N/A</c:v>
                </c:pt>
                <c:pt idx="476">
                  <c:v>#N/A</c:v>
                </c:pt>
                <c:pt idx="477">
                  <c:v>#N/A</c:v>
                </c:pt>
                <c:pt idx="478">
                  <c:v>#N/A</c:v>
                </c:pt>
                <c:pt idx="479">
                  <c:v>#N/A</c:v>
                </c:pt>
                <c:pt idx="480">
                  <c:v>367.34444998511617</c:v>
                </c:pt>
                <c:pt idx="481">
                  <c:v>#N/A</c:v>
                </c:pt>
                <c:pt idx="482">
                  <c:v>#N/A</c:v>
                </c:pt>
                <c:pt idx="483">
                  <c:v>#N/A</c:v>
                </c:pt>
                <c:pt idx="484">
                  <c:v>#N/A</c:v>
                </c:pt>
                <c:pt idx="485">
                  <c:v>#N/A</c:v>
                </c:pt>
                <c:pt idx="486">
                  <c:v>#N/A</c:v>
                </c:pt>
                <c:pt idx="487">
                  <c:v>#N/A</c:v>
                </c:pt>
                <c:pt idx="488">
                  <c:v>#N/A</c:v>
                </c:pt>
                <c:pt idx="489">
                  <c:v>#N/A</c:v>
                </c:pt>
                <c:pt idx="490">
                  <c:v>394.88161359734391</c:v>
                </c:pt>
                <c:pt idx="491">
                  <c:v>#N/A</c:v>
                </c:pt>
                <c:pt idx="492">
                  <c:v>#N/A</c:v>
                </c:pt>
                <c:pt idx="493">
                  <c:v>#N/A</c:v>
                </c:pt>
                <c:pt idx="494">
                  <c:v>#N/A</c:v>
                </c:pt>
                <c:pt idx="495">
                  <c:v>#N/A</c:v>
                </c:pt>
                <c:pt idx="496">
                  <c:v>#N/A</c:v>
                </c:pt>
                <c:pt idx="497">
                  <c:v>#N/A</c:v>
                </c:pt>
                <c:pt idx="498">
                  <c:v>#N/A</c:v>
                </c:pt>
                <c:pt idx="499">
                  <c:v>#N/A</c:v>
                </c:pt>
                <c:pt idx="500">
                  <c:v>421.90531786945263</c:v>
                </c:pt>
                <c:pt idx="501">
                  <c:v>#N/A</c:v>
                </c:pt>
                <c:pt idx="502">
                  <c:v>#N/A</c:v>
                </c:pt>
                <c:pt idx="503">
                  <c:v>#N/A</c:v>
                </c:pt>
                <c:pt idx="504">
                  <c:v>#N/A</c:v>
                </c:pt>
                <c:pt idx="505">
                  <c:v>#N/A</c:v>
                </c:pt>
                <c:pt idx="506">
                  <c:v>#N/A</c:v>
                </c:pt>
                <c:pt idx="507">
                  <c:v>#N/A</c:v>
                </c:pt>
                <c:pt idx="508">
                  <c:v>#N/A</c:v>
                </c:pt>
                <c:pt idx="509">
                  <c:v>#N/A</c:v>
                </c:pt>
                <c:pt idx="510">
                  <c:v>448.51529574760423</c:v>
                </c:pt>
                <c:pt idx="511">
                  <c:v>#N/A</c:v>
                </c:pt>
                <c:pt idx="512">
                  <c:v>#N/A</c:v>
                </c:pt>
                <c:pt idx="513">
                  <c:v>#N/A</c:v>
                </c:pt>
                <c:pt idx="514">
                  <c:v>#N/A</c:v>
                </c:pt>
                <c:pt idx="515">
                  <c:v>#N/A</c:v>
                </c:pt>
                <c:pt idx="516">
                  <c:v>#N/A</c:v>
                </c:pt>
                <c:pt idx="517">
                  <c:v>#N/A</c:v>
                </c:pt>
                <c:pt idx="518">
                  <c:v>#N/A</c:v>
                </c:pt>
                <c:pt idx="519">
                  <c:v>#N/A</c:v>
                </c:pt>
                <c:pt idx="520">
                  <c:v>474.78448478336821</c:v>
                </c:pt>
                <c:pt idx="521">
                  <c:v>#N/A</c:v>
                </c:pt>
                <c:pt idx="522">
                  <c:v>#N/A</c:v>
                </c:pt>
                <c:pt idx="523">
                  <c:v>#N/A</c:v>
                </c:pt>
                <c:pt idx="524">
                  <c:v>#N/A</c:v>
                </c:pt>
                <c:pt idx="525">
                  <c:v>#N/A</c:v>
                </c:pt>
                <c:pt idx="526">
                  <c:v>#N/A</c:v>
                </c:pt>
                <c:pt idx="527">
                  <c:v>#N/A</c:v>
                </c:pt>
                <c:pt idx="528">
                  <c:v>#N/A</c:v>
                </c:pt>
                <c:pt idx="529">
                  <c:v>#N/A</c:v>
                </c:pt>
                <c:pt idx="530">
                  <c:v>500.75110823818181</c:v>
                </c:pt>
                <c:pt idx="531">
                  <c:v>#N/A</c:v>
                </c:pt>
                <c:pt idx="532">
                  <c:v>#N/A</c:v>
                </c:pt>
                <c:pt idx="533">
                  <c:v>#N/A</c:v>
                </c:pt>
                <c:pt idx="534">
                  <c:v>#N/A</c:v>
                </c:pt>
                <c:pt idx="535">
                  <c:v>#N/A</c:v>
                </c:pt>
                <c:pt idx="536">
                  <c:v>#N/A</c:v>
                </c:pt>
                <c:pt idx="537">
                  <c:v>#N/A</c:v>
                </c:pt>
                <c:pt idx="538">
                  <c:v>#N/A</c:v>
                </c:pt>
                <c:pt idx="539">
                  <c:v>#N/A</c:v>
                </c:pt>
                <c:pt idx="540">
                  <c:v>526.41315813085873</c:v>
                </c:pt>
                <c:pt idx="541">
                  <c:v>#N/A</c:v>
                </c:pt>
                <c:pt idx="542">
                  <c:v>#N/A</c:v>
                </c:pt>
                <c:pt idx="543">
                  <c:v>#N/A</c:v>
                </c:pt>
                <c:pt idx="544">
                  <c:v>#N/A</c:v>
                </c:pt>
                <c:pt idx="545">
                  <c:v>#N/A</c:v>
                </c:pt>
                <c:pt idx="546">
                  <c:v>#N/A</c:v>
                </c:pt>
                <c:pt idx="547">
                  <c:v>#N/A</c:v>
                </c:pt>
                <c:pt idx="548">
                  <c:v>#N/A</c:v>
                </c:pt>
                <c:pt idx="549">
                  <c:v>#N/A</c:v>
                </c:pt>
                <c:pt idx="550">
                  <c:v>551.73358922722161</c:v>
                </c:pt>
                <c:pt idx="551">
                  <c:v>#N/A</c:v>
                </c:pt>
                <c:pt idx="552">
                  <c:v>#N/A</c:v>
                </c:pt>
                <c:pt idx="553">
                  <c:v>#N/A</c:v>
                </c:pt>
                <c:pt idx="554">
                  <c:v>#N/A</c:v>
                </c:pt>
                <c:pt idx="555">
                  <c:v>#N/A</c:v>
                </c:pt>
                <c:pt idx="556">
                  <c:v>#N/A</c:v>
                </c:pt>
                <c:pt idx="557">
                  <c:v>#N/A</c:v>
                </c:pt>
                <c:pt idx="558">
                  <c:v>#N/A</c:v>
                </c:pt>
                <c:pt idx="559">
                  <c:v>#N/A</c:v>
                </c:pt>
                <c:pt idx="560">
                  <c:v>576.65341332775381</c:v>
                </c:pt>
                <c:pt idx="561">
                  <c:v>#N/A</c:v>
                </c:pt>
                <c:pt idx="562">
                  <c:v>#N/A</c:v>
                </c:pt>
                <c:pt idx="563">
                  <c:v>#N/A</c:v>
                </c:pt>
                <c:pt idx="564">
                  <c:v>#N/A</c:v>
                </c:pt>
                <c:pt idx="565">
                  <c:v>#N/A</c:v>
                </c:pt>
                <c:pt idx="566">
                  <c:v>#N/A</c:v>
                </c:pt>
                <c:pt idx="567">
                  <c:v>#N/A</c:v>
                </c:pt>
                <c:pt idx="568">
                  <c:v>#N/A</c:v>
                </c:pt>
                <c:pt idx="569">
                  <c:v>#N/A</c:v>
                </c:pt>
                <c:pt idx="570">
                  <c:v>601.10374407849361</c:v>
                </c:pt>
                <c:pt idx="571">
                  <c:v>#N/A</c:v>
                </c:pt>
                <c:pt idx="572">
                  <c:v>#N/A</c:v>
                </c:pt>
                <c:pt idx="573">
                  <c:v>#N/A</c:v>
                </c:pt>
                <c:pt idx="574">
                  <c:v>#N/A</c:v>
                </c:pt>
                <c:pt idx="575">
                  <c:v>#N/A</c:v>
                </c:pt>
                <c:pt idx="576">
                  <c:v>#N/A</c:v>
                </c:pt>
                <c:pt idx="577">
                  <c:v>#N/A</c:v>
                </c:pt>
                <c:pt idx="578">
                  <c:v>#N/A</c:v>
                </c:pt>
                <c:pt idx="579">
                  <c:v>#N/A</c:v>
                </c:pt>
                <c:pt idx="580">
                  <c:v>625.01367340199727</c:v>
                </c:pt>
                <c:pt idx="581">
                  <c:v>#N/A</c:v>
                </c:pt>
                <c:pt idx="582">
                  <c:v>#N/A</c:v>
                </c:pt>
                <c:pt idx="583">
                  <c:v>#N/A</c:v>
                </c:pt>
                <c:pt idx="584">
                  <c:v>#N/A</c:v>
                </c:pt>
                <c:pt idx="585">
                  <c:v>#N/A</c:v>
                </c:pt>
                <c:pt idx="586">
                  <c:v>#N/A</c:v>
                </c:pt>
                <c:pt idx="587">
                  <c:v>#N/A</c:v>
                </c:pt>
                <c:pt idx="588">
                  <c:v>#N/A</c:v>
                </c:pt>
                <c:pt idx="589">
                  <c:v>#N/A</c:v>
                </c:pt>
                <c:pt idx="590">
                  <c:v>648.31499885323296</c:v>
                </c:pt>
                <c:pt idx="591">
                  <c:v>#N/A</c:v>
                </c:pt>
                <c:pt idx="592">
                  <c:v>#N/A</c:v>
                </c:pt>
                <c:pt idx="593">
                  <c:v>#N/A</c:v>
                </c:pt>
                <c:pt idx="594">
                  <c:v>#N/A</c:v>
                </c:pt>
                <c:pt idx="595">
                  <c:v>#N/A</c:v>
                </c:pt>
                <c:pt idx="596">
                  <c:v>#N/A</c:v>
                </c:pt>
                <c:pt idx="597">
                  <c:v>#N/A</c:v>
                </c:pt>
                <c:pt idx="598">
                  <c:v>#N/A</c:v>
                </c:pt>
                <c:pt idx="599">
                  <c:v>#N/A</c:v>
                </c:pt>
                <c:pt idx="600">
                  <c:v>670.94509249220289</c:v>
                </c:pt>
                <c:pt idx="601">
                  <c:v>#N/A</c:v>
                </c:pt>
                <c:pt idx="602">
                  <c:v>#N/A</c:v>
                </c:pt>
                <c:pt idx="603">
                  <c:v>#N/A</c:v>
                </c:pt>
                <c:pt idx="604">
                  <c:v>#N/A</c:v>
                </c:pt>
                <c:pt idx="605">
                  <c:v>#N/A</c:v>
                </c:pt>
                <c:pt idx="606">
                  <c:v>#N/A</c:v>
                </c:pt>
                <c:pt idx="607">
                  <c:v>#N/A</c:v>
                </c:pt>
                <c:pt idx="608">
                  <c:v>#N/A</c:v>
                </c:pt>
                <c:pt idx="609">
                  <c:v>#N/A</c:v>
                </c:pt>
                <c:pt idx="610">
                  <c:v>692.8486608452888</c:v>
                </c:pt>
                <c:pt idx="611">
                  <c:v>#N/A</c:v>
                </c:pt>
                <c:pt idx="612">
                  <c:v>#N/A</c:v>
                </c:pt>
                <c:pt idx="613">
                  <c:v>#N/A</c:v>
                </c:pt>
                <c:pt idx="614">
                  <c:v>#N/A</c:v>
                </c:pt>
                <c:pt idx="615">
                  <c:v>#N/A</c:v>
                </c:pt>
                <c:pt idx="616">
                  <c:v>#N/A</c:v>
                </c:pt>
                <c:pt idx="617">
                  <c:v>#N/A</c:v>
                </c:pt>
                <c:pt idx="618">
                  <c:v>#N/A</c:v>
                </c:pt>
                <c:pt idx="619">
                  <c:v>#N/A</c:v>
                </c:pt>
                <c:pt idx="620">
                  <c:v>713.97878060859432</c:v>
                </c:pt>
                <c:pt idx="621">
                  <c:v>#N/A</c:v>
                </c:pt>
                <c:pt idx="622">
                  <c:v>#N/A</c:v>
                </c:pt>
                <c:pt idx="623">
                  <c:v>#N/A</c:v>
                </c:pt>
                <c:pt idx="624">
                  <c:v>#N/A</c:v>
                </c:pt>
                <c:pt idx="625">
                  <c:v>#N/A</c:v>
                </c:pt>
                <c:pt idx="626">
                  <c:v>#N/A</c:v>
                </c:pt>
                <c:pt idx="627">
                  <c:v>#N/A</c:v>
                </c:pt>
                <c:pt idx="628">
                  <c:v>#N/A</c:v>
                </c:pt>
                <c:pt idx="629">
                  <c:v>#N/A</c:v>
                </c:pt>
                <c:pt idx="630">
                  <c:v>734.29741651424843</c:v>
                </c:pt>
                <c:pt idx="631">
                  <c:v>#N/A</c:v>
                </c:pt>
                <c:pt idx="632">
                  <c:v>#N/A</c:v>
                </c:pt>
                <c:pt idx="633">
                  <c:v>#N/A</c:v>
                </c:pt>
                <c:pt idx="634">
                  <c:v>#N/A</c:v>
                </c:pt>
                <c:pt idx="635">
                  <c:v>#N/A</c:v>
                </c:pt>
                <c:pt idx="636">
                  <c:v>#N/A</c:v>
                </c:pt>
                <c:pt idx="637">
                  <c:v>#N/A</c:v>
                </c:pt>
                <c:pt idx="638">
                  <c:v>#N/A</c:v>
                </c:pt>
                <c:pt idx="639">
                  <c:v>#N/A</c:v>
                </c:pt>
                <c:pt idx="640">
                  <c:v>753.77554659407758</c:v>
                </c:pt>
                <c:pt idx="641">
                  <c:v>#N/A</c:v>
                </c:pt>
                <c:pt idx="642">
                  <c:v>#N/A</c:v>
                </c:pt>
                <c:pt idx="643">
                  <c:v>#N/A</c:v>
                </c:pt>
                <c:pt idx="644">
                  <c:v>#N/A</c:v>
                </c:pt>
                <c:pt idx="645">
                  <c:v>#N/A</c:v>
                </c:pt>
                <c:pt idx="646">
                  <c:v>#N/A</c:v>
                </c:pt>
                <c:pt idx="647">
                  <c:v>#N/A</c:v>
                </c:pt>
                <c:pt idx="648">
                  <c:v>#N/A</c:v>
                </c:pt>
                <c:pt idx="649">
                  <c:v>#N/A</c:v>
                </c:pt>
                <c:pt idx="650">
                  <c:v>772.39298299533959</c:v>
                </c:pt>
                <c:pt idx="651">
                  <c:v>#N/A</c:v>
                </c:pt>
                <c:pt idx="652">
                  <c:v>#N/A</c:v>
                </c:pt>
                <c:pt idx="653">
                  <c:v>#N/A</c:v>
                </c:pt>
                <c:pt idx="654">
                  <c:v>#N/A</c:v>
                </c:pt>
                <c:pt idx="655">
                  <c:v>#N/A</c:v>
                </c:pt>
                <c:pt idx="656">
                  <c:v>#N/A</c:v>
                </c:pt>
                <c:pt idx="657">
                  <c:v>#N/A</c:v>
                </c:pt>
                <c:pt idx="658">
                  <c:v>#N/A</c:v>
                </c:pt>
                <c:pt idx="659">
                  <c:v>#N/A</c:v>
                </c:pt>
                <c:pt idx="660">
                  <c:v>790.13795852283306</c:v>
                </c:pt>
                <c:pt idx="661">
                  <c:v>#N/A</c:v>
                </c:pt>
                <c:pt idx="662">
                  <c:v>#N/A</c:v>
                </c:pt>
                <c:pt idx="663">
                  <c:v>#N/A</c:v>
                </c:pt>
                <c:pt idx="664">
                  <c:v>#N/A</c:v>
                </c:pt>
                <c:pt idx="665">
                  <c:v>#N/A</c:v>
                </c:pt>
                <c:pt idx="666">
                  <c:v>#N/A</c:v>
                </c:pt>
                <c:pt idx="667">
                  <c:v>#N/A</c:v>
                </c:pt>
                <c:pt idx="668">
                  <c:v>#N/A</c:v>
                </c:pt>
                <c:pt idx="669">
                  <c:v>#N/A</c:v>
                </c:pt>
                <c:pt idx="670">
                  <c:v>807.00653890193689</c:v>
                </c:pt>
                <c:pt idx="671">
                  <c:v>#N/A</c:v>
                </c:pt>
                <c:pt idx="672">
                  <c:v>#N/A</c:v>
                </c:pt>
                <c:pt idx="673">
                  <c:v>#N/A</c:v>
                </c:pt>
                <c:pt idx="674">
                  <c:v>#N/A</c:v>
                </c:pt>
                <c:pt idx="675">
                  <c:v>#N/A</c:v>
                </c:pt>
                <c:pt idx="676">
                  <c:v>#N/A</c:v>
                </c:pt>
                <c:pt idx="677">
                  <c:v>#N/A</c:v>
                </c:pt>
                <c:pt idx="678">
                  <c:v>#N/A</c:v>
                </c:pt>
                <c:pt idx="679">
                  <c:v>#N/A</c:v>
                </c:pt>
                <c:pt idx="680">
                  <c:v>823.00191337915805</c:v>
                </c:pt>
                <c:pt idx="681">
                  <c:v>#N/A</c:v>
                </c:pt>
                <c:pt idx="682">
                  <c:v>#N/A</c:v>
                </c:pt>
                <c:pt idx="683">
                  <c:v>#N/A</c:v>
                </c:pt>
                <c:pt idx="684">
                  <c:v>#N/A</c:v>
                </c:pt>
                <c:pt idx="685">
                  <c:v>#N/A</c:v>
                </c:pt>
                <c:pt idx="686">
                  <c:v>#N/A</c:v>
                </c:pt>
                <c:pt idx="687">
                  <c:v>#N/A</c:v>
                </c:pt>
                <c:pt idx="688">
                  <c:v>#N/A</c:v>
                </c:pt>
                <c:pt idx="689">
                  <c:v>#N/A</c:v>
                </c:pt>
                <c:pt idx="690">
                  <c:v>838.13360961898434</c:v>
                </c:pt>
                <c:pt idx="691">
                  <c:v>#N/A</c:v>
                </c:pt>
                <c:pt idx="692">
                  <c:v>#N/A</c:v>
                </c:pt>
                <c:pt idx="693">
                  <c:v>#N/A</c:v>
                </c:pt>
                <c:pt idx="694">
                  <c:v>#N/A</c:v>
                </c:pt>
                <c:pt idx="695">
                  <c:v>#N/A</c:v>
                </c:pt>
                <c:pt idx="696">
                  <c:v>#N/A</c:v>
                </c:pt>
                <c:pt idx="697">
                  <c:v>#N/A</c:v>
                </c:pt>
                <c:pt idx="698">
                  <c:v>#N/A</c:v>
                </c:pt>
                <c:pt idx="699">
                  <c:v>#N/A</c:v>
                </c:pt>
                <c:pt idx="700">
                  <c:v>852.41667220511727</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3.7787863175434927E-6</c:v>
                </c:pt>
                <c:pt idx="2">
                  <c:v>9.7430286809401792E-4</c:v>
                </c:pt>
                <c:pt idx="3">
                  <c:v>4.8304626638425606E-3</c:v>
                </c:pt>
                <c:pt idx="4">
                  <c:v>1.3492455547460976E-2</c:v>
                </c:pt>
                <c:pt idx="5">
                  <c:v>2.8882335691858652E-2</c:v>
                </c:pt>
                <c:pt idx="6">
                  <c:v>5.2438330844134518E-2</c:v>
                </c:pt>
                <c:pt idx="7">
                  <c:v>8.4627999028125303E-2</c:v>
                </c:pt>
                <c:pt idx="8">
                  <c:v>0.12543307209862209</c:v>
                </c:pt>
                <c:pt idx="9">
                  <c:v>0.17483518671082196</c:v>
                </c:pt>
                <c:pt idx="10">
                  <c:v>0.23281588467534353</c:v>
                </c:pt>
                <c:pt idx="11">
                  <c:v>0.29935661331694385</c:v>
                </c:pt>
                <c:pt idx="12">
                  <c:v>0.37443872583690696</c:v>
                </c:pt>
                <c:pt idx="13">
                  <c:v>0.45804348167907422</c:v>
                </c:pt>
                <c:pt idx="14">
                  <c:v>0.55015204689948516</c:v>
                </c:pt>
                <c:pt idx="15">
                  <c:v>0.65074549453959929</c:v>
                </c:pt>
                <c:pt idx="16">
                  <c:v>0.75980480500306613</c:v>
                </c:pt>
                <c:pt idx="17">
                  <c:v>0.87731086643601375</c:v>
                </c:pt>
                <c:pt idx="18">
                  <c:v>1.0032444751108227</c:v>
                </c:pt>
                <c:pt idx="19">
                  <c:v>1.1375863358133538</c:v>
                </c:pt>
                <c:pt idx="20">
                  <c:v>1.2803170622335978</c:v>
                </c:pt>
                <c:pt idx="21">
                  <c:v>1.4314171773597135</c:v>
                </c:pt>
                <c:pt idx="22">
                  <c:v>1.5908671138754222</c:v>
                </c:pt>
                <c:pt idx="23">
                  <c:v>1.7586472145607248</c:v>
                </c:pt>
                <c:pt idx="24">
                  <c:v>1.9347377326959072</c:v>
                </c:pt>
                <c:pt idx="25">
                  <c:v>2.1191188324688026</c:v>
                </c:pt>
                <c:pt idx="26">
                  <c:v>2.3117705893852749</c:v>
                </c:pt>
                <c:pt idx="27">
                  <c:v>2.5126729906828871</c:v>
                </c:pt>
                <c:pt idx="28">
                  <c:v>2.7218059357477258</c:v>
                </c:pt>
                <c:pt idx="29">
                  <c:v>2.9391492365343406</c:v>
                </c:pt>
                <c:pt idx="30">
                  <c:v>3.1646826179887673</c:v>
                </c:pt>
                <c:pt idx="31">
                  <c:v>3.3983857184745978</c:v>
                </c:pt>
                <c:pt idx="32">
                  <c:v>3.6402380902020628</c:v>
                </c:pt>
                <c:pt idx="33">
                  <c:v>3.890219199660089</c:v>
                </c:pt>
                <c:pt idx="34">
                  <c:v>4.1483084280512976</c:v>
                </c:pt>
                <c:pt idx="35">
                  <c:v>4.4144702745167566</c:v>
                </c:pt>
                <c:pt idx="36">
                  <c:v>4.6886686673246736</c:v>
                </c:pt>
                <c:pt idx="37">
                  <c:v>4.97088176732339</c:v>
                </c:pt>
                <c:pt idx="38">
                  <c:v>5.2610876701949847</c:v>
                </c:pt>
                <c:pt idx="39">
                  <c:v>5.5592644130745841</c:v>
                </c:pt>
                <c:pt idx="40">
                  <c:v>5.8653899738696778</c:v>
                </c:pt>
                <c:pt idx="41">
                  <c:v>6.1794422706673755</c:v>
                </c:pt>
                <c:pt idx="42">
                  <c:v>6.501399161221042</c:v>
                </c:pt>
                <c:pt idx="43">
                  <c:v>6.8312384425088073</c:v>
                </c:pt>
                <c:pt idx="44">
                  <c:v>7.168937850357322</c:v>
                </c:pt>
                <c:pt idx="45">
                  <c:v>7.5144750591249263</c:v>
                </c:pt>
                <c:pt idx="46">
                  <c:v>7.8678276814390493</c:v>
                </c:pt>
                <c:pt idx="47">
                  <c:v>8.2289732679832355</c:v>
                </c:pt>
                <c:pt idx="48">
                  <c:v>8.5978893073296838</c:v>
                </c:pt>
                <c:pt idx="49">
                  <c:v>8.9745532258136365</c:v>
                </c:pt>
                <c:pt idx="50">
                  <c:v>9.3589423874463211</c:v>
                </c:pt>
                <c:pt idx="51">
                  <c:v>9.7510366482234261</c:v>
                </c:pt>
                <c:pt idx="52">
                  <c:v>10.150820913449881</c:v>
                </c:pt>
                <c:pt idx="53">
                  <c:v>10.558282587435848</c:v>
                </c:pt>
                <c:pt idx="54">
                  <c:v>10.973409020130692</c:v>
                </c:pt>
                <c:pt idx="55">
                  <c:v>11.396187506974208</c:v>
                </c:pt>
                <c:pt idx="56">
                  <c:v>11.826605288769619</c:v>
                </c:pt>
                <c:pt idx="57">
                  <c:v>12.264649551576969</c:v>
                </c:pt>
                <c:pt idx="58">
                  <c:v>12.710307426625654</c:v>
                </c:pt>
                <c:pt idx="59">
                  <c:v>13.163565990244917</c:v>
                </c:pt>
                <c:pt idx="60">
                  <c:v>13.62441226381128</c:v>
                </c:pt>
                <c:pt idx="61">
                  <c:v>14.092833213711897</c:v>
                </c:pt>
                <c:pt idx="62">
                  <c:v>14.568815751322973</c:v>
                </c:pt>
                <c:pt idx="63">
                  <c:v>15.052346733002386</c:v>
                </c:pt>
                <c:pt idx="64">
                  <c:v>15.543412960095768</c:v>
                </c:pt>
                <c:pt idx="65">
                  <c:v>16.042001178955335</c:v>
                </c:pt>
                <c:pt idx="66">
                  <c:v>16.548098080970799</c:v>
                </c:pt>
                <c:pt idx="67">
                  <c:v>17.061690302611765</c:v>
                </c:pt>
                <c:pt idx="68">
                  <c:v>17.582764425481052</c:v>
                </c:pt>
                <c:pt idx="69">
                  <c:v>18.111306976378398</c:v>
                </c:pt>
                <c:pt idx="70">
                  <c:v>18.647304427374063</c:v>
                </c:pt>
                <c:pt idx="71">
                  <c:v>19.190743195891891</c:v>
                </c:pt>
                <c:pt idx="72">
                  <c:v>19.741609644801372</c:v>
                </c:pt>
                <c:pt idx="73">
                  <c:v>20.299890082518331</c:v>
                </c:pt>
                <c:pt idx="74">
                  <c:v>20.865570763113876</c:v>
                </c:pt>
                <c:pt idx="75">
                  <c:v>21.438637886431209</c:v>
                </c:pt>
                <c:pt idx="76">
                  <c:v>22.019077598210028</c:v>
                </c:pt>
                <c:pt idx="77">
                  <c:v>22.606875990218185</c:v>
                </c:pt>
                <c:pt idx="78">
                  <c:v>23.202019100390295</c:v>
                </c:pt>
                <c:pt idx="79">
                  <c:v>23.80449291297305</c:v>
                </c:pt>
                <c:pt idx="80">
                  <c:v>24.414283358676954</c:v>
                </c:pt>
                <c:pt idx="81">
                  <c:v>25.031376314834272</c:v>
                </c:pt>
                <c:pt idx="82">
                  <c:v>25.655757605562911</c:v>
                </c:pt>
                <c:pt idx="83">
                  <c:v>26.287413001936063</c:v>
                </c:pt>
                <c:pt idx="84">
                  <c:v>26.926328222157366</c:v>
                </c:pt>
                <c:pt idx="85">
                  <c:v>27.572488931741425</c:v>
                </c:pt>
                <c:pt idx="86">
                  <c:v>28.225880743699481</c:v>
                </c:pt>
                <c:pt idx="87">
                  <c:v>28.886489218730038</c:v>
                </c:pt>
                <c:pt idx="88">
                  <c:v>29.554299865414336</c:v>
                </c:pt>
                <c:pt idx="89">
                  <c:v>30.229298140416446</c:v>
                </c:pt>
                <c:pt idx="90">
                  <c:v>30.911469448687878</c:v>
                </c:pt>
                <c:pt idx="91">
                  <c:v>31.600799143676532</c:v>
                </c:pt>
                <c:pt idx="92">
                  <c:v>32.297272527539889</c:v>
                </c:pt>
                <c:pt idx="93">
                  <c:v>33.000874851362241</c:v>
                </c:pt>
                <c:pt idx="94">
                  <c:v>33.711591315375934</c:v>
                </c:pt>
                <c:pt idx="95">
                  <c:v>34.429407069186396</c:v>
                </c:pt>
                <c:pt idx="96">
                  <c:v>35.154307212000916</c:v>
                </c:pt>
                <c:pt idx="97">
                  <c:v>35.886276792861025</c:v>
                </c:pt>
                <c:pt idx="98">
                  <c:v>36.625300810878372</c:v>
                </c:pt>
                <c:pt idx="99">
                  <c:v>37.371364215474003</c:v>
                </c:pt>
                <c:pt idx="100">
                  <c:v>38.124451906620934</c:v>
                </c:pt>
                <c:pt idx="101">
                  <c:v>38.884547561353045</c:v>
                </c:pt>
                <c:pt idx="102">
                  <c:v>39.65163245933396</c:v>
                </c:pt>
                <c:pt idx="103">
                  <c:v>40.425686655865711</c:v>
                </c:pt>
                <c:pt idx="104">
                  <c:v>41.206690155897249</c:v>
                </c:pt>
                <c:pt idx="105">
                  <c:v>41.994622914389659</c:v>
                </c:pt>
                <c:pt idx="106">
                  <c:v>42.789464836684097</c:v>
                </c:pt>
                <c:pt idx="107">
                  <c:v>43.591195778872333</c:v>
                </c:pt>
                <c:pt idx="108">
                  <c:v>44.399795548169884</c:v>
                </c:pt>
                <c:pt idx="109">
                  <c:v>45.215243903291544</c:v>
                </c:pt>
                <c:pt idx="110">
                  <c:v>46.037520554829314</c:v>
                </c:pt>
                <c:pt idx="111">
                  <c:v>46.866605165632613</c:v>
                </c:pt>
                <c:pt idx="112">
                  <c:v>47.702477351190673</c:v>
                </c:pt>
                <c:pt idx="113">
                  <c:v>48.545116680017038</c:v>
                </c:pt>
                <c:pt idx="114">
                  <c:v>49.394502674036168</c:v>
                </c:pt>
                <c:pt idx="115">
                  <c:v>50.250614808971932</c:v>
                </c:pt>
                <c:pt idx="116">
                  <c:v>51.113432514738065</c:v>
                </c:pt>
                <c:pt idx="117">
                  <c:v>51.982935175830413</c:v>
                </c:pt>
                <c:pt idx="118">
                  <c:v>52.859102131720924</c:v>
                </c:pt>
                <c:pt idx="119">
                  <c:v>53.741912677253374</c:v>
                </c:pt>
                <c:pt idx="120">
                  <c:v>54.631346063040667</c:v>
                </c:pt>
                <c:pt idx="121">
                  <c:v>55.527381495863715</c:v>
                </c:pt>
                <c:pt idx="122">
                  <c:v>56.429998139071806</c:v>
                </c:pt>
                <c:pt idx="123">
                  <c:v>57.339175112984421</c:v>
                </c:pt>
                <c:pt idx="124">
                  <c:v>58.254891495294409</c:v>
                </c:pt>
                <c:pt idx="125">
                  <c:v>59.177126321472464</c:v>
                </c:pt>
                <c:pt idx="126">
                  <c:v>60.105858585172903</c:v>
                </c:pt>
                <c:pt idx="127">
                  <c:v>61.041067238640601</c:v>
                </c:pt>
                <c:pt idx="128">
                  <c:v>61.982731193119086</c:v>
                </c:pt>
                <c:pt idx="129">
                  <c:v>62.930829319259736</c:v>
                </c:pt>
                <c:pt idx="130">
                  <c:v>63.885340447532002</c:v>
                </c:pt>
                <c:pt idx="131">
                  <c:v>64.846243368634632</c:v>
                </c:pt>
                <c:pt idx="132">
                  <c:v>65.813516833907784</c:v>
                </c:pt>
                <c:pt idx="133">
                  <c:v>66.787139555746108</c:v>
                </c:pt>
                <c:pt idx="134">
                  <c:v>67.76709020801259</c:v>
                </c:pt>
                <c:pt idx="135">
                  <c:v>68.753347426453189</c:v>
                </c:pt>
                <c:pt idx="136">
                  <c:v>69.745889809112271</c:v>
                </c:pt>
                <c:pt idx="137">
                  <c:v>70.744695916748668</c:v>
                </c:pt>
                <c:pt idx="138">
                  <c:v>71.749744273252432</c:v>
                </c:pt>
                <c:pt idx="139">
                  <c:v>72.761013366062144</c:v>
                </c:pt>
                <c:pt idx="140">
                  <c:v>73.778481646582833</c:v>
                </c:pt>
                <c:pt idx="141">
                  <c:v>74.802127530604366</c:v>
                </c:pt>
                <c:pt idx="142">
                  <c:v>75.831929398720348</c:v>
                </c:pt>
                <c:pt idx="143">
                  <c:v>76.867865596747379</c:v>
                </c:pt>
                <c:pt idx="144">
                  <c:v>77.909914436144774</c:v>
                </c:pt>
                <c:pt idx="145">
                  <c:v>78.958054194434595</c:v>
                </c:pt>
                <c:pt idx="146">
                  <c:v>80.012263115621977</c:v>
                </c:pt>
                <c:pt idx="147">
                  <c:v>81.072519410615726</c:v>
                </c:pt>
                <c:pt idx="148">
                  <c:v>82.138801257649149</c:v>
                </c:pt>
                <c:pt idx="149">
                  <c:v>83.211086802701061</c:v>
                </c:pt>
                <c:pt idx="150">
                  <c:v>84.289354159916925</c:v>
                </c:pt>
                <c:pt idx="151">
                  <c:v>85.373581810338379</c:v>
                </c:pt>
                <c:pt idx="152">
                  <c:v>86.463749000770918</c:v>
                </c:pt>
                <c:pt idx="153">
                  <c:v>87.559835345887578</c:v>
                </c:pt>
                <c:pt idx="154">
                  <c:v>88.661820430177187</c:v>
                </c:pt>
                <c:pt idx="155">
                  <c:v>89.769683808330981</c:v>
                </c:pt>
                <c:pt idx="156">
                  <c:v>90.8834050056292</c:v>
                </c:pt>
                <c:pt idx="157">
                  <c:v>92.002963518327832</c:v>
                </c:pt>
                <c:pt idx="158">
                  <c:v>93.128338814045293</c:v>
                </c:pt>
                <c:pt idx="159">
                  <c:v>94.259510332149176</c:v>
                </c:pt>
                <c:pt idx="160">
                  <c:v>95.396457484142886</c:v>
                </c:pt>
                <c:pt idx="161">
                  <c:v>96.539159654052256</c:v>
                </c:pt>
                <c:pt idx="162">
                  <c:v>97.687596198812059</c:v>
                </c:pt>
                <c:pt idx="163">
                  <c:v>98.84174644865233</c:v>
                </c:pt>
                <c:pt idx="164">
                  <c:v>100.00158970748461</c:v>
                </c:pt>
                <c:pt idx="165">
                  <c:v>101.16710525328796</c:v>
                </c:pt>
                <c:pt idx="166">
                  <c:v>102.3382723384947</c:v>
                </c:pt>
                <c:pt idx="167">
                  <c:v>103.51507019037608</c:v>
                </c:pt>
                <c:pt idx="168">
                  <c:v>104.69747801142742</c:v>
                </c:pt>
                <c:pt idx="169">
                  <c:v>105.88547497975317</c:v>
                </c:pt>
                <c:pt idx="170">
                  <c:v>107.07904024945152</c:v>
                </c:pt>
                <c:pt idx="171">
                  <c:v>108.27815295099873</c:v>
                </c:pt>
                <c:pt idx="172">
                  <c:v>109.48279219163297</c:v>
                </c:pt>
                <c:pt idx="173">
                  <c:v>110.69293705573784</c:v>
                </c:pt>
                <c:pt idx="174">
                  <c:v>111.90856660522547</c:v>
                </c:pt>
                <c:pt idx="175">
                  <c:v>113.12965987991907</c:v>
                </c:pt>
                <c:pt idx="176">
                  <c:v>114.35619589793505</c:v>
                </c:pt>
                <c:pt idx="177">
                  <c:v>115.58815365606465</c:v>
                </c:pt>
                <c:pt idx="178">
                  <c:v>116.82551213015493</c:v>
                </c:pt>
                <c:pt idx="179">
                  <c:v>118.06825027548938</c:v>
                </c:pt>
                <c:pt idx="180">
                  <c:v>119.31634702716772</c:v>
                </c:pt>
                <c:pt idx="181">
                  <c:v>120.56978130048529</c:v>
                </c:pt>
                <c:pt idx="182">
                  <c:v>121.82853199131168</c:v>
                </c:pt>
                <c:pt idx="183">
                  <c:v>123.09257797646873</c:v>
                </c:pt>
                <c:pt idx="184">
                  <c:v>124.3618981141079</c:v>
                </c:pt>
                <c:pt idx="185">
                  <c:v>125.63647124408688</c:v>
                </c:pt>
                <c:pt idx="186">
                  <c:v>126.91627618834549</c:v>
                </c:pt>
                <c:pt idx="187">
                  <c:v>128.20129175128088</c:v>
                </c:pt>
                <c:pt idx="188">
                  <c:v>129.4914967201218</c:v>
                </c:pt>
                <c:pt idx="189">
                  <c:v>130.78686986530235</c:v>
                </c:pt>
                <c:pt idx="190">
                  <c:v>132.08738994083461</c:v>
                </c:pt>
                <c:pt idx="191">
                  <c:v>133.39303568468071</c:v>
                </c:pt>
                <c:pt idx="192">
                  <c:v>134.70378581912382</c:v>
                </c:pt>
                <c:pt idx="193">
                  <c:v>136.01961905113839</c:v>
                </c:pt>
                <c:pt idx="194">
                  <c:v>137.3405140727595</c:v>
                </c:pt>
                <c:pt idx="195">
                  <c:v>138.66644956145123</c:v>
                </c:pt>
                <c:pt idx="196">
                  <c:v>139.99740418047406</c:v>
                </c:pt>
                <c:pt idx="197">
                  <c:v>141.33335657925147</c:v>
                </c:pt>
                <c:pt idx="198">
                  <c:v>142.6742853937354</c:v>
                </c:pt>
                <c:pt idx="199">
                  <c:v>144.02016924677076</c:v>
                </c:pt>
                <c:pt idx="200">
                  <c:v>145.37098674845902</c:v>
                </c:pt>
                <c:pt idx="201">
                  <c:v>146.72671649652057</c:v>
                </c:pt>
                <c:pt idx="202">
                  <c:v>148.08733707665621</c:v>
                </c:pt>
                <c:pt idx="203">
                  <c:v>149.45282706290755</c:v>
                </c:pt>
                <c:pt idx="204">
                  <c:v>150.82316501801617</c:v>
                </c:pt>
                <c:pt idx="205">
                  <c:v>152.19832949378184</c:v>
                </c:pt>
                <c:pt idx="206">
                  <c:v>153.5782990314195</c:v>
                </c:pt>
                <c:pt idx="207">
                  <c:v>154.96305216191521</c:v>
                </c:pt>
                <c:pt idx="208">
                  <c:v>156.35256740638087</c:v>
                </c:pt>
                <c:pt idx="209">
                  <c:v>157.7468232764077</c:v>
                </c:pt>
                <c:pt idx="210">
                  <c:v>159.14579827441867</c:v>
                </c:pt>
                <c:pt idx="211">
                  <c:v>160.54947089401969</c:v>
                </c:pt>
                <c:pt idx="212">
                  <c:v>161.95781962034943</c:v>
                </c:pt>
                <c:pt idx="213">
                  <c:v>163.37082293042806</c:v>
                </c:pt>
                <c:pt idx="214">
                  <c:v>164.78845929350473</c:v>
                </c:pt>
                <c:pt idx="215">
                  <c:v>166.21070717140361</c:v>
                </c:pt>
                <c:pt idx="216">
                  <c:v>167.63754501886891</c:v>
                </c:pt>
                <c:pt idx="217">
                  <c:v>169.06895128390832</c:v>
                </c:pt>
                <c:pt idx="218">
                  <c:v>170.50490440813533</c:v>
                </c:pt>
                <c:pt idx="219">
                  <c:v>171.94538282711014</c:v>
                </c:pt>
                <c:pt idx="220">
                  <c:v>173.39036497067923</c:v>
                </c:pt>
                <c:pt idx="221">
                  <c:v>174.83982926331356</c:v>
                </c:pt>
                <c:pt idx="222">
                  <c:v>176.29375412444546</c:v>
                </c:pt>
                <c:pt idx="223">
                  <c:v>177.75211796880401</c:v>
                </c:pt>
                <c:pt idx="224">
                  <c:v>179.21489920674921</c:v>
                </c:pt>
                <c:pt idx="225">
                  <c:v>180.68207624460447</c:v>
                </c:pt>
                <c:pt idx="226">
                  <c:v>182.15362748498794</c:v>
                </c:pt>
                <c:pt idx="227">
                  <c:v>183.62953132714225</c:v>
                </c:pt>
                <c:pt idx="228">
                  <c:v>185.10976616726285</c:v>
                </c:pt>
                <c:pt idx="229">
                  <c:v>186.5943103988248</c:v>
                </c:pt>
                <c:pt idx="230">
                  <c:v>188.08314241290827</c:v>
                </c:pt>
                <c:pt idx="231">
                  <c:v>189.5762405985223</c:v>
                </c:pt>
                <c:pt idx="232">
                  <c:v>191.07358334292732</c:v>
                </c:pt>
                <c:pt idx="233">
                  <c:v>192.57514903195593</c:v>
                </c:pt>
                <c:pt idx="234">
                  <c:v>194.08091605033232</c:v>
                </c:pt>
                <c:pt idx="235">
                  <c:v>195.5908627819901</c:v>
                </c:pt>
                <c:pt idx="236">
                  <c:v>197.10496761038854</c:v>
                </c:pt>
                <c:pt idx="237">
                  <c:v>198.62320891882737</c:v>
                </c:pt>
                <c:pt idx="238">
                  <c:v>200.1455650907599</c:v>
                </c:pt>
                <c:pt idx="239">
                  <c:v>201.67201451010456</c:v>
                </c:pt>
                <c:pt idx="240">
                  <c:v>203.20253556155498</c:v>
                </c:pt>
                <c:pt idx="241">
                  <c:v>204.73710663088838</c:v>
                </c:pt>
                <c:pt idx="242">
                  <c:v>206.27570610527238</c:v>
                </c:pt>
                <c:pt idx="243">
                  <c:v>207.81831237357014</c:v>
                </c:pt>
                <c:pt idx="244">
                  <c:v>209.36490382664402</c:v>
                </c:pt>
                <c:pt idx="245">
                  <c:v>210.9154588576574</c:v>
                </c:pt>
                <c:pt idx="246">
                  <c:v>212.46995586237509</c:v>
                </c:pt>
                <c:pt idx="247">
                  <c:v>214.02837323946187</c:v>
                </c:pt>
                <c:pt idx="248">
                  <c:v>215.59068939077957</c:v>
                </c:pt>
                <c:pt idx="249">
                  <c:v>217.15688272168236</c:v>
                </c:pt>
                <c:pt idx="250">
                  <c:v>218.72693164131039</c:v>
                </c:pt>
                <c:pt idx="251">
                  <c:v>220.30081285299997</c:v>
                </c:pt>
                <c:pt idx="252">
                  <c:v>221.87849964549096</c:v>
                </c:pt>
                <c:pt idx="253">
                  <c:v>223.4599636056802</c:v>
                </c:pt>
                <c:pt idx="254">
                  <c:v>225.04517633063145</c:v>
                </c:pt>
                <c:pt idx="255">
                  <c:v>226.63410942797353</c:v>
                </c:pt>
                <c:pt idx="256">
                  <c:v>228.22673451629583</c:v>
                </c:pt>
                <c:pt idx="257">
                  <c:v>229.82302322554065</c:v>
                </c:pt>
                <c:pt idx="258">
                  <c:v>231.42294719739274</c:v>
                </c:pt>
                <c:pt idx="259">
                  <c:v>233.02647808566584</c:v>
                </c:pt>
                <c:pt idx="260">
                  <c:v>234.63358755668619</c:v>
                </c:pt>
                <c:pt idx="261">
                  <c:v>236.24424728967327</c:v>
                </c:pt>
                <c:pt idx="262">
                  <c:v>237.85842897711737</c:v>
                </c:pt>
                <c:pt idx="263">
                  <c:v>239.47610432515427</c:v>
                </c:pt>
                <c:pt idx="264">
                  <c:v>241.09724505393692</c:v>
                </c:pt>
                <c:pt idx="265">
                  <c:v>242.72182289800421</c:v>
                </c:pt>
                <c:pt idx="266">
                  <c:v>244.3498096066466</c:v>
                </c:pt>
                <c:pt idx="267">
                  <c:v>245.9811769442689</c:v>
                </c:pt>
                <c:pt idx="268">
                  <c:v>247.61589669074982</c:v>
                </c:pt>
                <c:pt idx="269">
                  <c:v>249.25394064179886</c:v>
                </c:pt>
                <c:pt idx="270">
                  <c:v>250.89528060930982</c:v>
                </c:pt>
                <c:pt idx="271">
                  <c:v>252.53988842171159</c:v>
                </c:pt>
                <c:pt idx="272">
                  <c:v>254.18773592431569</c:v>
                </c:pt>
                <c:pt idx="273">
                  <c:v>255.83879497966092</c:v>
                </c:pt>
                <c:pt idx="274">
                  <c:v>257.49303746785495</c:v>
                </c:pt>
                <c:pt idx="275">
                  <c:v>259.15043528691297</c:v>
                </c:pt>
                <c:pt idx="276">
                  <c:v>260.81096035309298</c:v>
                </c:pt>
                <c:pt idx="277">
                  <c:v>262.47458460122846</c:v>
                </c:pt>
                <c:pt idx="278">
                  <c:v>264.14127998505785</c:v>
                </c:pt>
                <c:pt idx="279">
                  <c:v>265.81101847755087</c:v>
                </c:pt>
                <c:pt idx="280">
                  <c:v>267.48377207123195</c:v>
                </c:pt>
                <c:pt idx="281">
                  <c:v>269.15951277850047</c:v>
                </c:pt>
                <c:pt idx="282">
                  <c:v>270.83821263194818</c:v>
                </c:pt>
                <c:pt idx="283">
                  <c:v>272.51984368467339</c:v>
                </c:pt>
                <c:pt idx="284">
                  <c:v>274.20437801059222</c:v>
                </c:pt>
                <c:pt idx="285">
                  <c:v>275.89178770474672</c:v>
                </c:pt>
                <c:pt idx="286">
                  <c:v>277.58204488361008</c:v>
                </c:pt>
                <c:pt idx="287">
                  <c:v>279.27512168538863</c:v>
                </c:pt>
                <c:pt idx="288">
                  <c:v>280.97099027032095</c:v>
                </c:pt>
                <c:pt idx="289">
                  <c:v>282.66962282097387</c:v>
                </c:pt>
                <c:pt idx="290">
                  <c:v>284.37099154253542</c:v>
                </c:pt>
                <c:pt idx="291">
                  <c:v>286.07506866310484</c:v>
                </c:pt>
                <c:pt idx="292">
                  <c:v>287.78182643397946</c:v>
                </c:pt>
                <c:pt idx="293">
                  <c:v>289.4912371299385</c:v>
                </c:pt>
                <c:pt idx="294">
                  <c:v>291.20327304952406</c:v>
                </c:pt>
                <c:pt idx="295">
                  <c:v>292.91790651531886</c:v>
                </c:pt>
                <c:pt idx="296">
                  <c:v>294.63510987422109</c:v>
                </c:pt>
                <c:pt idx="297">
                  <c:v>296.35485549771619</c:v>
                </c:pt>
                <c:pt idx="298">
                  <c:v>298.07709705674057</c:v>
                </c:pt>
                <c:pt idx="299">
                  <c:v>299.8017508128433</c:v>
                </c:pt>
                <c:pt idx="300">
                  <c:v>301.52871438528666</c:v>
                </c:pt>
                <c:pt idx="301">
                  <c:v>303.25788550275541</c:v>
                </c:pt>
                <c:pt idx="302">
                  <c:v>304.98916200541987</c:v>
                </c:pt>
                <c:pt idx="303">
                  <c:v>306.72244184696257</c:v>
                </c:pt>
                <c:pt idx="304">
                  <c:v>308.45762309656772</c:v>
                </c:pt>
                <c:pt idx="305">
                  <c:v>310.19460394087452</c:v>
                </c:pt>
                <c:pt idx="306">
                  <c:v>311.93328268589335</c:v>
                </c:pt>
                <c:pt idx="307">
                  <c:v>313.67355775888564</c:v>
                </c:pt>
                <c:pt idx="308">
                  <c:v>315.41532771020724</c:v>
                </c:pt>
                <c:pt idx="309">
                  <c:v>317.15849121511525</c:v>
                </c:pt>
                <c:pt idx="310">
                  <c:v>318.90294707553852</c:v>
                </c:pt>
                <c:pt idx="311">
                  <c:v>320.64859422181195</c:v>
                </c:pt>
                <c:pt idx="312">
                  <c:v>322.39533171437466</c:v>
                </c:pt>
                <c:pt idx="313">
                  <c:v>324.14305874543197</c:v>
                </c:pt>
                <c:pt idx="314">
                  <c:v>325.89167464058141</c:v>
                </c:pt>
                <c:pt idx="315">
                  <c:v>327.64107886040313</c:v>
                </c:pt>
                <c:pt idx="316">
                  <c:v>329.39117100201418</c:v>
                </c:pt>
                <c:pt idx="317">
                  <c:v>331.14185080058741</c:v>
                </c:pt>
                <c:pt idx="318">
                  <c:v>332.89301813083506</c:v>
                </c:pt>
                <c:pt idx="319">
                  <c:v>334.64457300845652</c:v>
                </c:pt>
                <c:pt idx="320">
                  <c:v>336.39641559155115</c:v>
                </c:pt>
                <c:pt idx="321">
                  <c:v>338.14845362128852</c:v>
                </c:pt>
                <c:pt idx="322">
                  <c:v>339.90060985226188</c:v>
                </c:pt>
                <c:pt idx="323">
                  <c:v>341.65281459222058</c:v>
                </c:pt>
                <c:pt idx="324">
                  <c:v>343.40499825170627</c:v>
                </c:pt>
                <c:pt idx="325">
                  <c:v>345.15709134461525</c:v>
                </c:pt>
                <c:pt idx="326">
                  <c:v>346.9090244887438</c:v>
                </c:pt>
                <c:pt idx="327">
                  <c:v>348.66072840631682</c:v>
                </c:pt>
                <c:pt idx="328">
                  <c:v>350.41213392450032</c:v>
                </c:pt>
                <c:pt idx="329">
                  <c:v>352.16317197589677</c:v>
                </c:pt>
                <c:pt idx="330">
                  <c:v>353.91377359902452</c:v>
                </c:pt>
                <c:pt idx="331">
                  <c:v>355.66386993878092</c:v>
                </c:pt>
                <c:pt idx="332">
                  <c:v>357.41339224688892</c:v>
                </c:pt>
                <c:pt idx="333">
                  <c:v>359.16227188232779</c:v>
                </c:pt>
                <c:pt idx="334">
                  <c:v>360.91044031174783</c:v>
                </c:pt>
                <c:pt idx="335">
                  <c:v>362.65782910986923</c:v>
                </c:pt>
                <c:pt idx="336">
                  <c:v>364.40436995986482</c:v>
                </c:pt>
                <c:pt idx="337">
                  <c:v>366.14999465372756</c:v>
                </c:pt>
                <c:pt idx="338">
                  <c:v>367.89463509262197</c:v>
                </c:pt>
                <c:pt idx="339">
                  <c:v>369.63822328722046</c:v>
                </c:pt>
                <c:pt idx="340">
                  <c:v>371.38069135802397</c:v>
                </c:pt>
                <c:pt idx="341">
                  <c:v>373.12197153566751</c:v>
                </c:pt>
                <c:pt idx="342">
                  <c:v>374.86199616121041</c:v>
                </c:pt>
                <c:pt idx="343">
                  <c:v>376.60069768641154</c:v>
                </c:pt>
                <c:pt idx="344">
                  <c:v>378.33800867398946</c:v>
                </c:pt>
                <c:pt idx="345">
                  <c:v>380.07386179786795</c:v>
                </c:pt>
                <c:pt idx="346">
                  <c:v>381.8081898434063</c:v>
                </c:pt>
                <c:pt idx="347">
                  <c:v>383.5409257076156</c:v>
                </c:pt>
                <c:pt idx="348">
                  <c:v>385.27200320080902</c:v>
                </c:pt>
                <c:pt idx="349">
                  <c:v>387.00135784684369</c:v>
                </c:pt>
                <c:pt idx="350">
                  <c:v>388.72892607903674</c:v>
                </c:pt>
                <c:pt idx="351">
                  <c:v>390.45464443744345</c:v>
                </c:pt>
                <c:pt idx="352">
                  <c:v>392.17844956896499</c:v>
                </c:pt>
                <c:pt idx="353">
                  <c:v>393.90027822744361</c:v>
                </c:pt>
                <c:pt idx="354">
                  <c:v>395.62006727374535</c:v>
                </c:pt>
                <c:pt idx="355">
                  <c:v>397.33775367583041</c:v>
                </c:pt>
                <c:pt idx="356">
                  <c:v>399.05327450881117</c:v>
                </c:pt>
                <c:pt idx="357">
                  <c:v>400.7665669549981</c:v>
                </c:pt>
                <c:pt idx="358">
                  <c:v>402.47756830393365</c:v>
                </c:pt>
                <c:pt idx="359">
                  <c:v>404.18621595241393</c:v>
                </c:pt>
                <c:pt idx="360">
                  <c:v>405.89246406555554</c:v>
                </c:pt>
                <c:pt idx="361">
                  <c:v>407.5963002068317</c:v>
                </c:pt>
                <c:pt idx="362">
                  <c:v>409.2977286161622</c:v>
                </c:pt>
                <c:pt idx="363">
                  <c:v>410.99675351905807</c:v>
                </c:pt>
                <c:pt idx="364">
                  <c:v>412.69337912668556</c:v>
                </c:pt>
                <c:pt idx="365">
                  <c:v>414.38760963592989</c:v>
                </c:pt>
                <c:pt idx="366">
                  <c:v>416.07944922945836</c:v>
                </c:pt>
                <c:pt idx="367">
                  <c:v>417.76890207578356</c:v>
                </c:pt>
                <c:pt idx="368">
                  <c:v>419.45597232932573</c:v>
                </c:pt>
                <c:pt idx="369">
                  <c:v>421.14066413047516</c:v>
                </c:pt>
                <c:pt idx="370">
                  <c:v>422.82298160565404</c:v>
                </c:pt>
                <c:pt idx="371">
                  <c:v>424.50292886737793</c:v>
                </c:pt>
                <c:pt idx="372">
                  <c:v>426.18051001431706</c:v>
                </c:pt>
                <c:pt idx="373">
                  <c:v>427.85572913135724</c:v>
                </c:pt>
                <c:pt idx="374">
                  <c:v>429.52859028966026</c:v>
                </c:pt>
                <c:pt idx="375">
                  <c:v>431.1990975467242</c:v>
                </c:pt>
                <c:pt idx="376">
                  <c:v>432.8672549464431</c:v>
                </c:pt>
                <c:pt idx="377">
                  <c:v>434.53306651916671</c:v>
                </c:pt>
                <c:pt idx="378">
                  <c:v>436.19653628175956</c:v>
                </c:pt>
                <c:pt idx="379">
                  <c:v>437.85766823765977</c:v>
                </c:pt>
                <c:pt idx="380">
                  <c:v>439.51646637693773</c:v>
                </c:pt>
                <c:pt idx="381">
                  <c:v>441.1729346763542</c:v>
                </c:pt>
                <c:pt idx="382">
                  <c:v>442.8270770994182</c:v>
                </c:pt>
                <c:pt idx="383">
                  <c:v>444.47889759644465</c:v>
                </c:pt>
                <c:pt idx="384">
                  <c:v>446.12840010461161</c:v>
                </c:pt>
                <c:pt idx="385">
                  <c:v>447.7755885480172</c:v>
                </c:pt>
                <c:pt idx="386">
                  <c:v>449.42046683773617</c:v>
                </c:pt>
                <c:pt idx="387">
                  <c:v>451.0630388718763</c:v>
                </c:pt>
                <c:pt idx="388">
                  <c:v>452.70330853563439</c:v>
                </c:pt>
                <c:pt idx="389">
                  <c:v>454.34127970135194</c:v>
                </c:pt>
                <c:pt idx="390">
                  <c:v>455.97695622857054</c:v>
                </c:pt>
                <c:pt idx="391">
                  <c:v>457.61034196408701</c:v>
                </c:pt>
                <c:pt idx="392">
                  <c:v>459.24144074200802</c:v>
                </c:pt>
                <c:pt idx="393">
                  <c:v>460.87025638380487</c:v>
                </c:pt>
                <c:pt idx="394">
                  <c:v>462.49679269836736</c:v>
                </c:pt>
                <c:pt idx="395">
                  <c:v>464.12105348205802</c:v>
                </c:pt>
                <c:pt idx="396">
                  <c:v>465.74304251876538</c:v>
                </c:pt>
                <c:pt idx="397">
                  <c:v>467.36276357995757</c:v>
                </c:pt>
                <c:pt idx="398">
                  <c:v>468.98022042473514</c:v>
                </c:pt>
                <c:pt idx="399">
                  <c:v>470.59541679988388</c:v>
                </c:pt>
                <c:pt idx="400">
                  <c:v>472.20835643992734</c:v>
                </c:pt>
                <c:pt idx="401">
                  <c:v>488.21392075178619</c:v>
                </c:pt>
                <c:pt idx="402">
                  <c:v>503.9962075022442</c:v>
                </c:pt>
                <c:pt idx="403">
                  <c:v>519.55883335046735</c:v>
                </c:pt>
                <c:pt idx="404">
                  <c:v>534.90529909920122</c:v>
                </c:pt>
                <c:pt idx="405">
                  <c:v>550.03899447088156</c:v>
                </c:pt>
                <c:pt idx="406">
                  <c:v>564.96320263534824</c:v>
                </c:pt>
                <c:pt idx="407">
                  <c:v>579.68110450454753</c:v>
                </c:pt>
                <c:pt idx="408">
                  <c:v>594.1957828085018</c:v>
                </c:pt>
                <c:pt idx="409">
                  <c:v>608.51022596581072</c:v>
                </c:pt>
                <c:pt idx="410">
                  <c:v>622.62733176101403</c:v>
                </c:pt>
                <c:pt idx="411">
                  <c:v>636.54991084028757</c:v>
                </c:pt>
                <c:pt idx="412">
                  <c:v>650.28069003615144</c:v>
                </c:pt>
                <c:pt idx="413">
                  <c:v>663.8223155311432</c:v>
                </c:pt>
                <c:pt idx="414">
                  <c:v>677.17735586973197</c:v>
                </c:pt>
                <c:pt idx="415">
                  <c:v>690.34830482713278</c:v>
                </c:pt>
                <c:pt idx="416">
                  <c:v>703.33758414310284</c:v>
                </c:pt>
                <c:pt idx="417">
                  <c:v>716.14754612827358</c:v>
                </c:pt>
                <c:pt idx="418">
                  <c:v>728.78047615007927</c:v>
                </c:pt>
                <c:pt idx="419">
                  <c:v>741.23859500488913</c:v>
                </c:pt>
                <c:pt idx="420">
                  <c:v>753.52406118252827</c:v>
                </c:pt>
                <c:pt idx="421">
                  <c:v>765.63897302898113</c:v>
                </c:pt>
                <c:pt idx="422">
                  <c:v>777.5853708127089</c:v>
                </c:pt>
                <c:pt idx="423">
                  <c:v>789.36523869967493</c:v>
                </c:pt>
                <c:pt idx="424">
                  <c:v>800.98050664185814</c:v>
                </c:pt>
                <c:pt idx="425">
                  <c:v>812.43305218374508</c:v>
                </c:pt>
                <c:pt idx="426">
                  <c:v>823.72470219101695</c:v>
                </c:pt>
                <c:pt idx="427">
                  <c:v>834.85723450539786</c:v>
                </c:pt>
                <c:pt idx="428">
                  <c:v>845.83237952939407</c:v>
                </c:pt>
                <c:pt idx="429">
                  <c:v>856.65182174443441</c:v>
                </c:pt>
                <c:pt idx="430">
                  <c:v>867.31720116571717</c:v>
                </c:pt>
                <c:pt idx="431">
                  <c:v>877.83011473687839</c:v>
                </c:pt>
                <c:pt idx="432">
                  <c:v>888.1921176674158</c:v>
                </c:pt>
                <c:pt idx="433">
                  <c:v>898.40472471563851</c:v>
                </c:pt>
                <c:pt idx="434">
                  <c:v>908.46941141975321</c:v>
                </c:pt>
                <c:pt idx="435">
                  <c:v>918.38761527955444</c:v>
                </c:pt>
                <c:pt idx="436">
                  <c:v>928.16073689104678</c:v>
                </c:pt>
                <c:pt idx="437">
                  <c:v>937.7901410362017</c:v>
                </c:pt>
                <c:pt idx="438">
                  <c:v>947.27715772992849</c:v>
                </c:pt>
                <c:pt idx="439">
                  <c:v>956.62308322622846</c:v>
                </c:pt>
                <c:pt idx="440">
                  <c:v>965.82918098539483</c:v>
                </c:pt>
                <c:pt idx="441">
                  <c:v>974.89668260402118</c:v>
                </c:pt>
                <c:pt idx="442">
                  <c:v>983.82678870948928</c:v>
                </c:pt>
                <c:pt idx="443">
                  <c:v>992.62066982051874</c:v>
                </c:pt>
                <c:pt idx="444">
                  <c:v>1001.2794671752787</c:v>
                </c:pt>
                <c:pt idx="445">
                  <c:v>1009.8042935284845</c:v>
                </c:pt>
                <c:pt idx="446">
                  <c:v>1018.1962339188302</c:v>
                </c:pt>
                <c:pt idx="447">
                  <c:v>1026.4563464080379</c:v>
                </c:pt>
                <c:pt idx="448">
                  <c:v>1034.5856627927419</c:v>
                </c:pt>
                <c:pt idx="449">
                  <c:v>1042.585189290365</c:v>
                </c:pt>
                <c:pt idx="450">
                  <c:v>1050.4559072000839</c:v>
                </c:pt>
                <c:pt idx="451">
                  <c:v>1058.1987735399327</c:v>
                </c:pt>
                <c:pt idx="452">
                  <c:v>1065.8147216610382</c:v>
                </c:pt>
                <c:pt idx="453">
                  <c:v>1073.3046618399326</c:v>
                </c:pt>
                <c:pt idx="454">
                  <c:v>1080.6694818498484</c:v>
                </c:pt>
                <c:pt idx="455">
                  <c:v>1087.9100475118535</c:v>
                </c:pt>
                <c:pt idx="456">
                  <c:v>1095.0272032266471</c:v>
                </c:pt>
                <c:pt idx="457">
                  <c:v>1102.0217724877971</c:v>
                </c:pt>
                <c:pt idx="458">
                  <c:v>1108.8945583771665</c:v>
                </c:pt>
                <c:pt idx="459">
                  <c:v>1115.6463440432422</c:v>
                </c:pt>
                <c:pt idx="460">
                  <c:v>1122.2778931630451</c:v>
                </c:pt>
                <c:pt idx="461">
                  <c:v>1128.7899503882766</c:v>
                </c:pt>
                <c:pt idx="462">
                  <c:v>1135.1832417763228</c:v>
                </c:pt>
                <c:pt idx="463">
                  <c:v>1141.4584752067151</c:v>
                </c:pt>
                <c:pt idx="464">
                  <c:v>1147.6163407836204</c:v>
                </c:pt>
                <c:pt idx="465">
                  <c:v>1153.6575112249111</c:v>
                </c:pt>
                <c:pt idx="466">
                  <c:v>1159.582642238342</c:v>
                </c:pt>
                <c:pt idx="467">
                  <c:v>1165.3923728853449</c:v>
                </c:pt>
                <c:pt idx="468">
                  <c:v>1171.0873259329292</c:v>
                </c:pt>
                <c:pt idx="469">
                  <c:v>1176.668108194162</c:v>
                </c:pt>
                <c:pt idx="470">
                  <c:v>1182.1353108576832</c:v>
                </c:pt>
                <c:pt idx="471">
                  <c:v>1187.4895098066997</c:v>
                </c:pt>
                <c:pt idx="472">
                  <c:v>1192.7312659278855</c:v>
                </c:pt>
                <c:pt idx="473">
                  <c:v>1197.8611254106061</c:v>
                </c:pt>
                <c:pt idx="474">
                  <c:v>1202.8796200368736</c:v>
                </c:pt>
                <c:pt idx="475">
                  <c:v>1207.7872674624291</c:v>
                </c:pt>
                <c:pt idx="476">
                  <c:v>1212.5845714893421</c:v>
                </c:pt>
                <c:pt idx="477">
                  <c:v>1217.2720223305091</c:v>
                </c:pt>
                <c:pt idx="478">
                  <c:v>1221.8500968664316</c:v>
                </c:pt>
                <c:pt idx="479">
                  <c:v>1226.3192588946447</c:v>
                </c:pt>
                <c:pt idx="480">
                  <c:v>1230.6799593721721</c:v>
                </c:pt>
                <c:pt idx="481">
                  <c:v>1234.9326366513778</c:v>
                </c:pt>
                <c:pt idx="482">
                  <c:v>1239.0777167095894</c:v>
                </c:pt>
                <c:pt idx="483">
                  <c:v>1243.11561337287</c:v>
                </c:pt>
                <c:pt idx="484">
                  <c:v>1247.0467285343223</c:v>
                </c:pt>
                <c:pt idx="485">
                  <c:v>1250.8714523673139</c:v>
                </c:pt>
                <c:pt idx="486">
                  <c:v>1254.5901635340258</c:v>
                </c:pt>
                <c:pt idx="487">
                  <c:v>1258.2032293897346</c:v>
                </c:pt>
                <c:pt idx="488">
                  <c:v>1261.7110061832559</c:v>
                </c:pt>
                <c:pt idx="489">
                  <c:v>1265.1138392539949</c:v>
                </c:pt>
                <c:pt idx="490">
                  <c:v>1268.4120632260685</c:v>
                </c:pt>
                <c:pt idx="491">
                  <c:v>1271.6060021999865</c:v>
                </c:pt>
                <c:pt idx="492">
                  <c:v>1274.6959699424087</c:v>
                </c:pt>
                <c:pt idx="493">
                  <c:v>1277.682270074524</c:v>
                </c:pt>
                <c:pt idx="494">
                  <c:v>1280.5651962596296</c:v>
                </c:pt>
                <c:pt idx="495">
                  <c:v>1283.3450323905274</c:v>
                </c:pt>
                <c:pt idx="496">
                  <c:v>1286.0220527773956</c:v>
                </c:pt>
                <c:pt idx="497">
                  <c:v>1288.5965223368362</c:v>
                </c:pt>
                <c:pt idx="498">
                  <c:v>1291.0686967828467</c:v>
                </c:pt>
                <c:pt idx="499">
                  <c:v>1293.4388228205157</c:v>
                </c:pt>
                <c:pt idx="500">
                  <c:v>1295.7071383432917</c:v>
                </c:pt>
                <c:pt idx="501">
                  <c:v>1297.8738726347278</c:v>
                </c:pt>
                <c:pt idx="502">
                  <c:v>1299.9392465756589</c:v>
                </c:pt>
                <c:pt idx="503">
                  <c:v>1301.9034728578172</c:v>
                </c:pt>
                <c:pt idx="504">
                  <c:v>1303.7667562049376</c:v>
                </c:pt>
                <c:pt idx="505">
                  <c:v>1305.5292936024475</c:v>
                </c:pt>
                <c:pt idx="506">
                  <c:v>1307.191274536862</c:v>
                </c:pt>
                <c:pt idx="507">
                  <c:v>1308.7528812460223</c:v>
                </c:pt>
                <c:pt idx="508">
                  <c:v>1310.2142889813167</c:v>
                </c:pt>
                <c:pt idx="509">
                  <c:v>1311.5756662829938</c:v>
                </c:pt>
                <c:pt idx="510">
                  <c:v>1312.8371752696298</c:v>
                </c:pt>
                <c:pt idx="511">
                  <c:v>1313.9989719427256</c:v>
                </c:pt>
                <c:pt idx="512">
                  <c:v>1315.0612065072837</c:v>
                </c:pt>
                <c:pt idx="513">
                  <c:v>1316.0240237090568</c:v>
                </c:pt>
                <c:pt idx="514">
                  <c:v>1316.8875631889418</c:v>
                </c:pt>
                <c:pt idx="515">
                  <c:v>1317.6519598547452</c:v>
                </c:pt>
                <c:pt idx="516">
                  <c:v>1318.3173442702391</c:v>
                </c:pt>
                <c:pt idx="517">
                  <c:v>1318.883843061087</c:v>
                </c:pt>
                <c:pt idx="518">
                  <c:v>1319.3515793368435</c:v>
                </c:pt>
                <c:pt idx="519">
                  <c:v>1319.7206731278304</c:v>
                </c:pt>
                <c:pt idx="520">
                  <c:v>1319.9912418352831</c:v>
                </c:pt>
                <c:pt idx="521">
                  <c:v>1320.1634006927657</c:v>
                </c:pt>
                <c:pt idx="522">
                  <c:v>1320.237263236472</c:v>
                </c:pt>
                <c:pt idx="523">
                  <c:v>1320.2129417817055</c:v>
                </c:pt>
                <c:pt idx="524">
                  <c:v>1320.0905479025639</c:v>
                </c:pt>
                <c:pt idx="525">
                  <c:v>1319.8701929116733</c:v>
                </c:pt>
                <c:pt idx="526">
                  <c:v>1319.5519883367128</c:v>
                </c:pt>
                <c:pt idx="527">
                  <c:v>1319.1360463904841</c:v>
                </c:pt>
                <c:pt idx="528">
                  <c:v>1318.6224804313656</c:v>
                </c:pt>
                <c:pt idx="529">
                  <c:v>1318.0114054111907</c:v>
                </c:pt>
                <c:pt idx="530">
                  <c:v>1317.3029383078526</c:v>
                </c:pt>
                <c:pt idx="531">
                  <c:v>1316.4971985402683</c:v>
                </c:pt>
                <c:pt idx="532">
                  <c:v>1315.5943083637164</c:v>
                </c:pt>
                <c:pt idx="533">
                  <c:v>1314.5943932439632</c:v>
                </c:pt>
                <c:pt idx="534">
                  <c:v>1313.4975822090043</c:v>
                </c:pt>
                <c:pt idx="535">
                  <c:v>1312.3040081776483</c:v>
                </c:pt>
                <c:pt idx="536">
                  <c:v>1311.0138082645458</c:v>
                </c:pt>
                <c:pt idx="537">
                  <c:v>1309.6271240616104</c:v>
                </c:pt>
                <c:pt idx="538">
                  <c:v>1308.1441018960766</c:v>
                </c:pt>
                <c:pt idx="539">
                  <c:v>1306.564893065691</c:v>
                </c:pt>
                <c:pt idx="540">
                  <c:v>1304.889654051743</c:v>
                </c:pt>
                <c:pt idx="541">
                  <c:v>1303.1185467107982</c:v>
                </c:pt>
                <c:pt idx="542">
                  <c:v>1301.2517384461125</c:v>
                </c:pt>
                <c:pt idx="543">
                  <c:v>1299.2894023597919</c:v>
                </c:pt>
                <c:pt idx="544">
                  <c:v>1297.2317173867962</c:v>
                </c:pt>
                <c:pt idx="545">
                  <c:v>1295.078868411915</c:v>
                </c:pt>
                <c:pt idx="546">
                  <c:v>1292.8310463708267</c:v>
                </c:pt>
                <c:pt idx="547">
                  <c:v>1290.4884483363373</c:v>
                </c:pt>
                <c:pt idx="548">
                  <c:v>1288.0512775908526</c:v>
                </c:pt>
                <c:pt idx="549">
                  <c:v>1285.5197436860915</c:v>
                </c:pt>
                <c:pt idx="550">
                  <c:v>1282.894062490996</c:v>
                </c:pt>
                <c:pt idx="551">
                  <c:v>1280.1744562287356</c:v>
                </c:pt>
                <c:pt idx="552">
                  <c:v>1277.3611535036405</c:v>
                </c:pt>
                <c:pt idx="553">
                  <c:v>1274.454389318845</c:v>
                </c:pt>
                <c:pt idx="554">
                  <c:v>1271.4544050853581</c:v>
                </c:pt>
                <c:pt idx="555">
                  <c:v>1268.3614486232268</c:v>
                </c:pt>
                <c:pt idx="556">
                  <c:v>1265.1757741553986</c:v>
                </c:pt>
                <c:pt idx="557">
                  <c:v>1261.8976422948456</c:v>
                </c:pt>
                <c:pt idx="558">
                  <c:v>1258.5273200254594</c:v>
                </c:pt>
                <c:pt idx="559">
                  <c:v>1255.0650806771871</c:v>
                </c:pt>
                <c:pt idx="560">
                  <c:v>1251.5112038958348</c:v>
                </c:pt>
                <c:pt idx="561">
                  <c:v>1247.8659756079307</c:v>
                </c:pt>
                <c:pt idx="562">
                  <c:v>1244.1296879810047</c:v>
                </c:pt>
                <c:pt idx="563">
                  <c:v>1240.3026393796104</c:v>
                </c:pt>
                <c:pt idx="564">
                  <c:v>1236.3851343173903</c:v>
                </c:pt>
                <c:pt idx="565">
                  <c:v>1232.3774834054564</c:v>
                </c:pt>
                <c:pt idx="566">
                  <c:v>1228.2800032973362</c:v>
                </c:pt>
                <c:pt idx="567">
                  <c:v>1224.0930166307187</c:v>
                </c:pt>
                <c:pt idx="568">
                  <c:v>1219.8168519662063</c:v>
                </c:pt>
                <c:pt idx="569">
                  <c:v>1215.4518437232739</c:v>
                </c:pt>
                <c:pt idx="570">
                  <c:v>1210.998332113611</c:v>
                </c:pt>
                <c:pt idx="571">
                  <c:v>1206.4566630720178</c:v>
                </c:pt>
                <c:pt idx="572">
                  <c:v>1201.8271881850067</c:v>
                </c:pt>
                <c:pt idx="573">
                  <c:v>1197.1102646172556</c:v>
                </c:pt>
                <c:pt idx="574">
                  <c:v>1192.3062550360476</c:v>
                </c:pt>
                <c:pt idx="575">
                  <c:v>1187.415527533821</c:v>
                </c:pt>
                <c:pt idx="576">
                  <c:v>1182.4384555489492</c:v>
                </c:pt>
                <c:pt idx="577">
                  <c:v>1177.3754177848596</c:v>
                </c:pt>
                <c:pt idx="578">
                  <c:v>1172.2267981275979</c:v>
                </c:pt>
                <c:pt idx="579">
                  <c:v>1166.992985561935</c:v>
                </c:pt>
                <c:pt idx="580">
                  <c:v>1161.6743740861091</c:v>
                </c:pt>
                <c:pt idx="581">
                  <c:v>1156.2713626252944</c:v>
                </c:pt>
                <c:pt idx="582">
                  <c:v>1150.7843549438783</c:v>
                </c:pt>
                <c:pt idx="583">
                  <c:v>1145.2137595566294</c:v>
                </c:pt>
                <c:pt idx="584">
                  <c:v>1139.5599896388323</c:v>
                </c:pt>
                <c:pt idx="585">
                  <c:v>1133.8234629354636</c:v>
                </c:pt>
                <c:pt idx="586">
                  <c:v>1128.0046016694803</c:v>
                </c:pt>
                <c:pt idx="587">
                  <c:v>1122.1038324492888</c:v>
                </c:pt>
                <c:pt idx="588">
                  <c:v>1116.1215861754604</c:v>
                </c:pt>
                <c:pt idx="589">
                  <c:v>1110.0582979467563</c:v>
                </c:pt>
                <c:pt idx="590">
                  <c:v>1103.9144069655254</c:v>
                </c:pt>
                <c:pt idx="591">
                  <c:v>1097.690356442532</c:v>
                </c:pt>
                <c:pt idx="592">
                  <c:v>1091.3865935012736</c:v>
                </c:pt>
                <c:pt idx="593">
                  <c:v>1085.0035690818434</c:v>
                </c:pt>
                <c:pt idx="594">
                  <c:v>1078.5417378443924</c:v>
                </c:pt>
                <c:pt idx="595">
                  <c:v>1072.0015580722459</c:v>
                </c:pt>
                <c:pt idx="596">
                  <c:v>1065.383491574722</c:v>
                </c:pt>
                <c:pt idx="597">
                  <c:v>1058.6880035897077</c:v>
                </c:pt>
                <c:pt idx="598">
                  <c:v>1051.915562686037</c:v>
                </c:pt>
                <c:pt idx="599">
                  <c:v>1045.0666406657222</c:v>
                </c:pt>
                <c:pt idx="600">
                  <c:v>1038.1417124660832</c:v>
                </c:pt>
                <c:pt idx="601">
                  <c:v>1031.1412560618223</c:v>
                </c:pt>
                <c:pt idx="602">
                  <c:v>1024.0657523670866</c:v>
                </c:pt>
                <c:pt idx="603">
                  <c:v>1016.9156851375631</c:v>
                </c:pt>
                <c:pt idx="604">
                  <c:v>1009.6915408726497</c:v>
                </c:pt>
                <c:pt idx="605">
                  <c:v>1002.3938087177424</c:v>
                </c:pt>
                <c:pt idx="606">
                  <c:v>995.02298036667867</c:v>
                </c:pt>
                <c:pt idx="607">
                  <c:v>987.57954996437832</c:v>
                </c:pt>
                <c:pt idx="608">
                  <c:v>980.06401400972015</c:v>
                </c:pt>
                <c:pt idx="609">
                  <c:v>972.47687125869118</c:v>
                </c:pt>
                <c:pt idx="610">
                  <c:v>964.81862262784591</c:v>
                </c:pt>
                <c:pt idx="611">
                  <c:v>957.08977109811235</c:v>
                </c:pt>
                <c:pt idx="612">
                  <c:v>949.29082161897873</c:v>
                </c:pt>
                <c:pt idx="613">
                  <c:v>941.42228101309604</c:v>
                </c:pt>
                <c:pt idx="614">
                  <c:v>933.48465788132899</c:v>
                </c:pt>
                <c:pt idx="615">
                  <c:v>925.47846250828911</c:v>
                </c:pt>
                <c:pt idx="616">
                  <c:v>917.40420676838028</c:v>
                </c:pt>
                <c:pt idx="617">
                  <c:v>909.26240403238842</c:v>
                </c:pt>
                <c:pt idx="618">
                  <c:v>901.05356907464534</c:v>
                </c:pt>
                <c:pt idx="619">
                  <c:v>892.77821798079526</c:v>
                </c:pt>
                <c:pt idx="620">
                  <c:v>884.43686805619302</c:v>
                </c:pt>
                <c:pt idx="621">
                  <c:v>876.03003773496141</c:v>
                </c:pt>
                <c:pt idx="622">
                  <c:v>867.55824648973328</c:v>
                </c:pt>
                <c:pt idx="623">
                  <c:v>859.02201474210619</c:v>
                </c:pt>
                <c:pt idx="624">
                  <c:v>850.42186377383246</c:v>
                </c:pt>
                <c:pt idx="625">
                  <c:v>841.75831563877045</c:v>
                </c:pt>
                <c:pt idx="626">
                  <c:v>833.03189307562002</c:v>
                </c:pt>
                <c:pt idx="627">
                  <c:v>824.24311942146414</c:v>
                </c:pt>
                <c:pt idx="628">
                  <c:v>815.39251852613938</c:v>
                </c:pt>
                <c:pt idx="629">
                  <c:v>806.4806146674556</c:v>
                </c:pt>
                <c:pt idx="630">
                  <c:v>797.50793246728517</c:v>
                </c:pt>
                <c:pt idx="631">
                  <c:v>788.47499680854162</c:v>
                </c:pt>
                <c:pt idx="632">
                  <c:v>779.3823327530655</c:v>
                </c:pt>
                <c:pt idx="633">
                  <c:v>770.23046546043577</c:v>
                </c:pt>
                <c:pt idx="634">
                  <c:v>761.01992010772392</c:v>
                </c:pt>
                <c:pt idx="635">
                  <c:v>751.75122181020663</c:v>
                </c:pt>
                <c:pt idx="636">
                  <c:v>742.4248955430528</c:v>
                </c:pt>
                <c:pt idx="637">
                  <c:v>733.04146606399991</c:v>
                </c:pt>
                <c:pt idx="638">
                  <c:v>723.60145783703319</c:v>
                </c:pt>
                <c:pt idx="639">
                  <c:v>714.10539495708099</c:v>
                </c:pt>
                <c:pt idx="640">
                  <c:v>704.55380107573967</c:v>
                </c:pt>
                <c:pt idx="641">
                  <c:v>694.9471993280381</c:v>
                </c:pt>
                <c:pt idx="642">
                  <c:v>685.28611226025521</c:v>
                </c:pt>
                <c:pt idx="643">
                  <c:v>675.57106175879846</c:v>
                </c:pt>
                <c:pt idx="644">
                  <c:v>665.80256898015466</c:v>
                </c:pt>
                <c:pt idx="645">
                  <c:v>655.98115428192136</c:v>
                </c:pt>
                <c:pt idx="646">
                  <c:v>646.10733715492745</c:v>
                </c:pt>
                <c:pt idx="647">
                  <c:v>636.18163615644949</c:v>
                </c:pt>
                <c:pt idx="648">
                  <c:v>626.20456884453267</c:v>
                </c:pt>
                <c:pt idx="649">
                  <c:v>616.17665171342037</c:v>
                </c:pt>
                <c:pt idx="650">
                  <c:v>606.09840013009989</c:v>
                </c:pt>
                <c:pt idx="651">
                  <c:v>595.97032827196779</c:v>
                </c:pt>
                <c:pt idx="652">
                  <c:v>585.79294906562029</c:v>
                </c:pt>
                <c:pt idx="653">
                  <c:v>575.56677412677186</c:v>
                </c:pt>
                <c:pt idx="654">
                  <c:v>565.29231370130515</c:v>
                </c:pt>
                <c:pt idx="655">
                  <c:v>554.97007660745453</c:v>
                </c:pt>
                <c:pt idx="656">
                  <c:v>544.60057017912629</c:v>
                </c:pt>
                <c:pt idx="657">
                  <c:v>534.18430021035533</c:v>
                </c:pt>
                <c:pt idx="658">
                  <c:v>523.72177090089986</c:v>
                </c:pt>
                <c:pt idx="659">
                  <c:v>513.21348480297468</c:v>
                </c:pt>
                <c:pt idx="660">
                  <c:v>502.6599427691217</c:v>
                </c:pt>
                <c:pt idx="661">
                  <c:v>492.06164390121825</c:v>
                </c:pt>
                <c:pt idx="662">
                  <c:v>481.41908550062038</c:v>
                </c:pt>
                <c:pt idx="663">
                  <c:v>470.73276301944031</c:v>
                </c:pt>
                <c:pt idx="664">
                  <c:v>460.0031700129552</c:v>
                </c:pt>
                <c:pt idx="665">
                  <c:v>449.23079809314447</c:v>
                </c:pt>
                <c:pt idx="666">
                  <c:v>438.41613688335275</c:v>
                </c:pt>
                <c:pt idx="667">
                  <c:v>427.55967397407369</c:v>
                </c:pt>
                <c:pt idx="668">
                  <c:v>416.66189487985179</c:v>
                </c:pt>
                <c:pt idx="669">
                  <c:v>405.72328299729645</c:v>
                </c:pt>
                <c:pt idx="670">
                  <c:v>394.74431956420392</c:v>
                </c:pt>
                <c:pt idx="671">
                  <c:v>383.72548361978119</c:v>
                </c:pt>
                <c:pt idx="672">
                  <c:v>372.66725196596633</c:v>
                </c:pt>
                <c:pt idx="673">
                  <c:v>361.57009912983887</c:v>
                </c:pt>
                <c:pt idx="674">
                  <c:v>350.43449732711355</c:v>
                </c:pt>
                <c:pt idx="675">
                  <c:v>339.26091642671065</c:v>
                </c:pt>
                <c:pt idx="676">
                  <c:v>328.04982391639561</c:v>
                </c:pt>
                <c:pt idx="677">
                  <c:v>316.80168486947986</c:v>
                </c:pt>
                <c:pt idx="678">
                  <c:v>305.51696191257548</c:v>
                </c:pt>
                <c:pt idx="679">
                  <c:v>294.19611519439513</c:v>
                </c:pt>
                <c:pt idx="680">
                  <c:v>282.83960235558845</c:v>
                </c:pt>
                <c:pt idx="681">
                  <c:v>271.44787849960682</c:v>
                </c:pt>
                <c:pt idx="682">
                  <c:v>260.02139616458629</c:v>
                </c:pt>
                <c:pt idx="683">
                  <c:v>248.56060529624028</c:v>
                </c:pt>
                <c:pt idx="684">
                  <c:v>237.06595322175184</c:v>
                </c:pt>
                <c:pt idx="685">
                  <c:v>225.53788462465559</c:v>
                </c:pt>
                <c:pt idx="686">
                  <c:v>213.97684152069965</c:v>
                </c:pt>
                <c:pt idx="687">
                  <c:v>202.38326323467678</c:v>
                </c:pt>
                <c:pt idx="688">
                  <c:v>190.75758637821437</c:v>
                </c:pt>
                <c:pt idx="689">
                  <c:v>179.1002448285127</c:v>
                </c:pt>
                <c:pt idx="690">
                  <c:v>167.41166970802036</c:v>
                </c:pt>
                <c:pt idx="691">
                  <c:v>155.69228936503575</c:v>
                </c:pt>
                <c:pt idx="692">
                  <c:v>143.94252935522363</c:v>
                </c:pt>
                <c:pt idx="693">
                  <c:v>132.16281242403505</c:v>
                </c:pt>
                <c:pt idx="694">
                  <c:v>120.35355849001941</c:v>
                </c:pt>
                <c:pt idx="695">
                  <c:v>108.51518462901662</c:v>
                </c:pt>
                <c:pt idx="696">
                  <c:v>96.648105059217926</c:v>
                </c:pt>
                <c:pt idx="697">
                  <c:v>84.75273112708328</c:v>
                </c:pt>
                <c:pt idx="698">
                  <c:v>72.829471294103314</c:v>
                </c:pt>
                <c:pt idx="699">
                  <c:v>60.878731124393774</c:v>
                </c:pt>
                <c:pt idx="700">
                  <c:v>48.900913273110248</c:v>
                </c:pt>
                <c:pt idx="701">
                  <c:v>36.896417475670944</c:v>
                </c:pt>
                <c:pt idx="702">
                  <c:v>24.865640537775135</c:v>
                </c:pt>
                <c:pt idx="703">
                  <c:v>12.808976326204872</c:v>
                </c:pt>
                <c:pt idx="704">
                  <c:v>0.72681576039756912</c:v>
                </c:pt>
                <c:pt idx="705">
                  <c:v>-11.380453195223096</c:v>
                </c:pt>
                <c:pt idx="706">
                  <c:v>-11.392572934018164</c:v>
                </c:pt>
                <c:pt idx="707">
                  <c:v>-11.404692697344668</c:v>
                </c:pt>
                <c:pt idx="708">
                  <c:v>-11.416812485202231</c:v>
                </c:pt>
                <c:pt idx="709">
                  <c:v>-11.428932297590471</c:v>
                </c:pt>
                <c:pt idx="710">
                  <c:v>-11.441052134509011</c:v>
                </c:pt>
                <c:pt idx="711">
                  <c:v>-11.453171995957469</c:v>
                </c:pt>
                <c:pt idx="712">
                  <c:v>-11.465291881935466</c:v>
                </c:pt>
                <c:pt idx="713">
                  <c:v>-11.477411792442622</c:v>
                </c:pt>
                <c:pt idx="714">
                  <c:v>-11.489531727478557</c:v>
                </c:pt>
                <c:pt idx="715">
                  <c:v>-11.501651687042893</c:v>
                </c:pt>
                <c:pt idx="716">
                  <c:v>-11.513771671135247</c:v>
                </c:pt>
                <c:pt idx="717">
                  <c:v>-11.525891679755242</c:v>
                </c:pt>
                <c:pt idx="718">
                  <c:v>-11.538011712902499</c:v>
                </c:pt>
                <c:pt idx="719">
                  <c:v>-11.550131770576636</c:v>
                </c:pt>
                <c:pt idx="720">
                  <c:v>-11.562251852777274</c:v>
                </c:pt>
                <c:pt idx="721">
                  <c:v>-11.574371959504035</c:v>
                </c:pt>
                <c:pt idx="722">
                  <c:v>-11.586492090756536</c:v>
                </c:pt>
                <c:pt idx="723">
                  <c:v>-11.598612246534399</c:v>
                </c:pt>
                <c:pt idx="724">
                  <c:v>-11.610732426837245</c:v>
                </c:pt>
                <c:pt idx="725">
                  <c:v>-11.622852631664694</c:v>
                </c:pt>
                <c:pt idx="726">
                  <c:v>-11.634972861016365</c:v>
                </c:pt>
                <c:pt idx="727">
                  <c:v>-11.647093114891881</c:v>
                </c:pt>
                <c:pt idx="728">
                  <c:v>-11.659213393290859</c:v>
                </c:pt>
                <c:pt idx="729">
                  <c:v>-11.671333696212921</c:v>
                </c:pt>
                <c:pt idx="730">
                  <c:v>-11.683454023657688</c:v>
                </c:pt>
                <c:pt idx="731">
                  <c:v>-11.69557437562478</c:v>
                </c:pt>
                <c:pt idx="732">
                  <c:v>-11.707694752113817</c:v>
                </c:pt>
                <c:pt idx="733">
                  <c:v>-11.719815153124419</c:v>
                </c:pt>
                <c:pt idx="734">
                  <c:v>-11.731935578656207</c:v>
                </c:pt>
                <c:pt idx="735">
                  <c:v>-11.744056028708801</c:v>
                </c:pt>
                <c:pt idx="736">
                  <c:v>-11.756176503281822</c:v>
                </c:pt>
                <c:pt idx="737">
                  <c:v>-11.768297002374888</c:v>
                </c:pt>
                <c:pt idx="738">
                  <c:v>-11.780417525987623</c:v>
                </c:pt>
                <c:pt idx="739">
                  <c:v>-11.792538074119644</c:v>
                </c:pt>
                <c:pt idx="740">
                  <c:v>-11.804658646770573</c:v>
                </c:pt>
                <c:pt idx="741">
                  <c:v>-11.816779243940031</c:v>
                </c:pt>
                <c:pt idx="742">
                  <c:v>-11.828899865627637</c:v>
                </c:pt>
                <c:pt idx="743">
                  <c:v>-11.841020511833012</c:v>
                </c:pt>
                <c:pt idx="744">
                  <c:v>-11.853141182555776</c:v>
                </c:pt>
                <c:pt idx="745">
                  <c:v>-11.86526187779555</c:v>
                </c:pt>
                <c:pt idx="746">
                  <c:v>-11.877382597551955</c:v>
                </c:pt>
                <c:pt idx="747">
                  <c:v>-11.889503341824611</c:v>
                </c:pt>
                <c:pt idx="748">
                  <c:v>-11.901624110613136</c:v>
                </c:pt>
                <c:pt idx="749">
                  <c:v>-11.913744903917154</c:v>
                </c:pt>
                <c:pt idx="750">
                  <c:v>-11.925865721736281</c:v>
                </c:pt>
                <c:pt idx="751">
                  <c:v>-11.937986564070142</c:v>
                </c:pt>
                <c:pt idx="752">
                  <c:v>-11.950107430918354</c:v>
                </c:pt>
                <c:pt idx="753">
                  <c:v>-11.96222832228054</c:v>
                </c:pt>
                <c:pt idx="754">
                  <c:v>-11.974349238156318</c:v>
                </c:pt>
                <c:pt idx="755">
                  <c:v>-11.986470178545311</c:v>
                </c:pt>
                <c:pt idx="756">
                  <c:v>-11.998591143447136</c:v>
                </c:pt>
                <c:pt idx="757">
                  <c:v>-12.010712132861416</c:v>
                </c:pt>
                <c:pt idx="758">
                  <c:v>-12.022833146787772</c:v>
                </c:pt>
                <c:pt idx="759">
                  <c:v>-12.034954185225821</c:v>
                </c:pt>
                <c:pt idx="760">
                  <c:v>-12.047075248175187</c:v>
                </c:pt>
                <c:pt idx="761">
                  <c:v>-12.059196335635489</c:v>
                </c:pt>
                <c:pt idx="762">
                  <c:v>-12.071317447606347</c:v>
                </c:pt>
                <c:pt idx="763">
                  <c:v>-12.083438584087382</c:v>
                </c:pt>
                <c:pt idx="764">
                  <c:v>-12.095559745078216</c:v>
                </c:pt>
                <c:pt idx="765">
                  <c:v>-12.107680930578466</c:v>
                </c:pt>
                <c:pt idx="766">
                  <c:v>-12.119802140587755</c:v>
                </c:pt>
                <c:pt idx="767">
                  <c:v>-12.131923375105702</c:v>
                </c:pt>
                <c:pt idx="768">
                  <c:v>-12.144044634131928</c:v>
                </c:pt>
                <c:pt idx="769">
                  <c:v>-12.156165917666055</c:v>
                </c:pt>
                <c:pt idx="770">
                  <c:v>-12.168287225707701</c:v>
                </c:pt>
                <c:pt idx="771">
                  <c:v>-12.180408558256486</c:v>
                </c:pt>
                <c:pt idx="772">
                  <c:v>-12.192529915312033</c:v>
                </c:pt>
                <c:pt idx="773">
                  <c:v>-12.204651296873962</c:v>
                </c:pt>
                <c:pt idx="774">
                  <c:v>-12.216772702941892</c:v>
                </c:pt>
                <c:pt idx="775">
                  <c:v>-12.228894133515444</c:v>
                </c:pt>
                <c:pt idx="776">
                  <c:v>-12.241015588594239</c:v>
                </c:pt>
                <c:pt idx="777">
                  <c:v>-12.253137068177898</c:v>
                </c:pt>
                <c:pt idx="778">
                  <c:v>-12.26525857226604</c:v>
                </c:pt>
                <c:pt idx="779">
                  <c:v>-12.277380100858286</c:v>
                </c:pt>
                <c:pt idx="780">
                  <c:v>-12.289501653954257</c:v>
                </c:pt>
                <c:pt idx="781">
                  <c:v>-12.301623231553574</c:v>
                </c:pt>
                <c:pt idx="782">
                  <c:v>-12.313744833655855</c:v>
                </c:pt>
                <c:pt idx="783">
                  <c:v>-12.325866460260723</c:v>
                </c:pt>
                <c:pt idx="784">
                  <c:v>-12.337988111367798</c:v>
                </c:pt>
                <c:pt idx="785">
                  <c:v>-12.350109786976699</c:v>
                </c:pt>
                <c:pt idx="786">
                  <c:v>-12.362231487087048</c:v>
                </c:pt>
                <c:pt idx="787">
                  <c:v>-12.374353211698464</c:v>
                </c:pt>
                <c:pt idx="788">
                  <c:v>-12.386474960810569</c:v>
                </c:pt>
                <c:pt idx="789">
                  <c:v>-12.398596734422982</c:v>
                </c:pt>
                <c:pt idx="790">
                  <c:v>-12.410718532535325</c:v>
                </c:pt>
                <c:pt idx="791">
                  <c:v>-12.422840355147219</c:v>
                </c:pt>
                <c:pt idx="792">
                  <c:v>-12.434962202258284</c:v>
                </c:pt>
                <c:pt idx="793">
                  <c:v>-12.447084073868139</c:v>
                </c:pt>
                <c:pt idx="794">
                  <c:v>-12.459205969976406</c:v>
                </c:pt>
                <c:pt idx="795">
                  <c:v>-12.471327890582705</c:v>
                </c:pt>
                <c:pt idx="796">
                  <c:v>-12.483449835686656</c:v>
                </c:pt>
                <c:pt idx="797">
                  <c:v>-12.495571805287881</c:v>
                </c:pt>
                <c:pt idx="798">
                  <c:v>-12.507693799385999</c:v>
                </c:pt>
                <c:pt idx="799">
                  <c:v>-12.519815817980632</c:v>
                </c:pt>
                <c:pt idx="800">
                  <c:v>-12.5319378610714</c:v>
                </c:pt>
                <c:pt idx="801">
                  <c:v>-12.544059928657923</c:v>
                </c:pt>
                <c:pt idx="802">
                  <c:v>-12.556182020739822</c:v>
                </c:pt>
                <c:pt idx="803">
                  <c:v>-12.568304137316717</c:v>
                </c:pt>
                <c:pt idx="804">
                  <c:v>-12.580426278388229</c:v>
                </c:pt>
                <c:pt idx="805">
                  <c:v>-12.592548443953978</c:v>
                </c:pt>
                <c:pt idx="806">
                  <c:v>-12.604670634013585</c:v>
                </c:pt>
                <c:pt idx="807">
                  <c:v>-12.616792848566671</c:v>
                </c:pt>
                <c:pt idx="808">
                  <c:v>-12.628915087612857</c:v>
                </c:pt>
                <c:pt idx="809">
                  <c:v>-12.641037351151761</c:v>
                </c:pt>
                <c:pt idx="810">
                  <c:v>-12.653159639183006</c:v>
                </c:pt>
                <c:pt idx="811">
                  <c:v>-12.665281951706211</c:v>
                </c:pt>
                <c:pt idx="812">
                  <c:v>-12.677404288720998</c:v>
                </c:pt>
                <c:pt idx="813">
                  <c:v>-12.689526650226988</c:v>
                </c:pt>
                <c:pt idx="814">
                  <c:v>-12.701649036223799</c:v>
                </c:pt>
                <c:pt idx="815">
                  <c:v>-12.713771446711053</c:v>
                </c:pt>
                <c:pt idx="816">
                  <c:v>-12.725893881688373</c:v>
                </c:pt>
                <c:pt idx="817">
                  <c:v>-12.738016341155376</c:v>
                </c:pt>
                <c:pt idx="818">
                  <c:v>-12.750138825111684</c:v>
                </c:pt>
                <c:pt idx="819">
                  <c:v>-12.762261333556918</c:v>
                </c:pt>
                <c:pt idx="820">
                  <c:v>-12.774383866490698</c:v>
                </c:pt>
                <c:pt idx="821">
                  <c:v>-12.786506423912645</c:v>
                </c:pt>
                <c:pt idx="822">
                  <c:v>-12.798629005822379</c:v>
                </c:pt>
                <c:pt idx="823">
                  <c:v>-12.810751612219521</c:v>
                </c:pt>
                <c:pt idx="824">
                  <c:v>-12.822874243103691</c:v>
                </c:pt>
                <c:pt idx="825">
                  <c:v>-12.834996898474509</c:v>
                </c:pt>
                <c:pt idx="826">
                  <c:v>-12.847119578331599</c:v>
                </c:pt>
                <c:pt idx="827">
                  <c:v>-12.859242282674579</c:v>
                </c:pt>
                <c:pt idx="828">
                  <c:v>-12.87136501150307</c:v>
                </c:pt>
                <c:pt idx="829">
                  <c:v>-12.883487764816691</c:v>
                </c:pt>
                <c:pt idx="830">
                  <c:v>-12.895610542615065</c:v>
                </c:pt>
                <c:pt idx="831">
                  <c:v>-12.907733344897812</c:v>
                </c:pt>
                <c:pt idx="832">
                  <c:v>-12.919856171664552</c:v>
                </c:pt>
                <c:pt idx="833">
                  <c:v>-12.931979022914906</c:v>
                </c:pt>
                <c:pt idx="834">
                  <c:v>-12.944101898648494</c:v>
                </c:pt>
                <c:pt idx="835">
                  <c:v>-12.956224798864939</c:v>
                </c:pt>
                <c:pt idx="836">
                  <c:v>-12.968347723563859</c:v>
                </c:pt>
                <c:pt idx="837">
                  <c:v>-12.980470672744877</c:v>
                </c:pt>
                <c:pt idx="838">
                  <c:v>-12.992593646407611</c:v>
                </c:pt>
                <c:pt idx="839">
                  <c:v>-13.004716644551683</c:v>
                </c:pt>
                <c:pt idx="840">
                  <c:v>-13.016839667176715</c:v>
                </c:pt>
                <c:pt idx="841">
                  <c:v>-13.028962714282326</c:v>
                </c:pt>
                <c:pt idx="842">
                  <c:v>-13.041085785868136</c:v>
                </c:pt>
                <c:pt idx="843">
                  <c:v>-13.053208881933767</c:v>
                </c:pt>
                <c:pt idx="844">
                  <c:v>-13.065332002478838</c:v>
                </c:pt>
                <c:pt idx="845">
                  <c:v>-13.077455147502972</c:v>
                </c:pt>
                <c:pt idx="846">
                  <c:v>-13.089578317005788</c:v>
                </c:pt>
                <c:pt idx="847">
                  <c:v>-13.101701510986908</c:v>
                </c:pt>
                <c:pt idx="848">
                  <c:v>-13.113824729445952</c:v>
                </c:pt>
                <c:pt idx="849">
                  <c:v>-13.125947972382541</c:v>
                </c:pt>
                <c:pt idx="850">
                  <c:v>-13.138071239796295</c:v>
                </c:pt>
                <c:pt idx="851">
                  <c:v>-13.150194531686834</c:v>
                </c:pt>
                <c:pt idx="852">
                  <c:v>-13.16231784805378</c:v>
                </c:pt>
                <c:pt idx="853">
                  <c:v>-13.174441188896754</c:v>
                </c:pt>
                <c:pt idx="854">
                  <c:v>-13.186564554215376</c:v>
                </c:pt>
                <c:pt idx="855">
                  <c:v>-13.198687944009267</c:v>
                </c:pt>
                <c:pt idx="856">
                  <c:v>-13.210811358278047</c:v>
                </c:pt>
                <c:pt idx="857">
                  <c:v>-13.222934797021336</c:v>
                </c:pt>
                <c:pt idx="858">
                  <c:v>-13.235058260238757</c:v>
                </c:pt>
                <c:pt idx="859">
                  <c:v>-13.247181747929929</c:v>
                </c:pt>
                <c:pt idx="860">
                  <c:v>-13.259305260094473</c:v>
                </c:pt>
                <c:pt idx="861">
                  <c:v>-13.27142879673201</c:v>
                </c:pt>
                <c:pt idx="862">
                  <c:v>-13.283552357842161</c:v>
                </c:pt>
                <c:pt idx="863">
                  <c:v>-13.295675943424547</c:v>
                </c:pt>
                <c:pt idx="864">
                  <c:v>-13.307799553478787</c:v>
                </c:pt>
                <c:pt idx="865">
                  <c:v>-13.319923188004504</c:v>
                </c:pt>
                <c:pt idx="866">
                  <c:v>-13.332046847001317</c:v>
                </c:pt>
                <c:pt idx="867">
                  <c:v>-13.344170530468848</c:v>
                </c:pt>
                <c:pt idx="868">
                  <c:v>-13.356294238406717</c:v>
                </c:pt>
                <c:pt idx="869">
                  <c:v>-13.368417970814544</c:v>
                </c:pt>
                <c:pt idx="870">
                  <c:v>-13.380541727691952</c:v>
                </c:pt>
                <c:pt idx="871">
                  <c:v>-13.39266550903856</c:v>
                </c:pt>
                <c:pt idx="872">
                  <c:v>-13.404789314853989</c:v>
                </c:pt>
                <c:pt idx="873">
                  <c:v>-13.41691314513786</c:v>
                </c:pt>
                <c:pt idx="874">
                  <c:v>-13.429036999889794</c:v>
                </c:pt>
                <c:pt idx="875">
                  <c:v>-13.441160879109411</c:v>
                </c:pt>
                <c:pt idx="876">
                  <c:v>-13.453284782796331</c:v>
                </c:pt>
                <c:pt idx="877">
                  <c:v>-13.465408710950177</c:v>
                </c:pt>
                <c:pt idx="878">
                  <c:v>-13.477532663570567</c:v>
                </c:pt>
                <c:pt idx="879">
                  <c:v>-13.489656640657126</c:v>
                </c:pt>
                <c:pt idx="880">
                  <c:v>-13.50178064220947</c:v>
                </c:pt>
                <c:pt idx="881">
                  <c:v>-13.513904668227223</c:v>
                </c:pt>
                <c:pt idx="882">
                  <c:v>-13.526028718710004</c:v>
                </c:pt>
                <c:pt idx="883">
                  <c:v>-13.538152793657435</c:v>
                </c:pt>
                <c:pt idx="884">
                  <c:v>-13.550276893069135</c:v>
                </c:pt>
                <c:pt idx="885">
                  <c:v>-13.562401016944728</c:v>
                </c:pt>
                <c:pt idx="886">
                  <c:v>-13.574525165283832</c:v>
                </c:pt>
                <c:pt idx="887">
                  <c:v>-13.586649338086069</c:v>
                </c:pt>
                <c:pt idx="888">
                  <c:v>-13.598773535351059</c:v>
                </c:pt>
                <c:pt idx="889">
                  <c:v>-13.610897757078423</c:v>
                </c:pt>
                <c:pt idx="890">
                  <c:v>-13.623022003267781</c:v>
                </c:pt>
                <c:pt idx="891">
                  <c:v>-13.635146273918757</c:v>
                </c:pt>
                <c:pt idx="892">
                  <c:v>-13.647270569030969</c:v>
                </c:pt>
                <c:pt idx="893">
                  <c:v>-13.659394888604037</c:v>
                </c:pt>
                <c:pt idx="894">
                  <c:v>-13.671519232637584</c:v>
                </c:pt>
                <c:pt idx="895">
                  <c:v>-13.68364360113123</c:v>
                </c:pt>
                <c:pt idx="896">
                  <c:v>-13.695767994084596</c:v>
                </c:pt>
                <c:pt idx="897">
                  <c:v>-13.707892411497303</c:v>
                </c:pt>
                <c:pt idx="898">
                  <c:v>-13.720016853368971</c:v>
                </c:pt>
                <c:pt idx="899">
                  <c:v>-13.732141319699222</c:v>
                </c:pt>
                <c:pt idx="900">
                  <c:v>-13.744265810487676</c:v>
                </c:pt>
                <c:pt idx="901">
                  <c:v>-13.756390325733953</c:v>
                </c:pt>
                <c:pt idx="902">
                  <c:v>-13.768514865437677</c:v>
                </c:pt>
                <c:pt idx="903">
                  <c:v>-13.780639429598466</c:v>
                </c:pt>
                <c:pt idx="904">
                  <c:v>-13.792764018215941</c:v>
                </c:pt>
                <c:pt idx="905">
                  <c:v>-13.804888631289723</c:v>
                </c:pt>
                <c:pt idx="906">
                  <c:v>-13.817013268819434</c:v>
                </c:pt>
                <c:pt idx="907">
                  <c:v>-13.829137930804693</c:v>
                </c:pt>
                <c:pt idx="908">
                  <c:v>-13.841262617245123</c:v>
                </c:pt>
                <c:pt idx="909">
                  <c:v>-13.853387328140343</c:v>
                </c:pt>
                <c:pt idx="910">
                  <c:v>-13.865512063489975</c:v>
                </c:pt>
                <c:pt idx="911">
                  <c:v>-13.87763682329364</c:v>
                </c:pt>
                <c:pt idx="912">
                  <c:v>-13.889761607550959</c:v>
                </c:pt>
                <c:pt idx="913">
                  <c:v>-13.901886416261551</c:v>
                </c:pt>
                <c:pt idx="914">
                  <c:v>-13.914011249425039</c:v>
                </c:pt>
                <c:pt idx="915">
                  <c:v>-13.926136107041042</c:v>
                </c:pt>
                <c:pt idx="916">
                  <c:v>-13.938260989109184</c:v>
                </c:pt>
                <c:pt idx="917">
                  <c:v>-13.950385895629083</c:v>
                </c:pt>
                <c:pt idx="918">
                  <c:v>-13.96251082660036</c:v>
                </c:pt>
                <c:pt idx="919">
                  <c:v>-13.974635782022636</c:v>
                </c:pt>
                <c:pt idx="920">
                  <c:v>-13.986760761895534</c:v>
                </c:pt>
                <c:pt idx="921">
                  <c:v>-13.998885766218672</c:v>
                </c:pt>
                <c:pt idx="922">
                  <c:v>-14.011010794991673</c:v>
                </c:pt>
                <c:pt idx="923">
                  <c:v>-14.023135848214157</c:v>
                </c:pt>
                <c:pt idx="924">
                  <c:v>-14.035260925885744</c:v>
                </c:pt>
                <c:pt idx="925">
                  <c:v>-14.047386028006056</c:v>
                </c:pt>
                <c:pt idx="926">
                  <c:v>-14.059511154574714</c:v>
                </c:pt>
                <c:pt idx="927">
                  <c:v>-14.071636305591339</c:v>
                </c:pt>
                <c:pt idx="928">
                  <c:v>-14.083761481055552</c:v>
                </c:pt>
                <c:pt idx="929">
                  <c:v>-14.095886680966974</c:v>
                </c:pt>
                <c:pt idx="930">
                  <c:v>-14.108011905325224</c:v>
                </c:pt>
                <c:pt idx="931">
                  <c:v>-14.120137154129925</c:v>
                </c:pt>
                <c:pt idx="932">
                  <c:v>-14.132262427380697</c:v>
                </c:pt>
                <c:pt idx="933">
                  <c:v>-14.144387725077161</c:v>
                </c:pt>
                <c:pt idx="934">
                  <c:v>-14.156513047218938</c:v>
                </c:pt>
                <c:pt idx="935">
                  <c:v>-14.168638393805651</c:v>
                </c:pt>
                <c:pt idx="936">
                  <c:v>-14.180763764836918</c:v>
                </c:pt>
                <c:pt idx="937">
                  <c:v>-14.19288916031236</c:v>
                </c:pt>
                <c:pt idx="938">
                  <c:v>-14.2050145802316</c:v>
                </c:pt>
                <c:pt idx="939">
                  <c:v>-14.217140024594258</c:v>
                </c:pt>
                <c:pt idx="940">
                  <c:v>-14.229265493399954</c:v>
                </c:pt>
                <c:pt idx="941">
                  <c:v>-14.241390986648309</c:v>
                </c:pt>
                <c:pt idx="942">
                  <c:v>-14.253516504338945</c:v>
                </c:pt>
                <c:pt idx="943">
                  <c:v>-14.265642046471484</c:v>
                </c:pt>
                <c:pt idx="944">
                  <c:v>-14.277767613045546</c:v>
                </c:pt>
                <c:pt idx="945">
                  <c:v>-14.28989320406075</c:v>
                </c:pt>
                <c:pt idx="946">
                  <c:v>-14.30201881951672</c:v>
                </c:pt>
                <c:pt idx="947">
                  <c:v>-14.314144459413075</c:v>
                </c:pt>
                <c:pt idx="948">
                  <c:v>-14.326270123749437</c:v>
                </c:pt>
                <c:pt idx="949">
                  <c:v>-14.338395812525425</c:v>
                </c:pt>
                <c:pt idx="950">
                  <c:v>-14.350521525740662</c:v>
                </c:pt>
                <c:pt idx="951">
                  <c:v>-14.362647263394768</c:v>
                </c:pt>
                <c:pt idx="952">
                  <c:v>-14.374773025487364</c:v>
                </c:pt>
                <c:pt idx="953">
                  <c:v>-14.386898812018073</c:v>
                </c:pt>
                <c:pt idx="954">
                  <c:v>-14.399024622986513</c:v>
                </c:pt>
                <c:pt idx="955">
                  <c:v>-14.411150458392306</c:v>
                </c:pt>
                <c:pt idx="956">
                  <c:v>-14.423276318235075</c:v>
                </c:pt>
                <c:pt idx="957">
                  <c:v>-14.435402202514439</c:v>
                </c:pt>
                <c:pt idx="958">
                  <c:v>-14.447528111230019</c:v>
                </c:pt>
                <c:pt idx="959">
                  <c:v>-14.459654044381438</c:v>
                </c:pt>
                <c:pt idx="960">
                  <c:v>-14.471780001968314</c:v>
                </c:pt>
                <c:pt idx="961">
                  <c:v>-14.483905983990269</c:v>
                </c:pt>
                <c:pt idx="962">
                  <c:v>-14.496031990446925</c:v>
                </c:pt>
                <c:pt idx="963">
                  <c:v>-14.508158021337902</c:v>
                </c:pt>
                <c:pt idx="964">
                  <c:v>-14.520284076662822</c:v>
                </c:pt>
                <c:pt idx="965">
                  <c:v>-14.532410156421305</c:v>
                </c:pt>
                <c:pt idx="966">
                  <c:v>-14.544536260612972</c:v>
                </c:pt>
                <c:pt idx="967">
                  <c:v>-14.556662389237445</c:v>
                </c:pt>
                <c:pt idx="968">
                  <c:v>-14.568788542294344</c:v>
                </c:pt>
                <c:pt idx="969">
                  <c:v>-14.580914719783291</c:v>
                </c:pt>
                <c:pt idx="970">
                  <c:v>-14.593040921703906</c:v>
                </c:pt>
                <c:pt idx="971">
                  <c:v>-14.605167148055811</c:v>
                </c:pt>
                <c:pt idx="972">
                  <c:v>-14.617293398838628</c:v>
                </c:pt>
                <c:pt idx="973">
                  <c:v>-14.629419674051976</c:v>
                </c:pt>
                <c:pt idx="974">
                  <c:v>-14.641545973695477</c:v>
                </c:pt>
                <c:pt idx="975">
                  <c:v>-14.653672297768752</c:v>
                </c:pt>
                <c:pt idx="976">
                  <c:v>-14.665798646271421</c:v>
                </c:pt>
                <c:pt idx="977">
                  <c:v>-14.677925019203107</c:v>
                </c:pt>
                <c:pt idx="978">
                  <c:v>-14.690051416563429</c:v>
                </c:pt>
                <c:pt idx="979">
                  <c:v>-14.702177838352011</c:v>
                </c:pt>
                <c:pt idx="980">
                  <c:v>-14.71430428456847</c:v>
                </c:pt>
                <c:pt idx="981">
                  <c:v>-14.72643075521243</c:v>
                </c:pt>
                <c:pt idx="982">
                  <c:v>-14.738557250283511</c:v>
                </c:pt>
                <c:pt idx="983">
                  <c:v>-14.750683769781334</c:v>
                </c:pt>
                <c:pt idx="984">
                  <c:v>-14.76281031370552</c:v>
                </c:pt>
                <c:pt idx="985">
                  <c:v>-14.774936882055691</c:v>
                </c:pt>
                <c:pt idx="986">
                  <c:v>-14.787063474831468</c:v>
                </c:pt>
                <c:pt idx="987">
                  <c:v>-14.799190092032472</c:v>
                </c:pt>
                <c:pt idx="988">
                  <c:v>-14.811316733658323</c:v>
                </c:pt>
                <c:pt idx="989">
                  <c:v>-14.823443399708644</c:v>
                </c:pt>
                <c:pt idx="990">
                  <c:v>-14.835570090183055</c:v>
                </c:pt>
                <c:pt idx="991">
                  <c:v>-14.847696805081176</c:v>
                </c:pt>
                <c:pt idx="992">
                  <c:v>-14.85982354440263</c:v>
                </c:pt>
                <c:pt idx="993">
                  <c:v>-14.871950308147037</c:v>
                </c:pt>
                <c:pt idx="994">
                  <c:v>-14.884077096314018</c:v>
                </c:pt>
                <c:pt idx="995">
                  <c:v>-14.896203908903194</c:v>
                </c:pt>
                <c:pt idx="996">
                  <c:v>-14.908330745914187</c:v>
                </c:pt>
                <c:pt idx="997">
                  <c:v>-14.920457607346618</c:v>
                </c:pt>
                <c:pt idx="998">
                  <c:v>-14.932584493200107</c:v>
                </c:pt>
                <c:pt idx="999">
                  <c:v>-14.944711403474276</c:v>
                </c:pt>
                <c:pt idx="1000">
                  <c:v>-14.956838338168746</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0</c:v>
                </c:pt>
                <c:pt idx="1">
                  <c:v>6.6207538697662396E-7</c:v>
                </c:pt>
                <c:pt idx="2">
                  <c:v>1.7177052159657097E-4</c:v>
                </c:pt>
                <c:pt idx="3">
                  <c:v>8.5166057778985488E-4</c:v>
                </c:pt>
                <c:pt idx="4">
                  <c:v>2.3788979230456391E-3</c:v>
                </c:pt>
                <c:pt idx="5">
                  <c:v>5.0923756236487729E-3</c:v>
                </c:pt>
                <c:pt idx="6">
                  <c:v>9.245679357458271E-3</c:v>
                </c:pt>
                <c:pt idx="7">
                  <c:v>1.4921248096417636E-2</c:v>
                </c:pt>
                <c:pt idx="8">
                  <c:v>2.2115860832762888E-2</c:v>
                </c:pt>
                <c:pt idx="9">
                  <c:v>3.082627977272584E-2</c:v>
                </c:pt>
                <c:pt idx="10">
                  <c:v>4.1049250399132729E-2</c:v>
                </c:pt>
                <c:pt idx="11">
                  <c:v>5.2781501534655481E-2</c:v>
                </c:pt>
                <c:pt idx="12">
                  <c:v>6.6019745405710428E-2</c:v>
                </c:pt>
                <c:pt idx="13">
                  <c:v>8.0760677706999101E-2</c:v>
                </c:pt>
                <c:pt idx="14">
                  <c:v>9.700097766668575E-2</c:v>
                </c:pt>
                <c:pt idx="15">
                  <c:v>0.11473730811220614</c:v>
                </c:pt>
                <c:pt idx="16">
                  <c:v>0.13396631553670219</c:v>
                </c:pt>
                <c:pt idx="17">
                  <c:v>0.15468463016607675</c:v>
                </c:pt>
                <c:pt idx="18">
                  <c:v>0.17688886602666326</c:v>
                </c:pt>
                <c:pt idx="19">
                  <c:v>0.20057562101350412</c:v>
                </c:pt>
                <c:pt idx="20">
                  <c:v>0.22574147695923269</c:v>
                </c:pt>
                <c:pt idx="21">
                  <c:v>0.25238299970355249</c:v>
                </c:pt>
                <c:pt idx="22">
                  <c:v>0.28049673916330847</c:v>
                </c:pt>
                <c:pt idx="23">
                  <c:v>0.31007922940314386</c:v>
                </c:pt>
                <c:pt idx="24">
                  <c:v>0.3411269887067373</c:v>
                </c:pt>
                <c:pt idx="25">
                  <c:v>0.37363651964861377</c:v>
                </c:pt>
                <c:pt idx="26">
                  <c:v>0.40760430916652352</c:v>
                </c:pt>
                <c:pt idx="27">
                  <c:v>0.44302682863438309</c:v>
                </c:pt>
                <c:pt idx="28">
                  <c:v>0.47990053393577226</c:v>
                </c:pt>
                <c:pt idx="29">
                  <c:v>0.51822186553798055</c:v>
                </c:pt>
                <c:pt idx="30">
                  <c:v>0.55798724856659732</c:v>
                </c:pt>
                <c:pt idx="31">
                  <c:v>0.59919309288063916</c:v>
                </c:pt>
                <c:pt idx="32">
                  <c:v>0.64183579314820871</c:v>
                </c:pt>
                <c:pt idx="33">
                  <c:v>0.6859117289226776</c:v>
                </c:pt>
                <c:pt idx="34">
                  <c:v>0.73141726471938817</c:v>
                </c:pt>
                <c:pt idx="35">
                  <c:v>0.77843266925878396</c:v>
                </c:pt>
                <c:pt idx="36">
                  <c:v>0.82704095029884483</c:v>
                </c:pt>
                <c:pt idx="37">
                  <c:v>0.8772438930036065</c:v>
                </c:pt>
                <c:pt idx="38">
                  <c:v>0.92904314516550623</c:v>
                </c:pt>
                <c:pt idx="39">
                  <c:v>0.98244018376617093</c:v>
                </c:pt>
                <c:pt idx="40">
                  <c:v>1.0374363228148733</c:v>
                </c:pt>
                <c:pt idx="41">
                  <c:v>1.0940327205805269</c:v>
                </c:pt>
                <c:pt idx="42">
                  <c:v>1.1522303862796415</c:v>
                </c:pt>
                <c:pt idx="43">
                  <c:v>1.2120301862747833</c:v>
                </c:pt>
                <c:pt idx="44">
                  <c:v>1.2734328498313874</c:v>
                </c:pt>
                <c:pt idx="45">
                  <c:v>1.3364389744750265</c:v>
                </c:pt>
                <c:pt idx="46">
                  <c:v>1.4010490309863188</c:v>
                </c:pt>
                <c:pt idx="47">
                  <c:v>1.4672633680664062</c:v>
                </c:pt>
                <c:pt idx="48">
                  <c:v>1.5350822167022589</c:v>
                </c:pt>
                <c:pt idx="49">
                  <c:v>1.6045056942578702</c:v>
                </c:pt>
                <c:pt idx="50">
                  <c:v>1.675533808314623</c:v>
                </c:pt>
                <c:pt idx="51">
                  <c:v>1.7481669328704317</c:v>
                </c:pt>
                <c:pt idx="52">
                  <c:v>1.8224062883680805</c:v>
                </c:pt>
                <c:pt idx="53">
                  <c:v>1.8982534775792201</c:v>
                </c:pt>
                <c:pt idx="54">
                  <c:v>1.9757100171003883</c:v>
                </c:pt>
                <c:pt idx="55">
                  <c:v>2.0547773398858675</c:v>
                </c:pt>
                <c:pt idx="56">
                  <c:v>2.1354567976455905</c:v>
                </c:pt>
                <c:pt idx="57">
                  <c:v>2.21774966311781</c:v>
                </c:pt>
                <c:pt idx="58">
                  <c:v>2.3016571322253947</c:v>
                </c:pt>
                <c:pt idx="59">
                  <c:v>2.3871803261238385</c:v>
                </c:pt>
                <c:pt idx="60">
                  <c:v>2.4743202931483812</c:v>
                </c:pt>
                <c:pt idx="61">
                  <c:v>2.5630780106670112</c:v>
                </c:pt>
                <c:pt idx="62">
                  <c:v>2.6534543868455716</c:v>
                </c:pt>
                <c:pt idx="63">
                  <c:v>2.7454502623306709</c:v>
                </c:pt>
                <c:pt idx="64">
                  <c:v>2.839066411855661</c:v>
                </c:pt>
                <c:pt idx="65">
                  <c:v>2.9343035457745152</c:v>
                </c:pt>
                <c:pt idx="66">
                  <c:v>3.0311623115280764</c:v>
                </c:pt>
                <c:pt idx="67">
                  <c:v>3.1296432950467965</c:v>
                </c:pt>
                <c:pt idx="68">
                  <c:v>3.2297470220937883</c:v>
                </c:pt>
                <c:pt idx="69">
                  <c:v>3.331473959551718</c:v>
                </c:pt>
                <c:pt idx="70">
                  <c:v>3.4348245166568177</c:v>
                </c:pt>
                <c:pt idx="71">
                  <c:v>3.5397990461830582</c:v>
                </c:pt>
                <c:pt idx="72">
                  <c:v>3.64639784557931</c:v>
                </c:pt>
                <c:pt idx="73">
                  <c:v>3.7546211580621183</c:v>
                </c:pt>
                <c:pt idx="74">
                  <c:v>3.8644691736665426</c:v>
                </c:pt>
                <c:pt idx="75">
                  <c:v>3.9759420302573454</c:v>
                </c:pt>
                <c:pt idx="76">
                  <c:v>4.0890398145026534</c:v>
                </c:pt>
                <c:pt idx="77">
                  <c:v>4.2037625628120896</c:v>
                </c:pt>
                <c:pt idx="78">
                  <c:v>4.3201102622412266</c:v>
                </c:pt>
                <c:pt idx="79">
                  <c:v>4.4380828513641077</c:v>
                </c:pt>
                <c:pt idx="80">
                  <c:v>4.5576802211154659</c:v>
                </c:pt>
                <c:pt idx="81">
                  <c:v>4.6789022156041593</c:v>
                </c:pt>
                <c:pt idx="82">
                  <c:v>4.8017486328992707</c:v>
                </c:pt>
                <c:pt idx="83">
                  <c:v>4.9262192257902058</c:v>
                </c:pt>
                <c:pt idx="84">
                  <c:v>5.0523137025220572</c:v>
                </c:pt>
                <c:pt idx="85">
                  <c:v>5.1800317275074264</c:v>
                </c:pt>
                <c:pt idx="86">
                  <c:v>5.3093729220158155</c:v>
                </c:pt>
                <c:pt idx="87">
                  <c:v>5.4403368648416519</c:v>
                </c:pt>
                <c:pt idx="88">
                  <c:v>5.5729230929519336</c:v>
                </c:pt>
                <c:pt idx="89">
                  <c:v>5.7071311021144284</c:v>
                </c:pt>
                <c:pt idx="90">
                  <c:v>5.8429603475073169</c:v>
                </c:pt>
                <c:pt idx="91">
                  <c:v>5.9804102443111127</c:v>
                </c:pt>
                <c:pt idx="92">
                  <c:v>6.1194801682836433</c:v>
                </c:pt>
                <c:pt idx="93">
                  <c:v>6.2601694563188452</c:v>
                </c:pt>
                <c:pt idx="94">
                  <c:v>6.4024774069900721</c:v>
                </c:pt>
                <c:pt idx="95">
                  <c:v>6.5464032810785859</c:v>
                </c:pt>
                <c:pt idx="96">
                  <c:v>6.6919463020878691</c:v>
                </c:pt>
                <c:pt idx="97">
                  <c:v>6.8391056567443425</c:v>
                </c:pt>
                <c:pt idx="98">
                  <c:v>6.9878804954850784</c:v>
                </c:pt>
                <c:pt idx="99">
                  <c:v>7.1382699329330297</c:v>
                </c:pt>
                <c:pt idx="100">
                  <c:v>7.2902730483602944</c:v>
                </c:pt>
                <c:pt idx="101">
                  <c:v>7.4438886490802423</c:v>
                </c:pt>
                <c:pt idx="102">
                  <c:v>7.5991150327274095</c:v>
                </c:pt>
                <c:pt idx="103">
                  <c:v>7.7559502233513431</c:v>
                </c:pt>
                <c:pt idx="104">
                  <c:v>7.9143922086313232</c:v>
                </c:pt>
                <c:pt idx="105">
                  <c:v>8.0744389403456474</c:v>
                </c:pt>
                <c:pt idx="106">
                  <c:v>8.2360883348303133</c:v>
                </c:pt>
                <c:pt idx="107">
                  <c:v>8.3993382734274942</c:v>
                </c:pt>
                <c:pt idx="108">
                  <c:v>8.5641866029242113</c:v>
                </c:pt>
                <c:pt idx="109">
                  <c:v>8.7306311359815734</c:v>
                </c:pt>
                <c:pt idx="110">
                  <c:v>8.8986696515549486</c:v>
                </c:pt>
                <c:pt idx="111">
                  <c:v>9.0682998953053922</c:v>
                </c:pt>
                <c:pt idx="112">
                  <c:v>9.2395195800026695</c:v>
                </c:pt>
                <c:pt idx="113">
                  <c:v>9.4123263859201778</c:v>
                </c:pt>
                <c:pt idx="114">
                  <c:v>9.5867179612220603</c:v>
                </c:pt>
                <c:pt idx="115">
                  <c:v>9.7626919223427908</c:v>
                </c:pt>
                <c:pt idx="116">
                  <c:v>9.9402458543595085</c:v>
                </c:pt>
                <c:pt idx="117">
                  <c:v>10.119377311357351</c:v>
                </c:pt>
                <c:pt idx="118">
                  <c:v>10.300083816788026</c:v>
                </c:pt>
                <c:pt idx="119">
                  <c:v>10.482362863821875</c:v>
                </c:pt>
                <c:pt idx="120">
                  <c:v>10.666211915693626</c:v>
                </c:pt>
                <c:pt idx="121">
                  <c:v>10.851628406042078</c:v>
                </c:pt>
                <c:pt idx="122">
                  <c:v>11.038609739243897</c:v>
                </c:pt>
                <c:pt idx="123">
                  <c:v>11.22715329074174</c:v>
                </c:pt>
                <c:pt idx="124">
                  <c:v>11.417256407366876</c:v>
                </c:pt>
                <c:pt idx="125">
                  <c:v>11.608916407656512</c:v>
                </c:pt>
                <c:pt idx="126">
                  <c:v>11.802130582165953</c:v>
                </c:pt>
                <c:pt idx="127">
                  <c:v>11.996896193775813</c:v>
                </c:pt>
                <c:pt idx="128">
                  <c:v>12.193210477994391</c:v>
                </c:pt>
                <c:pt idx="129">
                  <c:v>12.391070643255388</c:v>
                </c:pt>
                <c:pt idx="130">
                  <c:v>12.590473871211106</c:v>
                </c:pt>
                <c:pt idx="131">
                  <c:v>12.791417317021265</c:v>
                </c:pt>
                <c:pt idx="132">
                  <c:v>12.993898109637579</c:v>
                </c:pt>
                <c:pt idx="133">
                  <c:v>13.197913352084205</c:v>
                </c:pt>
                <c:pt idx="134">
                  <c:v>13.403460121734211</c:v>
                </c:pt>
                <c:pt idx="135">
                  <c:v>13.610535470582162</c:v>
                </c:pt>
                <c:pt idx="136">
                  <c:v>13.819136425512948</c:v>
                </c:pt>
                <c:pt idx="137">
                  <c:v>14.029259988566956</c:v>
                </c:pt>
                <c:pt idx="138">
                  <c:v>14.240903137201705</c:v>
                </c:pt>
                <c:pt idx="139">
                  <c:v>14.454062824550032</c:v>
                </c:pt>
                <c:pt idx="140">
                  <c:v>14.668735979674922</c:v>
                </c:pt>
                <c:pt idx="141">
                  <c:v>14.884919507821104</c:v>
                </c:pt>
                <c:pt idx="142">
                  <c:v>15.10261029066346</c:v>
                </c:pt>
                <c:pt idx="143">
                  <c:v>15.321805186552375</c:v>
                </c:pt>
                <c:pt idx="144">
                  <c:v>15.542501030756084</c:v>
                </c:pt>
                <c:pt idx="145">
                  <c:v>15.764694635700103</c:v>
                </c:pt>
                <c:pt idx="146">
                  <c:v>15.988382791203835</c:v>
                </c:pt>
                <c:pt idx="147">
                  <c:v>16.213562264714398</c:v>
                </c:pt>
                <c:pt idx="148">
                  <c:v>16.440229801537775</c:v>
                </c:pt>
                <c:pt idx="149">
                  <c:v>16.668382125067332</c:v>
                </c:pt>
                <c:pt idx="150">
                  <c:v>16.898015937009784</c:v>
                </c:pt>
                <c:pt idx="151">
                  <c:v>17.129128002472985</c:v>
                </c:pt>
                <c:pt idx="152">
                  <c:v>17.361715235309923</c:v>
                </c:pt>
                <c:pt idx="153">
                  <c:v>17.595774613774292</c:v>
                </c:pt>
                <c:pt idx="154">
                  <c:v>17.831303095908385</c:v>
                </c:pt>
                <c:pt idx="155">
                  <c:v>18.068297619743902</c:v>
                </c:pt>
                <c:pt idx="156">
                  <c:v>18.306755103500731</c:v>
                </c:pt>
                <c:pt idx="157">
                  <c:v>18.546672445783713</c:v>
                </c:pt>
                <c:pt idx="158">
                  <c:v>18.788046525777471</c:v>
                </c:pt>
                <c:pt idx="159">
                  <c:v>19.030874203439311</c:v>
                </c:pt>
                <c:pt idx="160">
                  <c:v>19.275152319690271</c:v>
                </c:pt>
                <c:pt idx="161">
                  <c:v>19.520877696604334</c:v>
                </c:pt>
                <c:pt idx="162">
                  <c:v>19.768047137595875</c:v>
                </c:pt>
                <c:pt idx="163">
                  <c:v>20.016657427605342</c:v>
                </c:pt>
                <c:pt idx="164">
                  <c:v>20.266705333283245</c:v>
                </c:pt>
                <c:pt idx="165">
                  <c:v>20.518187603172475</c:v>
                </c:pt>
                <c:pt idx="166">
                  <c:v>20.771100967888966</c:v>
                </c:pt>
                <c:pt idx="167">
                  <c:v>21.025442140300786</c:v>
                </c:pt>
                <c:pt idx="168">
                  <c:v>21.281207815705635</c:v>
                </c:pt>
                <c:pt idx="169">
                  <c:v>21.53839467200681</c:v>
                </c:pt>
                <c:pt idx="170">
                  <c:v>21.796999369887665</c:v>
                </c:pt>
                <c:pt idx="171">
                  <c:v>22.057018552984601</c:v>
                </c:pt>
                <c:pt idx="172">
                  <c:v>22.318448848058594</c:v>
                </c:pt>
                <c:pt idx="173">
                  <c:v>22.581286865165296</c:v>
                </c:pt>
                <c:pt idx="174">
                  <c:v>22.845529197823769</c:v>
                </c:pt>
                <c:pt idx="175">
                  <c:v>23.111172423183817</c:v>
                </c:pt>
                <c:pt idx="176">
                  <c:v>23.378213102191989</c:v>
                </c:pt>
                <c:pt idx="177">
                  <c:v>23.646647779756265</c:v>
                </c:pt>
                <c:pt idx="178">
                  <c:v>23.916472984909436</c:v>
                </c:pt>
                <c:pt idx="179">
                  <c:v>24.187685230971216</c:v>
                </c:pt>
                <c:pt idx="180">
                  <c:v>24.460281015709089</c:v>
                </c:pt>
                <c:pt idx="181">
                  <c:v>24.734256821497944</c:v>
                </c:pt>
                <c:pt idx="182">
                  <c:v>25.009609115478476</c:v>
                </c:pt>
                <c:pt idx="183">
                  <c:v>25.286334349714423</c:v>
                </c:pt>
                <c:pt idx="184">
                  <c:v>25.564428961348593</c:v>
                </c:pt>
                <c:pt idx="185">
                  <c:v>25.843889372757772</c:v>
                </c:pt>
                <c:pt idx="186">
                  <c:v>26.124711991706473</c:v>
                </c:pt>
                <c:pt idx="187">
                  <c:v>26.406893211499582</c:v>
                </c:pt>
                <c:pt idx="188">
                  <c:v>26.690429411133888</c:v>
                </c:pt>
                <c:pt idx="189">
                  <c:v>26.975316955448523</c:v>
                </c:pt>
                <c:pt idx="190">
                  <c:v>27.261552195274358</c:v>
                </c:pt>
                <c:pt idx="191">
                  <c:v>27.549131467582313</c:v>
                </c:pt>
                <c:pt idx="192">
                  <c:v>27.83805109563064</c:v>
                </c:pt>
                <c:pt idx="193">
                  <c:v>28.128307389111182</c:v>
                </c:pt>
                <c:pt idx="194">
                  <c:v>28.419896644294614</c:v>
                </c:pt>
                <c:pt idx="195">
                  <c:v>28.712815144174684</c:v>
                </c:pt>
                <c:pt idx="196">
                  <c:v>29.007059158611465</c:v>
                </c:pt>
                <c:pt idx="197">
                  <c:v>29.302624944473646</c:v>
                </c:pt>
                <c:pt idx="198">
                  <c:v>29.59950874577984</c:v>
                </c:pt>
                <c:pt idx="199">
                  <c:v>29.897706793838964</c:v>
                </c:pt>
                <c:pt idx="200">
                  <c:v>30.197215307389662</c:v>
                </c:pt>
                <c:pt idx="201">
                  <c:v>30.498030492738806</c:v>
                </c:pt>
                <c:pt idx="202">
                  <c:v>30.800148543899077</c:v>
                </c:pt>
                <c:pt idx="203">
                  <c:v>31.103565642725655</c:v>
                </c:pt>
                <c:pt idx="204">
                  <c:v>31.408277959051979</c:v>
                </c:pt>
                <c:pt idx="205">
                  <c:v>31.714281650824656</c:v>
                </c:pt>
                <c:pt idx="206">
                  <c:v>32.021572864237463</c:v>
                </c:pt>
                <c:pt idx="207">
                  <c:v>32.330147733864493</c:v>
                </c:pt>
                <c:pt idx="208">
                  <c:v>32.640002382792439</c:v>
                </c:pt>
                <c:pt idx="209">
                  <c:v>32.951132922752024</c:v>
                </c:pt>
                <c:pt idx="210">
                  <c:v>33.263535454248604</c:v>
                </c:pt>
                <c:pt idx="211">
                  <c:v>33.577206066691893</c:v>
                </c:pt>
                <c:pt idx="212">
                  <c:v>33.892140838524902</c:v>
                </c:pt>
                <c:pt idx="213">
                  <c:v>34.208335837352053</c:v>
                </c:pt>
                <c:pt idx="214">
                  <c:v>34.52578712006644</c:v>
                </c:pt>
                <c:pt idx="215">
                  <c:v>34.844490732976347</c:v>
                </c:pt>
                <c:pt idx="216">
                  <c:v>35.16444271193091</c:v>
                </c:pt>
                <c:pt idx="217">
                  <c:v>35.485639082445019</c:v>
                </c:pt>
                <c:pt idx="218">
                  <c:v>35.808075859823418</c:v>
                </c:pt>
                <c:pt idx="219">
                  <c:v>36.131749049284039</c:v>
                </c:pt>
                <c:pt idx="220">
                  <c:v>36.456654646080544</c:v>
                </c:pt>
                <c:pt idx="221">
                  <c:v>36.782788635624122</c:v>
                </c:pt>
                <c:pt idx="222">
                  <c:v>37.110146993604495</c:v>
                </c:pt>
                <c:pt idx="223">
                  <c:v>37.438725686110189</c:v>
                </c:pt>
                <c:pt idx="224">
                  <c:v>37.768520669748064</c:v>
                </c:pt>
                <c:pt idx="225">
                  <c:v>38.099527891762051</c:v>
                </c:pt>
                <c:pt idx="226">
                  <c:v>38.431743290151196</c:v>
                </c:pt>
                <c:pt idx="227">
                  <c:v>38.765162793786956</c:v>
                </c:pt>
                <c:pt idx="228">
                  <c:v>39.099782322529741</c:v>
                </c:pt>
                <c:pt idx="229">
                  <c:v>39.435597787344747</c:v>
                </c:pt>
                <c:pt idx="230">
                  <c:v>39.772605090417073</c:v>
                </c:pt>
                <c:pt idx="231">
                  <c:v>40.11080012526611</c:v>
                </c:pt>
                <c:pt idx="232">
                  <c:v>40.450178776859204</c:v>
                </c:pt>
                <c:pt idx="233">
                  <c:v>40.790736921724637</c:v>
                </c:pt>
                <c:pt idx="234">
                  <c:v>41.13247042806389</c:v>
                </c:pt>
                <c:pt idx="235">
                  <c:v>41.475375155863183</c:v>
                </c:pt>
                <c:pt idx="236">
                  <c:v>41.819446957004359</c:v>
                </c:pt>
                <c:pt idx="237">
                  <c:v>42.164681675375036</c:v>
                </c:pt>
                <c:pt idx="238">
                  <c:v>42.511075146978087</c:v>
                </c:pt>
                <c:pt idx="239">
                  <c:v>42.858623200040427</c:v>
                </c:pt>
                <c:pt idx="240">
                  <c:v>43.207321655121113</c:v>
                </c:pt>
                <c:pt idx="241">
                  <c:v>43.55716632521878</c:v>
                </c:pt>
                <c:pt idx="242">
                  <c:v>43.908153015878383</c:v>
                </c:pt>
                <c:pt idx="243">
                  <c:v>44.260277525297255</c:v>
                </c:pt>
                <c:pt idx="244">
                  <c:v>44.61353564443052</c:v>
                </c:pt>
                <c:pt idx="245">
                  <c:v>44.967923157095825</c:v>
                </c:pt>
                <c:pt idx="246">
                  <c:v>45.323435840077408</c:v>
                </c:pt>
                <c:pt idx="247">
                  <c:v>45.680069463229493</c:v>
                </c:pt>
                <c:pt idx="248">
                  <c:v>46.037819789579046</c:v>
                </c:pt>
                <c:pt idx="249">
                  <c:v>46.396682575427853</c:v>
                </c:pt>
                <c:pt idx="250">
                  <c:v>46.756653570453956</c:v>
                </c:pt>
                <c:pt idx="251">
                  <c:v>47.117728125659305</c:v>
                </c:pt>
                <c:pt idx="252">
                  <c:v>47.479900800768405</c:v>
                </c:pt>
                <c:pt idx="253">
                  <c:v>47.843165756102188</c:v>
                </c:pt>
                <c:pt idx="254">
                  <c:v>48.207517145017661</c:v>
                </c:pt>
                <c:pt idx="255">
                  <c:v>48.57294911404221</c:v>
                </c:pt>
                <c:pt idx="256">
                  <c:v>48.939455803006794</c:v>
                </c:pt>
                <c:pt idx="257">
                  <c:v>49.307031345178153</c:v>
                </c:pt>
                <c:pt idx="258">
                  <c:v>49.675669867389949</c:v>
                </c:pt>
                <c:pt idx="259">
                  <c:v>50.04536549017287</c:v>
                </c:pt>
                <c:pt idx="260">
                  <c:v>50.416112327883724</c:v>
                </c:pt>
                <c:pt idx="261">
                  <c:v>50.78790448883349</c:v>
                </c:pt>
                <c:pt idx="262">
                  <c:v>51.160736075414356</c:v>
                </c:pt>
                <c:pt idx="263">
                  <c:v>51.534601184225721</c:v>
                </c:pt>
                <c:pt idx="264">
                  <c:v>51.909493906199216</c:v>
                </c:pt>
                <c:pt idx="265">
                  <c:v>52.285408326722674</c:v>
                </c:pt>
                <c:pt idx="266">
                  <c:v>52.662338525763097</c:v>
                </c:pt>
                <c:pt idx="267">
                  <c:v>53.040278577988637</c:v>
                </c:pt>
                <c:pt idx="268">
                  <c:v>53.419222552889565</c:v>
                </c:pt>
                <c:pt idx="269">
                  <c:v>53.79916451489823</c:v>
                </c:pt>
                <c:pt idx="270">
                  <c:v>54.180098523508036</c:v>
                </c:pt>
                <c:pt idx="271">
                  <c:v>54.562018633391403</c:v>
                </c:pt>
                <c:pt idx="272">
                  <c:v>54.944918894516775</c:v>
                </c:pt>
                <c:pt idx="273">
                  <c:v>55.32879335226459</c:v>
                </c:pt>
                <c:pt idx="274">
                  <c:v>55.713636047542316</c:v>
                </c:pt>
                <c:pt idx="275">
                  <c:v>56.099441016898467</c:v>
                </c:pt>
                <c:pt idx="276">
                  <c:v>56.486202292635667</c:v>
                </c:pt>
                <c:pt idx="277">
                  <c:v>56.873913902922716</c:v>
                </c:pt>
                <c:pt idx="278">
                  <c:v>57.262569871905697</c:v>
                </c:pt>
                <c:pt idx="279">
                  <c:v>57.652164219818111</c:v>
                </c:pt>
                <c:pt idx="280">
                  <c:v>58.042690963090045</c:v>
                </c:pt>
                <c:pt idx="281">
                  <c:v>58.434144114456359</c:v>
                </c:pt>
                <c:pt idx="282">
                  <c:v>58.826517683063948</c:v>
                </c:pt>
                <c:pt idx="283">
                  <c:v>59.219805674577998</c:v>
                </c:pt>
                <c:pt idx="284">
                  <c:v>59.614002091287325</c:v>
                </c:pt>
                <c:pt idx="285">
                  <c:v>60.009100932208746</c:v>
                </c:pt>
                <c:pt idx="286">
                  <c:v>60.405096193190488</c:v>
                </c:pt>
                <c:pt idx="287">
                  <c:v>60.801981867014668</c:v>
                </c:pt>
                <c:pt idx="288">
                  <c:v>61.199751943498825</c:v>
                </c:pt>
                <c:pt idx="289">
                  <c:v>61.598400409596486</c:v>
                </c:pt>
                <c:pt idx="290">
                  <c:v>61.997921249496834</c:v>
                </c:pt>
                <c:pt idx="291">
                  <c:v>62.398308444723384</c:v>
                </c:pt>
                <c:pt idx="292">
                  <c:v>62.799555974231772</c:v>
                </c:pt>
                <c:pt idx="293">
                  <c:v>63.201657814506611</c:v>
                </c:pt>
                <c:pt idx="294">
                  <c:v>63.604607939657363</c:v>
                </c:pt>
                <c:pt idx="295">
                  <c:v>64.008400321513363</c:v>
                </c:pt>
                <c:pt idx="296">
                  <c:v>64.413028929717839</c:v>
                </c:pt>
                <c:pt idx="297">
                  <c:v>64.818487731821094</c:v>
                </c:pt>
                <c:pt idx="298">
                  <c:v>65.224766277288225</c:v>
                </c:pt>
                <c:pt idx="299">
                  <c:v>65.631845277816552</c:v>
                </c:pt>
                <c:pt idx="300">
                  <c:v>66.039701023267682</c:v>
                </c:pt>
                <c:pt idx="301">
                  <c:v>66.448309801540574</c:v>
                </c:pt>
                <c:pt idx="302">
                  <c:v>66.857647899159971</c:v>
                </c:pt>
                <c:pt idx="303">
                  <c:v>67.267691601853556</c:v>
                </c:pt>
                <c:pt idx="304">
                  <c:v>67.678417195118143</c:v>
                </c:pt>
                <c:pt idx="305">
                  <c:v>68.089800964774682</c:v>
                </c:pt>
                <c:pt idx="306">
                  <c:v>68.501819197512262</c:v>
                </c:pt>
                <c:pt idx="307">
                  <c:v>68.914448181421065</c:v>
                </c:pt>
                <c:pt idx="308">
                  <c:v>69.327664206514314</c:v>
                </c:pt>
                <c:pt idx="309">
                  <c:v>69.741443565239251</c:v>
                </c:pt>
                <c:pt idx="310">
                  <c:v>70.155762552977208</c:v>
                </c:pt>
                <c:pt idx="311">
                  <c:v>70.570597468532711</c:v>
                </c:pt>
                <c:pt idx="312">
                  <c:v>70.985924614611733</c:v>
                </c:pt>
                <c:pt idx="313">
                  <c:v>71.401720298289035</c:v>
                </c:pt>
                <c:pt idx="314">
                  <c:v>71.817960831464745</c:v>
                </c:pt>
                <c:pt idx="315">
                  <c:v>72.23462253131008</c:v>
                </c:pt>
                <c:pt idx="316">
                  <c:v>72.651681720702314</c:v>
                </c:pt>
                <c:pt idx="317">
                  <c:v>73.069114728648998</c:v>
                </c:pt>
                <c:pt idx="318">
                  <c:v>73.486897890701414</c:v>
                </c:pt>
                <c:pt idx="319">
                  <c:v>73.905007549357421</c:v>
                </c:pt>
                <c:pt idx="320">
                  <c:v>74.32342005445355</c:v>
                </c:pt>
                <c:pt idx="321">
                  <c:v>74.74211354085466</c:v>
                </c:pt>
                <c:pt idx="322">
                  <c:v>75.16106970666003</c:v>
                </c:pt>
                <c:pt idx="323">
                  <c:v>75.580272034904596</c:v>
                </c:pt>
                <c:pt idx="324">
                  <c:v>75.999704014634574</c:v>
                </c:pt>
                <c:pt idx="325">
                  <c:v>76.419349141073226</c:v>
                </c:pt>
                <c:pt idx="326">
                  <c:v>76.83919091578143</c:v>
                </c:pt>
                <c:pt idx="327">
                  <c:v>77.259212846813199</c:v>
                </c:pt>
                <c:pt idx="328">
                  <c:v>77.679398448865996</c:v>
                </c:pt>
                <c:pt idx="329">
                  <c:v>78.099731243425978</c:v>
                </c:pt>
                <c:pt idx="330">
                  <c:v>78.520194758908204</c:v>
                </c:pt>
                <c:pt idx="331">
                  <c:v>78.940772530791648</c:v>
                </c:pt>
                <c:pt idx="332">
                  <c:v>79.361448101749261</c:v>
                </c:pt>
                <c:pt idx="333">
                  <c:v>79.782205021772924</c:v>
                </c:pt>
                <c:pt idx="334">
                  <c:v>80.203026848293433</c:v>
                </c:pt>
                <c:pt idx="335">
                  <c:v>80.623897146295405</c:v>
                </c:pt>
                <c:pt idx="336">
                  <c:v>81.044799488427216</c:v>
                </c:pt>
                <c:pt idx="337">
                  <c:v>81.46571745510596</c:v>
                </c:pt>
                <c:pt idx="338">
                  <c:v>81.886634634617451</c:v>
                </c:pt>
                <c:pt idx="339">
                  <c:v>82.307534623211197</c:v>
                </c:pt>
                <c:pt idx="340">
                  <c:v>82.728401025190536</c:v>
                </c:pt>
                <c:pt idx="341">
                  <c:v>83.149217452997746</c:v>
                </c:pt>
                <c:pt idx="342">
                  <c:v>83.569967527294324</c:v>
                </c:pt>
                <c:pt idx="343">
                  <c:v>83.9906348770363</c:v>
                </c:pt>
                <c:pt idx="344">
                  <c:v>84.411203139544682</c:v>
                </c:pt>
                <c:pt idx="345">
                  <c:v>84.831655960571055</c:v>
                </c:pt>
                <c:pt idx="346">
                  <c:v>85.251976994358259</c:v>
                </c:pt>
                <c:pt idx="347">
                  <c:v>85.672149903696265</c:v>
                </c:pt>
                <c:pt idx="348">
                  <c:v>86.09215855437246</c:v>
                </c:pt>
                <c:pt idx="349">
                  <c:v>86.511987209609401</c:v>
                </c:pt>
                <c:pt idx="350">
                  <c:v>86.931620335466746</c:v>
                </c:pt>
                <c:pt idx="351">
                  <c:v>87.351042406241689</c:v>
                </c:pt>
                <c:pt idx="352">
                  <c:v>87.770237904492021</c:v>
                </c:pt>
                <c:pt idx="353">
                  <c:v>88.189191321054892</c:v>
                </c:pt>
                <c:pt idx="354">
                  <c:v>88.607887155061263</c:v>
                </c:pt>
                <c:pt idx="355">
                  <c:v>89.026309913946022</c:v>
                </c:pt>
                <c:pt idx="356">
                  <c:v>89.444444113453827</c:v>
                </c:pt>
                <c:pt idx="357">
                  <c:v>89.862274277640623</c:v>
                </c:pt>
                <c:pt idx="358">
                  <c:v>90.279784938870876</c:v>
                </c:pt>
                <c:pt idx="359">
                  <c:v>90.696960637810548</c:v>
                </c:pt>
                <c:pt idx="360">
                  <c:v>91.113789992473258</c:v>
                </c:pt>
                <c:pt idx="361">
                  <c:v>91.530269766707761</c:v>
                </c:pt>
                <c:pt idx="362">
                  <c:v>91.946400795630794</c:v>
                </c:pt>
                <c:pt idx="363">
                  <c:v>92.362183911629245</c:v>
                </c:pt>
                <c:pt idx="364">
                  <c:v>92.777619944372461</c:v>
                </c:pt>
                <c:pt idx="365">
                  <c:v>93.192709720824425</c:v>
                </c:pt>
                <c:pt idx="366">
                  <c:v>93.60745406525588</c:v>
                </c:pt>
                <c:pt idx="367">
                  <c:v>94.021853799256434</c:v>
                </c:pt>
                <c:pt idx="368">
                  <c:v>94.435909741746499</c:v>
                </c:pt>
                <c:pt idx="369">
                  <c:v>94.849622708989287</c:v>
                </c:pt>
                <c:pt idx="370">
                  <c:v>95.262993514602599</c:v>
                </c:pt>
                <c:pt idx="371">
                  <c:v>95.676022969570667</c:v>
                </c:pt>
                <c:pt idx="372">
                  <c:v>96.088711882255893</c:v>
                </c:pt>
                <c:pt idx="373">
                  <c:v>96.5010610584105</c:v>
                </c:pt>
                <c:pt idx="374">
                  <c:v>96.913071301188097</c:v>
                </c:pt>
                <c:pt idx="375">
                  <c:v>97.324743411155268</c:v>
                </c:pt>
                <c:pt idx="376">
                  <c:v>97.736078186303033</c:v>
                </c:pt>
                <c:pt idx="377">
                  <c:v>98.14707642205822</c:v>
                </c:pt>
                <c:pt idx="378">
                  <c:v>98.557738911294862</c:v>
                </c:pt>
                <c:pt idx="379">
                  <c:v>98.968066444345439</c:v>
                </c:pt>
                <c:pt idx="380">
                  <c:v>99.378059809012115</c:v>
                </c:pt>
                <c:pt idx="381">
                  <c:v>99.787719790577881</c:v>
                </c:pt>
                <c:pt idx="382">
                  <c:v>100.19704717181769</c:v>
                </c:pt>
                <c:pt idx="383">
                  <c:v>100.60604273300943</c:v>
                </c:pt>
                <c:pt idx="384">
                  <c:v>101.01470725194497</c:v>
                </c:pt>
                <c:pt idx="385">
                  <c:v>101.42304150394101</c:v>
                </c:pt>
                <c:pt idx="386">
                  <c:v>101.83104626184996</c:v>
                </c:pt>
                <c:pt idx="387">
                  <c:v>102.23872229607078</c:v>
                </c:pt>
                <c:pt idx="388">
                  <c:v>102.64607037455961</c:v>
                </c:pt>
                <c:pt idx="389">
                  <c:v>103.05309126284058</c:v>
                </c:pt>
                <c:pt idx="390">
                  <c:v>103.4597857240163</c:v>
                </c:pt>
                <c:pt idx="391">
                  <c:v>103.86615451877852</c:v>
                </c:pt>
                <c:pt idx="392">
                  <c:v>104.27219840541855</c:v>
                </c:pt>
                <c:pt idx="393">
                  <c:v>104.67791813983779</c:v>
                </c:pt>
                <c:pt idx="394">
                  <c:v>105.08331447555804</c:v>
                </c:pt>
                <c:pt idx="395">
                  <c:v>105.48838816373191</c:v>
                </c:pt>
                <c:pt idx="396">
                  <c:v>105.89313995315302</c:v>
                </c:pt>
                <c:pt idx="397">
                  <c:v>106.29757059026628</c:v>
                </c:pt>
                <c:pt idx="398">
                  <c:v>106.70168081917801</c:v>
                </c:pt>
                <c:pt idx="399">
                  <c:v>107.10547138166609</c:v>
                </c:pt>
                <c:pt idx="400">
                  <c:v>107.50894301718999</c:v>
                </c:pt>
                <c:pt idx="401">
                  <c:v>111.5261754926936</c:v>
                </c:pt>
                <c:pt idx="402">
                  <c:v>115.51199042372903</c:v>
                </c:pt>
                <c:pt idx="403">
                  <c:v>119.46710589078182</c:v>
                </c:pt>
                <c:pt idx="404">
                  <c:v>123.39221805875471</c:v>
                </c:pt>
                <c:pt idx="405">
                  <c:v>127.28800209429365</c:v>
                </c:pt>
                <c:pt idx="406">
                  <c:v>131.1551130355156</c:v>
                </c:pt>
                <c:pt idx="407">
                  <c:v>134.99418661708708</c:v>
                </c:pt>
                <c:pt idx="408">
                  <c:v>138.80584005339043</c:v>
                </c:pt>
                <c:pt idx="409">
                  <c:v>142.59067278231973</c:v>
                </c:pt>
                <c:pt idx="410">
                  <c:v>146.34926717206977</c:v>
                </c:pt>
                <c:pt idx="411">
                  <c:v>150.08218919311611</c:v>
                </c:pt>
                <c:pt idx="412">
                  <c:v>153.78998905743285</c:v>
                </c:pt>
                <c:pt idx="413">
                  <c:v>157.4732018268551</c:v>
                </c:pt>
                <c:pt idx="414">
                  <c:v>161.13234799236358</c:v>
                </c:pt>
                <c:pt idx="415">
                  <c:v>164.7679340259499</c:v>
                </c:pt>
                <c:pt idx="416">
                  <c:v>168.38045290661125</c:v>
                </c:pt>
                <c:pt idx="417">
                  <c:v>171.97038462192083</c:v>
                </c:pt>
                <c:pt idx="418">
                  <c:v>175.53819664652647</c:v>
                </c:pt>
                <c:pt idx="419">
                  <c:v>179.08434439884272</c:v>
                </c:pt>
                <c:pt idx="420">
                  <c:v>182.60927167712023</c:v>
                </c:pt>
                <c:pt idx="421">
                  <c:v>186.11341107600188</c:v>
                </c:pt>
                <c:pt idx="422">
                  <c:v>189.5971843846047</c:v>
                </c:pt>
                <c:pt idx="423">
                  <c:v>193.06100296710235</c:v>
                </c:pt>
                <c:pt idx="424">
                  <c:v>196.50526812672263</c:v>
                </c:pt>
                <c:pt idx="425">
                  <c:v>199.93037145401831</c:v>
                </c:pt>
                <c:pt idx="426">
                  <c:v>203.33669516021754</c:v>
                </c:pt>
                <c:pt idx="427">
                  <c:v>206.7246123964114</c:v>
                </c:pt>
                <c:pt idx="428">
                  <c:v>210.09448755929108</c:v>
                </c:pt>
                <c:pt idx="429">
                  <c:v>213.44667658410458</c:v>
                </c:pt>
                <c:pt idx="430">
                  <c:v>216.78152722546346</c:v>
                </c:pt>
                <c:pt idx="431">
                  <c:v>220.09937932659352</c:v>
                </c:pt>
                <c:pt idx="432">
                  <c:v>223.40056507758831</c:v>
                </c:pt>
                <c:pt idx="433">
                  <c:v>226.68540926319264</c:v>
                </c:pt>
                <c:pt idx="434">
                  <c:v>229.95422950061263</c:v>
                </c:pt>
                <c:pt idx="435">
                  <c:v>233.2073364678208</c:v>
                </c:pt>
                <c:pt idx="436">
                  <c:v>236.44503412279801</c:v>
                </c:pt>
                <c:pt idx="437">
                  <c:v>239.66761991412915</c:v>
                </c:pt>
                <c:pt idx="438">
                  <c:v>242.87538498334629</c:v>
                </c:pt>
                <c:pt idx="439">
                  <c:v>246.06861435939064</c:v>
                </c:pt>
                <c:pt idx="440">
                  <c:v>249.2475871455444</c:v>
                </c:pt>
                <c:pt idx="441">
                  <c:v>252.41257669916396</c:v>
                </c:pt>
                <c:pt idx="442">
                  <c:v>255.56385080452742</c:v>
                </c:pt>
                <c:pt idx="443">
                  <c:v>258.70167183909234</c:v>
                </c:pt>
                <c:pt idx="444">
                  <c:v>261.82629693344336</c:v>
                </c:pt>
                <c:pt idx="445">
                  <c:v>264.93797812519335</c:v>
                </c:pt>
                <c:pt idx="446">
                  <c:v>268.03696250708845</c:v>
                </c:pt>
                <c:pt idx="447">
                  <c:v>271.12349236955157</c:v>
                </c:pt>
                <c:pt idx="448">
                  <c:v>274.19780533788821</c:v>
                </c:pt>
                <c:pt idx="449">
                  <c:v>277.2601345043638</c:v>
                </c:pt>
                <c:pt idx="450">
                  <c:v>280.3107085553516</c:v>
                </c:pt>
                <c:pt idx="451">
                  <c:v>283.34975189373836</c:v>
                </c:pt>
                <c:pt idx="452">
                  <c:v>286.37748475676364</c:v>
                </c:pt>
                <c:pt idx="453">
                  <c:v>289.39412332945994</c:v>
                </c:pt>
                <c:pt idx="454">
                  <c:v>292.39987985384937</c:v>
                </c:pt>
                <c:pt idx="455">
                  <c:v>295.39496273404433</c:v>
                </c:pt>
                <c:pt idx="456">
                  <c:v>298.37957663739047</c:v>
                </c:pt>
                <c:pt idx="457">
                  <c:v>301.35392259178099</c:v>
                </c:pt>
                <c:pt idx="458">
                  <c:v>304.31819807926388</c:v>
                </c:pt>
                <c:pt idx="459">
                  <c:v>307.27259712605445</c:v>
                </c:pt>
                <c:pt idx="460">
                  <c:v>310.21731038905915</c:v>
                </c:pt>
                <c:pt idx="461">
                  <c:v>313.15252523900745</c:v>
                </c:pt>
                <c:pt idx="462">
                  <c:v>316.07842584028231</c:v>
                </c:pt>
                <c:pt idx="463">
                  <c:v>318.99519322753207</c:v>
                </c:pt>
                <c:pt idx="464">
                  <c:v>321.9030053791389</c:v>
                </c:pt>
                <c:pt idx="465">
                  <c:v>324.8020372876129</c:v>
                </c:pt>
                <c:pt idx="466">
                  <c:v>327.69246102697309</c:v>
                </c:pt>
                <c:pt idx="467">
                  <c:v>330.57444581716987</c:v>
                </c:pt>
                <c:pt idx="468">
                  <c:v>333.44815808559684</c:v>
                </c:pt>
                <c:pt idx="469">
                  <c:v>336.31376152573222</c:v>
                </c:pt>
                <c:pt idx="470">
                  <c:v>339.17141715294434</c:v>
                </c:pt>
                <c:pt idx="471">
                  <c:v>342.02128335748711</c:v>
                </c:pt>
                <c:pt idx="472">
                  <c:v>344.86351595470541</c:v>
                </c:pt>
                <c:pt idx="473">
                  <c:v>347.69826823246308</c:v>
                </c:pt>
                <c:pt idx="474">
                  <c:v>350.52569099579762</c:v>
                </c:pt>
                <c:pt idx="475">
                  <c:v>353.34593260880018</c:v>
                </c:pt>
                <c:pt idx="476">
                  <c:v>356.15913903370966</c:v>
                </c:pt>
                <c:pt idx="477">
                  <c:v>358.96545386720317</c:v>
                </c:pt>
                <c:pt idx="478">
                  <c:v>361.76501837385695</c:v>
                </c:pt>
                <c:pt idx="479">
                  <c:v>364.55797151674267</c:v>
                </c:pt>
                <c:pt idx="480">
                  <c:v>367.34444998511617</c:v>
                </c:pt>
                <c:pt idx="481">
                  <c:v>370.12458821914703</c:v>
                </c:pt>
                <c:pt idx="482">
                  <c:v>372.89851843162745</c:v>
                </c:pt>
                <c:pt idx="483">
                  <c:v>375.66637062659078</c:v>
                </c:pt>
                <c:pt idx="484">
                  <c:v>378.42827261475975</c:v>
                </c:pt>
                <c:pt idx="485">
                  <c:v>381.1843500257354</c:v>
                </c:pt>
                <c:pt idx="486">
                  <c:v>383.93472631682749</c:v>
                </c:pt>
                <c:pt idx="487">
                  <c:v>386.67952277841869</c:v>
                </c:pt>
                <c:pt idx="488">
                  <c:v>389.41885853574337</c:v>
                </c:pt>
                <c:pt idx="489">
                  <c:v>392.15285054695477</c:v>
                </c:pt>
                <c:pt idx="490">
                  <c:v>394.88161359734391</c:v>
                </c:pt>
                <c:pt idx="491">
                  <c:v>397.60526028956627</c:v>
                </c:pt>
                <c:pt idx="492">
                  <c:v>400.32390102972505</c:v>
                </c:pt>
                <c:pt idx="493">
                  <c:v>403.03764400915384</c:v>
                </c:pt>
                <c:pt idx="494">
                  <c:v>405.74659518173814</c:v>
                </c:pt>
                <c:pt idx="495">
                  <c:v>408.45085823661316</c:v>
                </c:pt>
                <c:pt idx="496">
                  <c:v>411.15053456607677</c:v>
                </c:pt>
                <c:pt idx="497">
                  <c:v>413.84572322856178</c:v>
                </c:pt>
                <c:pt idx="498">
                  <c:v>416.53652090652128</c:v>
                </c:pt>
                <c:pt idx="499">
                  <c:v>419.22302185909575</c:v>
                </c:pt>
                <c:pt idx="500">
                  <c:v>421.90531786945263</c:v>
                </c:pt>
                <c:pt idx="501">
                  <c:v>424.58349818671832</c:v>
                </c:pt>
                <c:pt idx="502">
                  <c:v>427.25764946246187</c:v>
                </c:pt>
                <c:pt idx="503">
                  <c:v>429.92785568173707</c:v>
                </c:pt>
                <c:pt idx="504">
                  <c:v>432.59419808875208</c:v>
                </c:pt>
                <c:pt idx="505">
                  <c:v>435.25675510730781</c:v>
                </c:pt>
                <c:pt idx="506">
                  <c:v>437.91560225623402</c:v>
                </c:pt>
                <c:pt idx="507">
                  <c:v>440.57081206015431</c:v>
                </c:pt>
                <c:pt idx="508">
                  <c:v>443.22245395602778</c:v>
                </c:pt>
                <c:pt idx="509">
                  <c:v>445.87059419604543</c:v>
                </c:pt>
                <c:pt idx="510">
                  <c:v>448.51529574760423</c:v>
                </c:pt>
                <c:pt idx="511">
                  <c:v>451.15661819123562</c:v>
                </c:pt>
                <c:pt idx="512">
                  <c:v>453.79461761752646</c:v>
                </c:pt>
                <c:pt idx="513">
                  <c:v>456.42934652423264</c:v>
                </c:pt>
                <c:pt idx="514">
                  <c:v>459.0608537149443</c:v>
                </c:pt>
                <c:pt idx="515">
                  <c:v>461.68918420080536</c:v>
                </c:pt>
                <c:pt idx="516">
                  <c:v>464.31437910691295</c:v>
                </c:pt>
                <c:pt idx="517">
                  <c:v>466.93647558511441</c:v>
                </c:pt>
                <c:pt idx="518">
                  <c:v>469.5555067349668</c:v>
                </c:pt>
                <c:pt idx="519">
                  <c:v>472.17150153462563</c:v>
                </c:pt>
                <c:pt idx="520">
                  <c:v>474.78448478336821</c:v>
                </c:pt>
                <c:pt idx="521">
                  <c:v>477.39447705733784</c:v>
                </c:pt>
                <c:pt idx="522">
                  <c:v>480.00149467991025</c:v>
                </c:pt>
                <c:pt idx="523">
                  <c:v>482.60554970783937</c:v>
                </c:pt>
                <c:pt idx="524">
                  <c:v>485.20664993404284</c:v>
                </c:pt>
                <c:pt idx="525">
                  <c:v>487.80479890755061</c:v>
                </c:pt>
                <c:pt idx="526">
                  <c:v>490.39999597077548</c:v>
                </c:pt>
                <c:pt idx="527">
                  <c:v>492.99223631389333</c:v>
                </c:pt>
                <c:pt idx="528">
                  <c:v>495.58151104575774</c:v>
                </c:pt>
                <c:pt idx="529">
                  <c:v>498.16780728043881</c:v>
                </c:pt>
                <c:pt idx="530">
                  <c:v>500.75110823818181</c:v>
                </c:pt>
                <c:pt idx="531">
                  <c:v>503.33139335934146</c:v>
                </c:pt>
                <c:pt idx="532">
                  <c:v>505.90863842966883</c:v>
                </c:pt>
                <c:pt idx="533">
                  <c:v>508.48281571521306</c:v>
                </c:pt>
                <c:pt idx="534">
                  <c:v>511.05389410504853</c:v>
                </c:pt>
                <c:pt idx="535">
                  <c:v>513.621839260044</c:v>
                </c:pt>
                <c:pt idx="536">
                  <c:v>516.18661376594901</c:v>
                </c:pt>
                <c:pt idx="537">
                  <c:v>518.7481772891706</c:v>
                </c:pt>
                <c:pt idx="538">
                  <c:v>521.30648673374526</c:v>
                </c:pt>
                <c:pt idx="539">
                  <c:v>523.86149639816188</c:v>
                </c:pt>
                <c:pt idx="540">
                  <c:v>526.41315813085873</c:v>
                </c:pt>
                <c:pt idx="541">
                  <c:v>528.96142148338299</c:v>
                </c:pt>
                <c:pt idx="542">
                  <c:v>531.50623386037114</c:v>
                </c:pt>
                <c:pt idx="543">
                  <c:v>534.04754066566557</c:v>
                </c:pt>
                <c:pt idx="544">
                  <c:v>536.58528544403032</c:v>
                </c:pt>
                <c:pt idx="545">
                  <c:v>539.11941001806372</c:v>
                </c:pt>
                <c:pt idx="546">
                  <c:v>541.64985462002312</c:v>
                </c:pt>
                <c:pt idx="547">
                  <c:v>544.17655801838032</c:v>
                </c:pt>
                <c:pt idx="548">
                  <c:v>546.6994576390158</c:v>
                </c:pt>
                <c:pt idx="549">
                  <c:v>549.21848968103131</c:v>
                </c:pt>
                <c:pt idx="550">
                  <c:v>551.73358922722161</c:v>
                </c:pt>
                <c:pt idx="551">
                  <c:v>554.24469034929598</c:v>
                </c:pt>
                <c:pt idx="552">
                  <c:v>556.75172620797593</c:v>
                </c:pt>
                <c:pt idx="553">
                  <c:v>559.25462914812533</c:v>
                </c:pt>
                <c:pt idx="554">
                  <c:v>561.75333078909034</c:v>
                </c:pt>
                <c:pt idx="555">
                  <c:v>564.24776211044048</c:v>
                </c:pt>
                <c:pt idx="556">
                  <c:v>566.73785353331084</c:v>
                </c:pt>
                <c:pt idx="557">
                  <c:v>569.22353499755036</c:v>
                </c:pt>
                <c:pt idx="558">
                  <c:v>571.70473603488233</c:v>
                </c:pt>
                <c:pt idx="559">
                  <c:v>574.18138583827931</c:v>
                </c:pt>
                <c:pt idx="560">
                  <c:v>576.65341332775381</c:v>
                </c:pt>
                <c:pt idx="561">
                  <c:v>579.12074721275621</c:v>
                </c:pt>
                <c:pt idx="562">
                  <c:v>581.58331605136902</c:v>
                </c:pt>
                <c:pt idx="563">
                  <c:v>584.04104830647407</c:v>
                </c:pt>
                <c:pt idx="564">
                  <c:v>586.49387239906423</c:v>
                </c:pt>
                <c:pt idx="565">
                  <c:v>588.94171675886173</c:v>
                </c:pt>
                <c:pt idx="566">
                  <c:v>591.38450987239491</c:v>
                </c:pt>
                <c:pt idx="567">
                  <c:v>593.82218032867911</c:v>
                </c:pt>
                <c:pt idx="568">
                  <c:v>596.25465686263612</c:v>
                </c:pt>
                <c:pt idx="569">
                  <c:v>598.68186839638088</c:v>
                </c:pt>
                <c:pt idx="570">
                  <c:v>601.10374407849361</c:v>
                </c:pt>
                <c:pt idx="571">
                  <c:v>603.5202133213902</c:v>
                </c:pt>
                <c:pt idx="572">
                  <c:v>605.93120583689449</c:v>
                </c:pt>
                <c:pt idx="573">
                  <c:v>608.33665167010986</c:v>
                </c:pt>
                <c:pt idx="574">
                  <c:v>610.73648123168186</c:v>
                </c:pt>
                <c:pt idx="575">
                  <c:v>613.13062532853598</c:v>
                </c:pt>
                <c:pt idx="576">
                  <c:v>615.51901519316971</c:v>
                </c:pt>
                <c:pt idx="577">
                  <c:v>617.90158251157231</c:v>
                </c:pt>
                <c:pt idx="578">
                  <c:v>620.2782594498417</c:v>
                </c:pt>
                <c:pt idx="579">
                  <c:v>622.64897867956131</c:v>
                </c:pt>
                <c:pt idx="580">
                  <c:v>625.01367340199727</c:v>
                </c:pt>
                <c:pt idx="581">
                  <c:v>627.37227737117075</c:v>
                </c:pt>
                <c:pt idx="582">
                  <c:v>629.72472491585791</c:v>
                </c:pt>
                <c:pt idx="583">
                  <c:v>632.07095096056469</c:v>
                </c:pt>
                <c:pt idx="584">
                  <c:v>634.41089104552282</c:v>
                </c:pt>
                <c:pt idx="585">
                  <c:v>636.74448134574766</c:v>
                </c:pt>
                <c:pt idx="586">
                  <c:v>639.07165868919799</c:v>
                </c:pt>
                <c:pt idx="587">
                  <c:v>641.39236057407402</c:v>
                </c:pt>
                <c:pt idx="588">
                  <c:v>643.70652518528834</c:v>
                </c:pt>
                <c:pt idx="589">
                  <c:v>646.01409141014153</c:v>
                </c:pt>
                <c:pt idx="590">
                  <c:v>648.31499885323296</c:v>
                </c:pt>
                <c:pt idx="591">
                  <c:v>650.60918785063427</c:v>
                </c:pt>
                <c:pt idx="592">
                  <c:v>652.89659948335327</c:v>
                </c:pt>
                <c:pt idx="593">
                  <c:v>655.17717559011214</c:v>
                </c:pt>
                <c:pt idx="594">
                  <c:v>657.45085877946394</c:v>
                </c:pt>
                <c:pt idx="595">
                  <c:v>659.71759244126929</c:v>
                </c:pt>
                <c:pt idx="596">
                  <c:v>661.97732075755437</c:v>
                </c:pt>
                <c:pt idx="597">
                  <c:v>664.22998871277002</c:v>
                </c:pt>
                <c:pt idx="598">
                  <c:v>666.47554210347005</c:v>
                </c:pt>
                <c:pt idx="599">
                  <c:v>668.71392754742715</c:v>
                </c:pt>
                <c:pt idx="600">
                  <c:v>670.94509249220289</c:v>
                </c:pt>
                <c:pt idx="601">
                  <c:v>673.16898522318741</c:v>
                </c:pt>
                <c:pt idx="602">
                  <c:v>675.38555487112467</c:v>
                </c:pt>
                <c:pt idx="603">
                  <c:v>677.59475141913731</c:v>
                </c:pt>
                <c:pt idx="604">
                  <c:v>679.79652570926498</c:v>
                </c:pt>
                <c:pt idx="605">
                  <c:v>681.99082944852933</c:v>
                </c:pt>
                <c:pt idx="606">
                  <c:v>684.17761521453838</c:v>
                </c:pt>
                <c:pt idx="607">
                  <c:v>686.35683646064228</c:v>
                </c:pt>
                <c:pt idx="608">
                  <c:v>688.52844752065243</c:v>
                </c:pt>
                <c:pt idx="609">
                  <c:v>690.69240361313496</c:v>
                </c:pt>
                <c:pt idx="610">
                  <c:v>692.8486608452888</c:v>
                </c:pt>
                <c:pt idx="611">
                  <c:v>694.99717621642003</c:v>
                </c:pt>
                <c:pt idx="612">
                  <c:v>697.13790762102167</c:v>
                </c:pt>
                <c:pt idx="613">
                  <c:v>699.27081385146857</c:v>
                </c:pt>
                <c:pt idx="614">
                  <c:v>701.39585460033732</c:v>
                </c:pt>
                <c:pt idx="615">
                  <c:v>703.51299046236056</c:v>
                </c:pt>
                <c:pt idx="616">
                  <c:v>705.62218293602371</c:v>
                </c:pt>
                <c:pt idx="617">
                  <c:v>707.72339442481336</c:v>
                </c:pt>
                <c:pt idx="618">
                  <c:v>709.81658823812609</c:v>
                </c:pt>
                <c:pt idx="619">
                  <c:v>711.9017285918452</c:v>
                </c:pt>
                <c:pt idx="620">
                  <c:v>713.97878060859432</c:v>
                </c:pt>
                <c:pt idx="621">
                  <c:v>716.04771031767439</c:v>
                </c:pt>
                <c:pt idx="622">
                  <c:v>718.10848465469348</c:v>
                </c:pt>
                <c:pt idx="623">
                  <c:v>720.16107146089553</c:v>
                </c:pt>
                <c:pt idx="624">
                  <c:v>722.2054394821962</c:v>
                </c:pt>
                <c:pt idx="625">
                  <c:v>724.24155836793273</c:v>
                </c:pt>
                <c:pt idx="626">
                  <c:v>726.26939866933492</c:v>
                </c:pt>
                <c:pt idx="627">
                  <c:v>728.28893183772493</c:v>
                </c:pt>
                <c:pt idx="628">
                  <c:v>730.30013022245134</c:v>
                </c:pt>
                <c:pt idx="629">
                  <c:v>732.30296706856586</c:v>
                </c:pt>
                <c:pt idx="630">
                  <c:v>734.29741651424843</c:v>
                </c:pt>
                <c:pt idx="631">
                  <c:v>736.28345358798731</c:v>
                </c:pt>
                <c:pt idx="632">
                  <c:v>738.26105420552085</c:v>
                </c:pt>
                <c:pt idx="633">
                  <c:v>740.23019516654733</c:v>
                </c:pt>
                <c:pt idx="634">
                  <c:v>742.19085415120935</c:v>
                </c:pt>
                <c:pt idx="635">
                  <c:v>744.14300971635805</c:v>
                </c:pt>
                <c:pt idx="636">
                  <c:v>746.08664129160491</c:v>
                </c:pt>
                <c:pt idx="637">
                  <c:v>748.02172917516521</c:v>
                </c:pt>
                <c:pt idx="638">
                  <c:v>749.94825452950136</c:v>
                </c:pt>
                <c:pt idx="639">
                  <c:v>751.86619937676949</c:v>
                </c:pt>
                <c:pt idx="640">
                  <c:v>753.77554659407758</c:v>
                </c:pt>
                <c:pt idx="641">
                  <c:v>755.67627990855897</c:v>
                </c:pt>
                <c:pt idx="642">
                  <c:v>757.56838389226823</c:v>
                </c:pt>
                <c:pt idx="643">
                  <c:v>759.4518439569041</c:v>
                </c:pt>
                <c:pt idx="644">
                  <c:v>761.32664634836556</c:v>
                </c:pt>
                <c:pt idx="645">
                  <c:v>763.1927781411465</c:v>
                </c:pt>
                <c:pt idx="646">
                  <c:v>765.05022723257412</c:v>
                </c:pt>
                <c:pt idx="647">
                  <c:v>766.89898233689655</c:v>
                </c:pt>
                <c:pt idx="648">
                  <c:v>768.73903297922527</c:v>
                </c:pt>
                <c:pt idx="649">
                  <c:v>770.57036948933671</c:v>
                </c:pt>
                <c:pt idx="650">
                  <c:v>772.39298299533959</c:v>
                </c:pt>
                <c:pt idx="651">
                  <c:v>774.20686541721136</c:v>
                </c:pt>
                <c:pt idx="652">
                  <c:v>776.01200946021004</c:v>
                </c:pt>
                <c:pt idx="653">
                  <c:v>777.80840860816625</c:v>
                </c:pt>
                <c:pt idx="654">
                  <c:v>779.59605711665949</c:v>
                </c:pt>
                <c:pt idx="655">
                  <c:v>781.37495000608476</c:v>
                </c:pt>
                <c:pt idx="656">
                  <c:v>783.145083054613</c:v>
                </c:pt>
                <c:pt idx="657">
                  <c:v>784.90645279105127</c:v>
                </c:pt>
                <c:pt idx="658">
                  <c:v>786.65905648760588</c:v>
                </c:pt>
                <c:pt idx="659">
                  <c:v>788.40289215255507</c:v>
                </c:pt>
                <c:pt idx="660">
                  <c:v>790.13795852283306</c:v>
                </c:pt>
                <c:pt idx="661">
                  <c:v>791.86425505653278</c:v>
                </c:pt>
                <c:pt idx="662">
                  <c:v>793.5817819253291</c:v>
                </c:pt>
                <c:pt idx="663">
                  <c:v>795.29054000682856</c:v>
                </c:pt>
                <c:pt idx="664">
                  <c:v>796.99053087684956</c:v>
                </c:pt>
                <c:pt idx="665">
                  <c:v>798.68175680163608</c:v>
                </c:pt>
                <c:pt idx="666">
                  <c:v>800.36422073001052</c:v>
                </c:pt>
                <c:pt idx="667">
                  <c:v>802.03792628546876</c:v>
                </c:pt>
                <c:pt idx="668">
                  <c:v>803.70287775822169</c:v>
                </c:pt>
                <c:pt idx="669">
                  <c:v>805.35908009718742</c:v>
                </c:pt>
                <c:pt idx="670">
                  <c:v>807.00653890193689</c:v>
                </c:pt>
                <c:pt idx="671">
                  <c:v>808.6452604145984</c:v>
                </c:pt>
                <c:pt idx="672">
                  <c:v>810.27525151172301</c:v>
                </c:pt>
                <c:pt idx="673">
                  <c:v>811.89651969611566</c:v>
                </c:pt>
                <c:pt idx="674">
                  <c:v>813.50907308863486</c:v>
                </c:pt>
                <c:pt idx="675">
                  <c:v>815.11292041996535</c:v>
                </c:pt>
                <c:pt idx="676">
                  <c:v>816.70807102236529</c:v>
                </c:pt>
                <c:pt idx="677">
                  <c:v>818.29453482139388</c:v>
                </c:pt>
                <c:pt idx="678">
                  <c:v>819.87232232762074</c:v>
                </c:pt>
                <c:pt idx="679">
                  <c:v>821.44144462832071</c:v>
                </c:pt>
                <c:pt idx="680">
                  <c:v>823.00191337915805</c:v>
                </c:pt>
                <c:pt idx="681">
                  <c:v>824.55374079586204</c:v>
                </c:pt>
                <c:pt idx="682">
                  <c:v>826.09693964589758</c:v>
                </c:pt>
                <c:pt idx="683">
                  <c:v>827.63152324013379</c:v>
                </c:pt>
                <c:pt idx="684">
                  <c:v>829.15750542451315</c:v>
                </c:pt>
                <c:pt idx="685">
                  <c:v>830.67490057172415</c:v>
                </c:pt>
                <c:pt idx="686">
                  <c:v>832.18372357288047</c:v>
                </c:pt>
                <c:pt idx="687">
                  <c:v>833.68398982920894</c:v>
                </c:pt>
                <c:pt idx="688">
                  <c:v>835.17571524374898</c:v>
                </c:pt>
                <c:pt idx="689">
                  <c:v>836.6589162130665</c:v>
                </c:pt>
                <c:pt idx="690">
                  <c:v>838.13360961898434</c:v>
                </c:pt>
                <c:pt idx="691">
                  <c:v>839.59981282033152</c:v>
                </c:pt>
                <c:pt idx="692">
                  <c:v>841.05754364471409</c:v>
                </c:pt>
                <c:pt idx="693">
                  <c:v>842.5068203803097</c:v>
                </c:pt>
                <c:pt idx="694">
                  <c:v>843.94766176768803</c:v>
                </c:pt>
                <c:pt idx="695">
                  <c:v>845.38008699165948</c:v>
                </c:pt>
                <c:pt idx="696">
                  <c:v>846.80411567315366</c:v>
                </c:pt>
                <c:pt idx="697">
                  <c:v>848.21976786113055</c:v>
                </c:pt>
                <c:pt idx="698">
                  <c:v>849.62706402452579</c:v>
                </c:pt>
                <c:pt idx="699">
                  <c:v>851.0260250442318</c:v>
                </c:pt>
                <c:pt idx="700">
                  <c:v>852.41667220511727</c:v>
                </c:pt>
                <c:pt idx="701">
                  <c:v>853.79902718808626</c:v>
                </c:pt>
                <c:pt idx="702">
                  <c:v>855.17311206217892</c:v>
                </c:pt>
                <c:pt idx="703">
                  <c:v>856.53894927671536</c:v>
                </c:pt>
                <c:pt idx="704">
                  <c:v>857.89656165348413</c:v>
                </c:pt>
                <c:pt idx="705">
                  <c:v>859.24597237897774</c:v>
                </c:pt>
                <c:pt idx="706">
                  <c:v>859.24597237897774</c:v>
                </c:pt>
                <c:pt idx="707">
                  <c:v>859.24597237897774</c:v>
                </c:pt>
                <c:pt idx="708">
                  <c:v>859.24597237897774</c:v>
                </c:pt>
                <c:pt idx="709">
                  <c:v>859.24597237897774</c:v>
                </c:pt>
                <c:pt idx="710">
                  <c:v>859.24597237897774</c:v>
                </c:pt>
                <c:pt idx="711">
                  <c:v>859.24597237897774</c:v>
                </c:pt>
                <c:pt idx="712">
                  <c:v>859.24597237897774</c:v>
                </c:pt>
                <c:pt idx="713">
                  <c:v>859.24597237897774</c:v>
                </c:pt>
                <c:pt idx="714">
                  <c:v>859.24597237897774</c:v>
                </c:pt>
                <c:pt idx="715">
                  <c:v>859.24597237897774</c:v>
                </c:pt>
                <c:pt idx="716">
                  <c:v>859.24597237897774</c:v>
                </c:pt>
                <c:pt idx="717">
                  <c:v>859.24597237897774</c:v>
                </c:pt>
                <c:pt idx="718">
                  <c:v>859.24597237897774</c:v>
                </c:pt>
                <c:pt idx="719">
                  <c:v>859.24597237897774</c:v>
                </c:pt>
                <c:pt idx="720">
                  <c:v>859.24597237897774</c:v>
                </c:pt>
                <c:pt idx="721">
                  <c:v>859.24597237897774</c:v>
                </c:pt>
                <c:pt idx="722">
                  <c:v>859.24597237897774</c:v>
                </c:pt>
                <c:pt idx="723">
                  <c:v>859.24597237897774</c:v>
                </c:pt>
                <c:pt idx="724">
                  <c:v>859.24597237897774</c:v>
                </c:pt>
                <c:pt idx="725">
                  <c:v>859.24597237897774</c:v>
                </c:pt>
                <c:pt idx="726">
                  <c:v>859.24597237897774</c:v>
                </c:pt>
                <c:pt idx="727">
                  <c:v>859.24597237897774</c:v>
                </c:pt>
                <c:pt idx="728">
                  <c:v>859.24597237897774</c:v>
                </c:pt>
                <c:pt idx="729">
                  <c:v>859.24597237897774</c:v>
                </c:pt>
                <c:pt idx="730">
                  <c:v>859.24597237897774</c:v>
                </c:pt>
                <c:pt idx="731">
                  <c:v>859.24597237897774</c:v>
                </c:pt>
                <c:pt idx="732">
                  <c:v>859.24597237897774</c:v>
                </c:pt>
                <c:pt idx="733">
                  <c:v>859.24597237897774</c:v>
                </c:pt>
                <c:pt idx="734">
                  <c:v>859.24597237897774</c:v>
                </c:pt>
                <c:pt idx="735">
                  <c:v>859.24597237897774</c:v>
                </c:pt>
                <c:pt idx="736">
                  <c:v>859.24597237897774</c:v>
                </c:pt>
                <c:pt idx="737">
                  <c:v>859.24597237897774</c:v>
                </c:pt>
                <c:pt idx="738">
                  <c:v>859.24597237897774</c:v>
                </c:pt>
                <c:pt idx="739">
                  <c:v>859.24597237897774</c:v>
                </c:pt>
                <c:pt idx="740">
                  <c:v>859.24597237897774</c:v>
                </c:pt>
                <c:pt idx="741">
                  <c:v>859.24597237897774</c:v>
                </c:pt>
                <c:pt idx="742">
                  <c:v>859.24597237897774</c:v>
                </c:pt>
                <c:pt idx="743">
                  <c:v>859.24597237897774</c:v>
                </c:pt>
                <c:pt idx="744">
                  <c:v>859.24597237897774</c:v>
                </c:pt>
                <c:pt idx="745">
                  <c:v>859.24597237897774</c:v>
                </c:pt>
                <c:pt idx="746">
                  <c:v>859.24597237897774</c:v>
                </c:pt>
                <c:pt idx="747">
                  <c:v>859.24597237897774</c:v>
                </c:pt>
                <c:pt idx="748">
                  <c:v>859.24597237897774</c:v>
                </c:pt>
                <c:pt idx="749">
                  <c:v>859.24597237897774</c:v>
                </c:pt>
                <c:pt idx="750">
                  <c:v>859.24597237897774</c:v>
                </c:pt>
                <c:pt idx="751">
                  <c:v>859.24597237897774</c:v>
                </c:pt>
                <c:pt idx="752">
                  <c:v>859.24597237897774</c:v>
                </c:pt>
                <c:pt idx="753">
                  <c:v>859.24597237897774</c:v>
                </c:pt>
                <c:pt idx="754">
                  <c:v>859.24597237897774</c:v>
                </c:pt>
                <c:pt idx="755">
                  <c:v>859.24597237897774</c:v>
                </c:pt>
                <c:pt idx="756">
                  <c:v>859.24597237897774</c:v>
                </c:pt>
                <c:pt idx="757">
                  <c:v>859.24597237897774</c:v>
                </c:pt>
                <c:pt idx="758">
                  <c:v>859.24597237897774</c:v>
                </c:pt>
                <c:pt idx="759">
                  <c:v>859.24597237897774</c:v>
                </c:pt>
                <c:pt idx="760">
                  <c:v>859.24597237897774</c:v>
                </c:pt>
                <c:pt idx="761">
                  <c:v>859.24597237897774</c:v>
                </c:pt>
                <c:pt idx="762">
                  <c:v>859.24597237897774</c:v>
                </c:pt>
                <c:pt idx="763">
                  <c:v>859.24597237897774</c:v>
                </c:pt>
                <c:pt idx="764">
                  <c:v>859.24597237897774</c:v>
                </c:pt>
                <c:pt idx="765">
                  <c:v>859.24597237897774</c:v>
                </c:pt>
                <c:pt idx="766">
                  <c:v>859.24597237897774</c:v>
                </c:pt>
                <c:pt idx="767">
                  <c:v>859.24597237897774</c:v>
                </c:pt>
                <c:pt idx="768">
                  <c:v>859.24597237897774</c:v>
                </c:pt>
                <c:pt idx="769">
                  <c:v>859.24597237897774</c:v>
                </c:pt>
                <c:pt idx="770">
                  <c:v>859.24597237897774</c:v>
                </c:pt>
                <c:pt idx="771">
                  <c:v>859.24597237897774</c:v>
                </c:pt>
                <c:pt idx="772">
                  <c:v>859.24597237897774</c:v>
                </c:pt>
                <c:pt idx="773">
                  <c:v>859.24597237897774</c:v>
                </c:pt>
                <c:pt idx="774">
                  <c:v>859.24597237897774</c:v>
                </c:pt>
                <c:pt idx="775">
                  <c:v>859.24597237897774</c:v>
                </c:pt>
                <c:pt idx="776">
                  <c:v>859.24597237897774</c:v>
                </c:pt>
                <c:pt idx="777">
                  <c:v>859.24597237897774</c:v>
                </c:pt>
                <c:pt idx="778">
                  <c:v>859.24597237897774</c:v>
                </c:pt>
                <c:pt idx="779">
                  <c:v>859.24597237897774</c:v>
                </c:pt>
                <c:pt idx="780">
                  <c:v>859.24597237897774</c:v>
                </c:pt>
                <c:pt idx="781">
                  <c:v>859.24597237897774</c:v>
                </c:pt>
                <c:pt idx="782">
                  <c:v>859.24597237897774</c:v>
                </c:pt>
                <c:pt idx="783">
                  <c:v>859.24597237897774</c:v>
                </c:pt>
                <c:pt idx="784">
                  <c:v>859.24597237897774</c:v>
                </c:pt>
                <c:pt idx="785">
                  <c:v>859.24597237897774</c:v>
                </c:pt>
                <c:pt idx="786">
                  <c:v>859.24597237897774</c:v>
                </c:pt>
                <c:pt idx="787">
                  <c:v>859.24597237897774</c:v>
                </c:pt>
                <c:pt idx="788">
                  <c:v>859.24597237897774</c:v>
                </c:pt>
                <c:pt idx="789">
                  <c:v>859.24597237897774</c:v>
                </c:pt>
                <c:pt idx="790">
                  <c:v>859.24597237897774</c:v>
                </c:pt>
                <c:pt idx="791">
                  <c:v>859.24597237897774</c:v>
                </c:pt>
                <c:pt idx="792">
                  <c:v>859.24597237897774</c:v>
                </c:pt>
                <c:pt idx="793">
                  <c:v>859.24597237897774</c:v>
                </c:pt>
                <c:pt idx="794">
                  <c:v>859.24597237897774</c:v>
                </c:pt>
                <c:pt idx="795">
                  <c:v>859.24597237897774</c:v>
                </c:pt>
                <c:pt idx="796">
                  <c:v>859.24597237897774</c:v>
                </c:pt>
                <c:pt idx="797">
                  <c:v>859.24597237897774</c:v>
                </c:pt>
                <c:pt idx="798">
                  <c:v>859.24597237897774</c:v>
                </c:pt>
                <c:pt idx="799">
                  <c:v>859.24597237897774</c:v>
                </c:pt>
                <c:pt idx="800">
                  <c:v>859.24597237897774</c:v>
                </c:pt>
                <c:pt idx="801">
                  <c:v>859.24597237897774</c:v>
                </c:pt>
                <c:pt idx="802">
                  <c:v>859.24597237897774</c:v>
                </c:pt>
                <c:pt idx="803">
                  <c:v>859.24597237897774</c:v>
                </c:pt>
                <c:pt idx="804">
                  <c:v>859.24597237897774</c:v>
                </c:pt>
                <c:pt idx="805">
                  <c:v>859.24597237897774</c:v>
                </c:pt>
                <c:pt idx="806">
                  <c:v>859.24597237897774</c:v>
                </c:pt>
                <c:pt idx="807">
                  <c:v>859.24597237897774</c:v>
                </c:pt>
                <c:pt idx="808">
                  <c:v>859.24597237897774</c:v>
                </c:pt>
                <c:pt idx="809">
                  <c:v>859.24597237897774</c:v>
                </c:pt>
                <c:pt idx="810">
                  <c:v>859.24597237897774</c:v>
                </c:pt>
                <c:pt idx="811">
                  <c:v>859.24597237897774</c:v>
                </c:pt>
                <c:pt idx="812">
                  <c:v>859.24597237897774</c:v>
                </c:pt>
                <c:pt idx="813">
                  <c:v>859.24597237897774</c:v>
                </c:pt>
                <c:pt idx="814">
                  <c:v>859.24597237897774</c:v>
                </c:pt>
                <c:pt idx="815">
                  <c:v>859.24597237897774</c:v>
                </c:pt>
                <c:pt idx="816">
                  <c:v>859.24597237897774</c:v>
                </c:pt>
                <c:pt idx="817">
                  <c:v>859.24597237897774</c:v>
                </c:pt>
                <c:pt idx="818">
                  <c:v>859.24597237897774</c:v>
                </c:pt>
                <c:pt idx="819">
                  <c:v>859.24597237897774</c:v>
                </c:pt>
                <c:pt idx="820">
                  <c:v>859.24597237897774</c:v>
                </c:pt>
                <c:pt idx="821">
                  <c:v>859.24597237897774</c:v>
                </c:pt>
                <c:pt idx="822">
                  <c:v>859.24597237897774</c:v>
                </c:pt>
                <c:pt idx="823">
                  <c:v>859.24597237897774</c:v>
                </c:pt>
                <c:pt idx="824">
                  <c:v>859.24597237897774</c:v>
                </c:pt>
                <c:pt idx="825">
                  <c:v>859.24597237897774</c:v>
                </c:pt>
                <c:pt idx="826">
                  <c:v>859.24597237897774</c:v>
                </c:pt>
                <c:pt idx="827">
                  <c:v>859.24597237897774</c:v>
                </c:pt>
                <c:pt idx="828">
                  <c:v>859.24597237897774</c:v>
                </c:pt>
                <c:pt idx="829">
                  <c:v>859.24597237897774</c:v>
                </c:pt>
                <c:pt idx="830">
                  <c:v>859.24597237897774</c:v>
                </c:pt>
                <c:pt idx="831">
                  <c:v>859.24597237897774</c:v>
                </c:pt>
                <c:pt idx="832">
                  <c:v>859.24597237897774</c:v>
                </c:pt>
                <c:pt idx="833">
                  <c:v>859.24597237897774</c:v>
                </c:pt>
                <c:pt idx="834">
                  <c:v>859.24597237897774</c:v>
                </c:pt>
                <c:pt idx="835">
                  <c:v>859.24597237897774</c:v>
                </c:pt>
                <c:pt idx="836">
                  <c:v>859.24597237897774</c:v>
                </c:pt>
                <c:pt idx="837">
                  <c:v>859.24597237897774</c:v>
                </c:pt>
                <c:pt idx="838">
                  <c:v>859.24597237897774</c:v>
                </c:pt>
                <c:pt idx="839">
                  <c:v>859.24597237897774</c:v>
                </c:pt>
                <c:pt idx="840">
                  <c:v>859.24597237897774</c:v>
                </c:pt>
                <c:pt idx="841">
                  <c:v>859.24597237897774</c:v>
                </c:pt>
                <c:pt idx="842">
                  <c:v>859.24597237897774</c:v>
                </c:pt>
                <c:pt idx="843">
                  <c:v>859.24597237897774</c:v>
                </c:pt>
                <c:pt idx="844">
                  <c:v>859.24597237897774</c:v>
                </c:pt>
                <c:pt idx="845">
                  <c:v>859.24597237897774</c:v>
                </c:pt>
                <c:pt idx="846">
                  <c:v>859.24597237897774</c:v>
                </c:pt>
                <c:pt idx="847">
                  <c:v>859.24597237897774</c:v>
                </c:pt>
                <c:pt idx="848">
                  <c:v>859.24597237897774</c:v>
                </c:pt>
                <c:pt idx="849">
                  <c:v>859.24597237897774</c:v>
                </c:pt>
                <c:pt idx="850">
                  <c:v>859.24597237897774</c:v>
                </c:pt>
                <c:pt idx="851">
                  <c:v>859.24597237897774</c:v>
                </c:pt>
                <c:pt idx="852">
                  <c:v>859.24597237897774</c:v>
                </c:pt>
                <c:pt idx="853">
                  <c:v>859.24597237897774</c:v>
                </c:pt>
                <c:pt idx="854">
                  <c:v>859.24597237897774</c:v>
                </c:pt>
                <c:pt idx="855">
                  <c:v>859.24597237897774</c:v>
                </c:pt>
                <c:pt idx="856">
                  <c:v>859.24597237897774</c:v>
                </c:pt>
                <c:pt idx="857">
                  <c:v>859.24597237897774</c:v>
                </c:pt>
                <c:pt idx="858">
                  <c:v>859.24597237897774</c:v>
                </c:pt>
                <c:pt idx="859">
                  <c:v>859.24597237897774</c:v>
                </c:pt>
                <c:pt idx="860">
                  <c:v>859.24597237897774</c:v>
                </c:pt>
                <c:pt idx="861">
                  <c:v>859.24597237897774</c:v>
                </c:pt>
                <c:pt idx="862">
                  <c:v>859.24597237897774</c:v>
                </c:pt>
                <c:pt idx="863">
                  <c:v>859.24597237897774</c:v>
                </c:pt>
                <c:pt idx="864">
                  <c:v>859.24597237897774</c:v>
                </c:pt>
                <c:pt idx="865">
                  <c:v>859.24597237897774</c:v>
                </c:pt>
                <c:pt idx="866">
                  <c:v>859.24597237897774</c:v>
                </c:pt>
                <c:pt idx="867">
                  <c:v>859.24597237897774</c:v>
                </c:pt>
                <c:pt idx="868">
                  <c:v>859.24597237897774</c:v>
                </c:pt>
                <c:pt idx="869">
                  <c:v>859.24597237897774</c:v>
                </c:pt>
                <c:pt idx="870">
                  <c:v>859.24597237897774</c:v>
                </c:pt>
                <c:pt idx="871">
                  <c:v>859.24597237897774</c:v>
                </c:pt>
                <c:pt idx="872">
                  <c:v>859.24597237897774</c:v>
                </c:pt>
                <c:pt idx="873">
                  <c:v>859.24597237897774</c:v>
                </c:pt>
                <c:pt idx="874">
                  <c:v>859.24597237897774</c:v>
                </c:pt>
                <c:pt idx="875">
                  <c:v>859.24597237897774</c:v>
                </c:pt>
                <c:pt idx="876">
                  <c:v>859.24597237897774</c:v>
                </c:pt>
                <c:pt idx="877">
                  <c:v>859.24597237897774</c:v>
                </c:pt>
                <c:pt idx="878">
                  <c:v>859.24597237897774</c:v>
                </c:pt>
                <c:pt idx="879">
                  <c:v>859.24597237897774</c:v>
                </c:pt>
                <c:pt idx="880">
                  <c:v>859.24597237897774</c:v>
                </c:pt>
                <c:pt idx="881">
                  <c:v>859.24597237897774</c:v>
                </c:pt>
                <c:pt idx="882">
                  <c:v>859.24597237897774</c:v>
                </c:pt>
                <c:pt idx="883">
                  <c:v>859.24597237897774</c:v>
                </c:pt>
                <c:pt idx="884">
                  <c:v>859.24597237897774</c:v>
                </c:pt>
                <c:pt idx="885">
                  <c:v>859.24597237897774</c:v>
                </c:pt>
                <c:pt idx="886">
                  <c:v>859.24597237897774</c:v>
                </c:pt>
                <c:pt idx="887">
                  <c:v>859.24597237897774</c:v>
                </c:pt>
                <c:pt idx="888">
                  <c:v>859.24597237897774</c:v>
                </c:pt>
                <c:pt idx="889">
                  <c:v>859.24597237897774</c:v>
                </c:pt>
                <c:pt idx="890">
                  <c:v>859.24597237897774</c:v>
                </c:pt>
                <c:pt idx="891">
                  <c:v>859.24597237897774</c:v>
                </c:pt>
                <c:pt idx="892">
                  <c:v>859.24597237897774</c:v>
                </c:pt>
                <c:pt idx="893">
                  <c:v>859.24597237897774</c:v>
                </c:pt>
                <c:pt idx="894">
                  <c:v>859.24597237897774</c:v>
                </c:pt>
                <c:pt idx="895">
                  <c:v>859.24597237897774</c:v>
                </c:pt>
                <c:pt idx="896">
                  <c:v>859.24597237897774</c:v>
                </c:pt>
                <c:pt idx="897">
                  <c:v>859.24597237897774</c:v>
                </c:pt>
                <c:pt idx="898">
                  <c:v>859.24597237897774</c:v>
                </c:pt>
                <c:pt idx="899">
                  <c:v>859.24597237897774</c:v>
                </c:pt>
                <c:pt idx="900">
                  <c:v>859.24597237897774</c:v>
                </c:pt>
                <c:pt idx="901">
                  <c:v>859.24597237897774</c:v>
                </c:pt>
                <c:pt idx="902">
                  <c:v>859.24597237897774</c:v>
                </c:pt>
                <c:pt idx="903">
                  <c:v>859.24597237897774</c:v>
                </c:pt>
                <c:pt idx="904">
                  <c:v>859.24597237897774</c:v>
                </c:pt>
                <c:pt idx="905">
                  <c:v>859.24597237897774</c:v>
                </c:pt>
                <c:pt idx="906">
                  <c:v>859.24597237897774</c:v>
                </c:pt>
                <c:pt idx="907">
                  <c:v>859.24597237897774</c:v>
                </c:pt>
                <c:pt idx="908">
                  <c:v>859.24597237897774</c:v>
                </c:pt>
                <c:pt idx="909">
                  <c:v>859.24597237897774</c:v>
                </c:pt>
                <c:pt idx="910">
                  <c:v>859.24597237897774</c:v>
                </c:pt>
                <c:pt idx="911">
                  <c:v>859.24597237897774</c:v>
                </c:pt>
                <c:pt idx="912">
                  <c:v>859.24597237897774</c:v>
                </c:pt>
                <c:pt idx="913">
                  <c:v>859.24597237897774</c:v>
                </c:pt>
                <c:pt idx="914">
                  <c:v>859.24597237897774</c:v>
                </c:pt>
                <c:pt idx="915">
                  <c:v>859.24597237897774</c:v>
                </c:pt>
                <c:pt idx="916">
                  <c:v>859.24597237897774</c:v>
                </c:pt>
                <c:pt idx="917">
                  <c:v>859.24597237897774</c:v>
                </c:pt>
                <c:pt idx="918">
                  <c:v>859.24597237897774</c:v>
                </c:pt>
                <c:pt idx="919">
                  <c:v>859.24597237897774</c:v>
                </c:pt>
                <c:pt idx="920">
                  <c:v>859.24597237897774</c:v>
                </c:pt>
                <c:pt idx="921">
                  <c:v>859.24597237897774</c:v>
                </c:pt>
                <c:pt idx="922">
                  <c:v>859.24597237897774</c:v>
                </c:pt>
                <c:pt idx="923">
                  <c:v>859.24597237897774</c:v>
                </c:pt>
                <c:pt idx="924">
                  <c:v>859.24597237897774</c:v>
                </c:pt>
                <c:pt idx="925">
                  <c:v>859.24597237897774</c:v>
                </c:pt>
                <c:pt idx="926">
                  <c:v>859.24597237897774</c:v>
                </c:pt>
                <c:pt idx="927">
                  <c:v>859.24597237897774</c:v>
                </c:pt>
                <c:pt idx="928">
                  <c:v>859.24597237897774</c:v>
                </c:pt>
                <c:pt idx="929">
                  <c:v>859.24597237897774</c:v>
                </c:pt>
                <c:pt idx="930">
                  <c:v>859.24597237897774</c:v>
                </c:pt>
                <c:pt idx="931">
                  <c:v>859.24597237897774</c:v>
                </c:pt>
                <c:pt idx="932">
                  <c:v>859.24597237897774</c:v>
                </c:pt>
                <c:pt idx="933">
                  <c:v>859.24597237897774</c:v>
                </c:pt>
                <c:pt idx="934">
                  <c:v>859.24597237897774</c:v>
                </c:pt>
                <c:pt idx="935">
                  <c:v>859.24597237897774</c:v>
                </c:pt>
                <c:pt idx="936">
                  <c:v>859.24597237897774</c:v>
                </c:pt>
                <c:pt idx="937">
                  <c:v>859.24597237897774</c:v>
                </c:pt>
                <c:pt idx="938">
                  <c:v>859.24597237897774</c:v>
                </c:pt>
                <c:pt idx="939">
                  <c:v>859.24597237897774</c:v>
                </c:pt>
                <c:pt idx="940">
                  <c:v>859.24597237897774</c:v>
                </c:pt>
                <c:pt idx="941">
                  <c:v>859.24597237897774</c:v>
                </c:pt>
                <c:pt idx="942">
                  <c:v>859.24597237897774</c:v>
                </c:pt>
                <c:pt idx="943">
                  <c:v>859.24597237897774</c:v>
                </c:pt>
                <c:pt idx="944">
                  <c:v>859.24597237897774</c:v>
                </c:pt>
                <c:pt idx="945">
                  <c:v>859.24597237897774</c:v>
                </c:pt>
                <c:pt idx="946">
                  <c:v>859.24597237897774</c:v>
                </c:pt>
                <c:pt idx="947">
                  <c:v>859.24597237897774</c:v>
                </c:pt>
                <c:pt idx="948">
                  <c:v>859.24597237897774</c:v>
                </c:pt>
                <c:pt idx="949">
                  <c:v>859.24597237897774</c:v>
                </c:pt>
                <c:pt idx="950">
                  <c:v>859.24597237897774</c:v>
                </c:pt>
                <c:pt idx="951">
                  <c:v>859.24597237897774</c:v>
                </c:pt>
                <c:pt idx="952">
                  <c:v>859.24597237897774</c:v>
                </c:pt>
                <c:pt idx="953">
                  <c:v>859.24597237897774</c:v>
                </c:pt>
                <c:pt idx="954">
                  <c:v>859.24597237897774</c:v>
                </c:pt>
                <c:pt idx="955">
                  <c:v>859.24597237897774</c:v>
                </c:pt>
                <c:pt idx="956">
                  <c:v>859.24597237897774</c:v>
                </c:pt>
                <c:pt idx="957">
                  <c:v>859.24597237897774</c:v>
                </c:pt>
                <c:pt idx="958">
                  <c:v>859.24597237897774</c:v>
                </c:pt>
                <c:pt idx="959">
                  <c:v>859.24597237897774</c:v>
                </c:pt>
                <c:pt idx="960">
                  <c:v>859.24597237897774</c:v>
                </c:pt>
                <c:pt idx="961">
                  <c:v>859.24597237897774</c:v>
                </c:pt>
                <c:pt idx="962">
                  <c:v>859.24597237897774</c:v>
                </c:pt>
                <c:pt idx="963">
                  <c:v>859.24597237897774</c:v>
                </c:pt>
                <c:pt idx="964">
                  <c:v>859.24597237897774</c:v>
                </c:pt>
                <c:pt idx="965">
                  <c:v>859.24597237897774</c:v>
                </c:pt>
                <c:pt idx="966">
                  <c:v>859.24597237897774</c:v>
                </c:pt>
                <c:pt idx="967">
                  <c:v>859.24597237897774</c:v>
                </c:pt>
                <c:pt idx="968">
                  <c:v>859.24597237897774</c:v>
                </c:pt>
                <c:pt idx="969">
                  <c:v>859.24597237897774</c:v>
                </c:pt>
                <c:pt idx="970">
                  <c:v>859.24597237897774</c:v>
                </c:pt>
                <c:pt idx="971">
                  <c:v>859.24597237897774</c:v>
                </c:pt>
                <c:pt idx="972">
                  <c:v>859.24597237897774</c:v>
                </c:pt>
                <c:pt idx="973">
                  <c:v>859.24597237897774</c:v>
                </c:pt>
                <c:pt idx="974">
                  <c:v>859.24597237897774</c:v>
                </c:pt>
                <c:pt idx="975">
                  <c:v>859.24597237897774</c:v>
                </c:pt>
                <c:pt idx="976">
                  <c:v>859.24597237897774</c:v>
                </c:pt>
                <c:pt idx="977">
                  <c:v>859.24597237897774</c:v>
                </c:pt>
                <c:pt idx="978">
                  <c:v>859.24597237897774</c:v>
                </c:pt>
                <c:pt idx="979">
                  <c:v>859.24597237897774</c:v>
                </c:pt>
                <c:pt idx="980">
                  <c:v>859.24597237897774</c:v>
                </c:pt>
                <c:pt idx="981">
                  <c:v>859.24597237897774</c:v>
                </c:pt>
                <c:pt idx="982">
                  <c:v>859.24597237897774</c:v>
                </c:pt>
                <c:pt idx="983">
                  <c:v>859.24597237897774</c:v>
                </c:pt>
                <c:pt idx="984">
                  <c:v>859.24597237897774</c:v>
                </c:pt>
                <c:pt idx="985">
                  <c:v>859.24597237897774</c:v>
                </c:pt>
                <c:pt idx="986">
                  <c:v>859.24597237897774</c:v>
                </c:pt>
                <c:pt idx="987">
                  <c:v>859.24597237897774</c:v>
                </c:pt>
                <c:pt idx="988">
                  <c:v>859.24597237897774</c:v>
                </c:pt>
                <c:pt idx="989">
                  <c:v>859.24597237897774</c:v>
                </c:pt>
                <c:pt idx="990">
                  <c:v>859.24597237897774</c:v>
                </c:pt>
                <c:pt idx="991">
                  <c:v>859.24597237897774</c:v>
                </c:pt>
                <c:pt idx="992">
                  <c:v>859.24597237897774</c:v>
                </c:pt>
                <c:pt idx="993">
                  <c:v>859.24597237897774</c:v>
                </c:pt>
                <c:pt idx="994">
                  <c:v>859.24597237897774</c:v>
                </c:pt>
                <c:pt idx="995">
                  <c:v>859.24597237897774</c:v>
                </c:pt>
                <c:pt idx="996">
                  <c:v>859.24597237897774</c:v>
                </c:pt>
                <c:pt idx="997">
                  <c:v>859.24597237897774</c:v>
                </c:pt>
                <c:pt idx="998">
                  <c:v>859.24597237897774</c:v>
                </c:pt>
                <c:pt idx="999">
                  <c:v>859.24597237897774</c:v>
                </c:pt>
                <c:pt idx="1000">
                  <c:v>859.24597237897774</c:v>
                </c:pt>
              </c:numCache>
            </c:numRef>
          </c:xVal>
          <c:yVal>
            <c:numRef>
              <c:f>Calculs!$K$4:$K$1004</c:f>
              <c:numCache>
                <c:formatCode>0.00</c:formatCode>
                <c:ptCount val="1001"/>
                <c:pt idx="0">
                  <c:v>0</c:v>
                </c:pt>
                <c:pt idx="1">
                  <c:v>3.7787863175434927E-6</c:v>
                </c:pt>
                <c:pt idx="2">
                  <c:v>9.7430286809401792E-4</c:v>
                </c:pt>
                <c:pt idx="3">
                  <c:v>4.8304626638425606E-3</c:v>
                </c:pt>
                <c:pt idx="4">
                  <c:v>1.3492455547460976E-2</c:v>
                </c:pt>
                <c:pt idx="5">
                  <c:v>2.8882335691858652E-2</c:v>
                </c:pt>
                <c:pt idx="6">
                  <c:v>5.2438330844134518E-2</c:v>
                </c:pt>
                <c:pt idx="7">
                  <c:v>8.4627999028125303E-2</c:v>
                </c:pt>
                <c:pt idx="8">
                  <c:v>0.12543307209862209</c:v>
                </c:pt>
                <c:pt idx="9">
                  <c:v>0.17483518671082196</c:v>
                </c:pt>
                <c:pt idx="10">
                  <c:v>0.23281588467534353</c:v>
                </c:pt>
                <c:pt idx="11">
                  <c:v>0.29935661331694385</c:v>
                </c:pt>
                <c:pt idx="12">
                  <c:v>0.37443872583690696</c:v>
                </c:pt>
                <c:pt idx="13">
                  <c:v>0.45804348167907422</c:v>
                </c:pt>
                <c:pt idx="14">
                  <c:v>0.55015204689948516</c:v>
                </c:pt>
                <c:pt idx="15">
                  <c:v>0.65074549453959929</c:v>
                </c:pt>
                <c:pt idx="16">
                  <c:v>0.75980480500306613</c:v>
                </c:pt>
                <c:pt idx="17">
                  <c:v>0.87731086643601375</c:v>
                </c:pt>
                <c:pt idx="18">
                  <c:v>1.0032444751108227</c:v>
                </c:pt>
                <c:pt idx="19">
                  <c:v>1.1375863358133538</c:v>
                </c:pt>
                <c:pt idx="20">
                  <c:v>1.2803170622335978</c:v>
                </c:pt>
                <c:pt idx="21">
                  <c:v>1.4314171773597135</c:v>
                </c:pt>
                <c:pt idx="22">
                  <c:v>1.5908671138754222</c:v>
                </c:pt>
                <c:pt idx="23">
                  <c:v>1.7586472145607248</c:v>
                </c:pt>
                <c:pt idx="24">
                  <c:v>1.9347377326959072</c:v>
                </c:pt>
                <c:pt idx="25">
                  <c:v>2.1191188324688026</c:v>
                </c:pt>
                <c:pt idx="26">
                  <c:v>2.3117705893852749</c:v>
                </c:pt>
                <c:pt idx="27">
                  <c:v>2.5126729906828871</c:v>
                </c:pt>
                <c:pt idx="28">
                  <c:v>2.7218059357477258</c:v>
                </c:pt>
                <c:pt idx="29">
                  <c:v>2.9391492365343406</c:v>
                </c:pt>
                <c:pt idx="30">
                  <c:v>3.1646826179887673</c:v>
                </c:pt>
                <c:pt idx="31">
                  <c:v>3.3983857184745978</c:v>
                </c:pt>
                <c:pt idx="32">
                  <c:v>3.6402380902020628</c:v>
                </c:pt>
                <c:pt idx="33">
                  <c:v>3.890219199660089</c:v>
                </c:pt>
                <c:pt idx="34">
                  <c:v>4.1483084280512976</c:v>
                </c:pt>
                <c:pt idx="35">
                  <c:v>4.4144702745167566</c:v>
                </c:pt>
                <c:pt idx="36">
                  <c:v>4.6886686673246736</c:v>
                </c:pt>
                <c:pt idx="37">
                  <c:v>4.97088176732339</c:v>
                </c:pt>
                <c:pt idx="38">
                  <c:v>5.2610876701949847</c:v>
                </c:pt>
                <c:pt idx="39">
                  <c:v>5.5592644130745841</c:v>
                </c:pt>
                <c:pt idx="40">
                  <c:v>5.8653899738696778</c:v>
                </c:pt>
                <c:pt idx="41">
                  <c:v>6.1794422706673755</c:v>
                </c:pt>
                <c:pt idx="42">
                  <c:v>6.501399161221042</c:v>
                </c:pt>
                <c:pt idx="43">
                  <c:v>6.8312384425088073</c:v>
                </c:pt>
                <c:pt idx="44">
                  <c:v>7.168937850357322</c:v>
                </c:pt>
                <c:pt idx="45">
                  <c:v>7.5144750591249263</c:v>
                </c:pt>
                <c:pt idx="46">
                  <c:v>7.8678276814390493</c:v>
                </c:pt>
                <c:pt idx="47">
                  <c:v>8.2289732679832355</c:v>
                </c:pt>
                <c:pt idx="48">
                  <c:v>8.5978893073296838</c:v>
                </c:pt>
                <c:pt idx="49">
                  <c:v>8.9745532258136365</c:v>
                </c:pt>
                <c:pt idx="50">
                  <c:v>9.3589423874463211</c:v>
                </c:pt>
                <c:pt idx="51">
                  <c:v>9.7510366482234261</c:v>
                </c:pt>
                <c:pt idx="52">
                  <c:v>10.150820913449881</c:v>
                </c:pt>
                <c:pt idx="53">
                  <c:v>10.558282587435848</c:v>
                </c:pt>
                <c:pt idx="54">
                  <c:v>10.973409020130692</c:v>
                </c:pt>
                <c:pt idx="55">
                  <c:v>11.396187506974208</c:v>
                </c:pt>
                <c:pt idx="56">
                  <c:v>11.826605288769619</c:v>
                </c:pt>
                <c:pt idx="57">
                  <c:v>12.264649551576969</c:v>
                </c:pt>
                <c:pt idx="58">
                  <c:v>12.710307426625654</c:v>
                </c:pt>
                <c:pt idx="59">
                  <c:v>13.163565990244917</c:v>
                </c:pt>
                <c:pt idx="60">
                  <c:v>13.62441226381128</c:v>
                </c:pt>
                <c:pt idx="61">
                  <c:v>14.092833213711897</c:v>
                </c:pt>
                <c:pt idx="62">
                  <c:v>14.568815751322973</c:v>
                </c:pt>
                <c:pt idx="63">
                  <c:v>15.052346733002386</c:v>
                </c:pt>
                <c:pt idx="64">
                  <c:v>15.543412960095768</c:v>
                </c:pt>
                <c:pt idx="65">
                  <c:v>16.042001178955335</c:v>
                </c:pt>
                <c:pt idx="66">
                  <c:v>16.548098080970799</c:v>
                </c:pt>
                <c:pt idx="67">
                  <c:v>17.061690302611765</c:v>
                </c:pt>
                <c:pt idx="68">
                  <c:v>17.582764425481052</c:v>
                </c:pt>
                <c:pt idx="69">
                  <c:v>18.111306976378398</c:v>
                </c:pt>
                <c:pt idx="70">
                  <c:v>18.647304427374063</c:v>
                </c:pt>
                <c:pt idx="71">
                  <c:v>19.190743195891891</c:v>
                </c:pt>
                <c:pt idx="72">
                  <c:v>19.741609644801372</c:v>
                </c:pt>
                <c:pt idx="73">
                  <c:v>20.299890082518331</c:v>
                </c:pt>
                <c:pt idx="74">
                  <c:v>20.865570763113876</c:v>
                </c:pt>
                <c:pt idx="75">
                  <c:v>21.438637886431209</c:v>
                </c:pt>
                <c:pt idx="76">
                  <c:v>22.019077598210028</c:v>
                </c:pt>
                <c:pt idx="77">
                  <c:v>22.606875990218185</c:v>
                </c:pt>
                <c:pt idx="78">
                  <c:v>23.202019100390295</c:v>
                </c:pt>
                <c:pt idx="79">
                  <c:v>23.80449291297305</c:v>
                </c:pt>
                <c:pt idx="80">
                  <c:v>24.414283358676954</c:v>
                </c:pt>
                <c:pt idx="81">
                  <c:v>25.031376314834272</c:v>
                </c:pt>
                <c:pt idx="82">
                  <c:v>25.655757605562911</c:v>
                </c:pt>
                <c:pt idx="83">
                  <c:v>26.287413001936063</c:v>
                </c:pt>
                <c:pt idx="84">
                  <c:v>26.926328222157366</c:v>
                </c:pt>
                <c:pt idx="85">
                  <c:v>27.572488931741425</c:v>
                </c:pt>
                <c:pt idx="86">
                  <c:v>28.225880743699481</c:v>
                </c:pt>
                <c:pt idx="87">
                  <c:v>28.886489218730038</c:v>
                </c:pt>
                <c:pt idx="88">
                  <c:v>29.554299865414336</c:v>
                </c:pt>
                <c:pt idx="89">
                  <c:v>30.229298140416446</c:v>
                </c:pt>
                <c:pt idx="90">
                  <c:v>30.911469448687878</c:v>
                </c:pt>
                <c:pt idx="91">
                  <c:v>31.600799143676532</c:v>
                </c:pt>
                <c:pt idx="92">
                  <c:v>32.297272527539889</c:v>
                </c:pt>
                <c:pt idx="93">
                  <c:v>33.000874851362241</c:v>
                </c:pt>
                <c:pt idx="94">
                  <c:v>33.711591315375934</c:v>
                </c:pt>
                <c:pt idx="95">
                  <c:v>34.429407069186396</c:v>
                </c:pt>
                <c:pt idx="96">
                  <c:v>35.154307212000916</c:v>
                </c:pt>
                <c:pt idx="97">
                  <c:v>35.886276792861025</c:v>
                </c:pt>
                <c:pt idx="98">
                  <c:v>36.625300810878372</c:v>
                </c:pt>
                <c:pt idx="99">
                  <c:v>37.371364215474003</c:v>
                </c:pt>
                <c:pt idx="100">
                  <c:v>38.124451906620934</c:v>
                </c:pt>
                <c:pt idx="101">
                  <c:v>38.884547561353045</c:v>
                </c:pt>
                <c:pt idx="102">
                  <c:v>39.65163245933396</c:v>
                </c:pt>
                <c:pt idx="103">
                  <c:v>40.425686655865711</c:v>
                </c:pt>
                <c:pt idx="104">
                  <c:v>41.206690155897249</c:v>
                </c:pt>
                <c:pt idx="105">
                  <c:v>41.994622914389659</c:v>
                </c:pt>
                <c:pt idx="106">
                  <c:v>42.789464836684097</c:v>
                </c:pt>
                <c:pt idx="107">
                  <c:v>43.591195778872333</c:v>
                </c:pt>
                <c:pt idx="108">
                  <c:v>44.399795548169884</c:v>
                </c:pt>
                <c:pt idx="109">
                  <c:v>45.215243903291544</c:v>
                </c:pt>
                <c:pt idx="110">
                  <c:v>46.037520554829314</c:v>
                </c:pt>
                <c:pt idx="111">
                  <c:v>46.866605165632613</c:v>
                </c:pt>
                <c:pt idx="112">
                  <c:v>47.702477351190673</c:v>
                </c:pt>
                <c:pt idx="113">
                  <c:v>48.545116680017038</c:v>
                </c:pt>
                <c:pt idx="114">
                  <c:v>49.394502674036168</c:v>
                </c:pt>
                <c:pt idx="115">
                  <c:v>50.250614808971932</c:v>
                </c:pt>
                <c:pt idx="116">
                  <c:v>51.113432514738065</c:v>
                </c:pt>
                <c:pt idx="117">
                  <c:v>51.982935175830413</c:v>
                </c:pt>
                <c:pt idx="118">
                  <c:v>52.859102131720924</c:v>
                </c:pt>
                <c:pt idx="119">
                  <c:v>53.741912677253374</c:v>
                </c:pt>
                <c:pt idx="120">
                  <c:v>54.631346063040667</c:v>
                </c:pt>
                <c:pt idx="121">
                  <c:v>55.527381495863715</c:v>
                </c:pt>
                <c:pt idx="122">
                  <c:v>56.429998139071806</c:v>
                </c:pt>
                <c:pt idx="123">
                  <c:v>57.339175112984421</c:v>
                </c:pt>
                <c:pt idx="124">
                  <c:v>58.254891495294409</c:v>
                </c:pt>
                <c:pt idx="125">
                  <c:v>59.177126321472464</c:v>
                </c:pt>
                <c:pt idx="126">
                  <c:v>60.105858585172903</c:v>
                </c:pt>
                <c:pt idx="127">
                  <c:v>61.041067238640601</c:v>
                </c:pt>
                <c:pt idx="128">
                  <c:v>61.982731193119086</c:v>
                </c:pt>
                <c:pt idx="129">
                  <c:v>62.930829319259736</c:v>
                </c:pt>
                <c:pt idx="130">
                  <c:v>63.885340447532002</c:v>
                </c:pt>
                <c:pt idx="131">
                  <c:v>64.846243368634632</c:v>
                </c:pt>
                <c:pt idx="132">
                  <c:v>65.813516833907784</c:v>
                </c:pt>
                <c:pt idx="133">
                  <c:v>66.787139555746108</c:v>
                </c:pt>
                <c:pt idx="134">
                  <c:v>67.76709020801259</c:v>
                </c:pt>
                <c:pt idx="135">
                  <c:v>68.753347426453189</c:v>
                </c:pt>
                <c:pt idx="136">
                  <c:v>69.745889809112271</c:v>
                </c:pt>
                <c:pt idx="137">
                  <c:v>70.744695916748668</c:v>
                </c:pt>
                <c:pt idx="138">
                  <c:v>71.749744273252432</c:v>
                </c:pt>
                <c:pt idx="139">
                  <c:v>72.761013366062144</c:v>
                </c:pt>
                <c:pt idx="140">
                  <c:v>73.778481646582833</c:v>
                </c:pt>
                <c:pt idx="141">
                  <c:v>74.802127530604366</c:v>
                </c:pt>
                <c:pt idx="142">
                  <c:v>75.831929398720348</c:v>
                </c:pt>
                <c:pt idx="143">
                  <c:v>76.867865596747379</c:v>
                </c:pt>
                <c:pt idx="144">
                  <c:v>77.909914436144774</c:v>
                </c:pt>
                <c:pt idx="145">
                  <c:v>78.958054194434595</c:v>
                </c:pt>
                <c:pt idx="146">
                  <c:v>80.012263115621977</c:v>
                </c:pt>
                <c:pt idx="147">
                  <c:v>81.072519410615726</c:v>
                </c:pt>
                <c:pt idx="148">
                  <c:v>82.138801257649149</c:v>
                </c:pt>
                <c:pt idx="149">
                  <c:v>83.211086802701061</c:v>
                </c:pt>
                <c:pt idx="150">
                  <c:v>84.289354159916925</c:v>
                </c:pt>
                <c:pt idx="151">
                  <c:v>85.373581810338379</c:v>
                </c:pt>
                <c:pt idx="152">
                  <c:v>86.463749000770918</c:v>
                </c:pt>
                <c:pt idx="153">
                  <c:v>87.559835345887578</c:v>
                </c:pt>
                <c:pt idx="154">
                  <c:v>88.661820430177187</c:v>
                </c:pt>
                <c:pt idx="155">
                  <c:v>89.769683808330981</c:v>
                </c:pt>
                <c:pt idx="156">
                  <c:v>90.8834050056292</c:v>
                </c:pt>
                <c:pt idx="157">
                  <c:v>92.002963518327832</c:v>
                </c:pt>
                <c:pt idx="158">
                  <c:v>93.128338814045293</c:v>
                </c:pt>
                <c:pt idx="159">
                  <c:v>94.259510332149176</c:v>
                </c:pt>
                <c:pt idx="160">
                  <c:v>95.396457484142886</c:v>
                </c:pt>
                <c:pt idx="161">
                  <c:v>96.539159654052256</c:v>
                </c:pt>
                <c:pt idx="162">
                  <c:v>97.687596198812059</c:v>
                </c:pt>
                <c:pt idx="163">
                  <c:v>98.84174644865233</c:v>
                </c:pt>
                <c:pt idx="164">
                  <c:v>100.00158970748461</c:v>
                </c:pt>
                <c:pt idx="165">
                  <c:v>101.16710525328796</c:v>
                </c:pt>
                <c:pt idx="166">
                  <c:v>102.3382723384947</c:v>
                </c:pt>
                <c:pt idx="167">
                  <c:v>103.51507019037608</c:v>
                </c:pt>
                <c:pt idx="168">
                  <c:v>104.69747801142742</c:v>
                </c:pt>
                <c:pt idx="169">
                  <c:v>105.88547497975317</c:v>
                </c:pt>
                <c:pt idx="170">
                  <c:v>107.07904024945152</c:v>
                </c:pt>
                <c:pt idx="171">
                  <c:v>108.27815295099873</c:v>
                </c:pt>
                <c:pt idx="172">
                  <c:v>109.48279219163297</c:v>
                </c:pt>
                <c:pt idx="173">
                  <c:v>110.69293705573784</c:v>
                </c:pt>
                <c:pt idx="174">
                  <c:v>111.90856660522547</c:v>
                </c:pt>
                <c:pt idx="175">
                  <c:v>113.12965987991907</c:v>
                </c:pt>
                <c:pt idx="176">
                  <c:v>114.35619589793505</c:v>
                </c:pt>
                <c:pt idx="177">
                  <c:v>115.58815365606465</c:v>
                </c:pt>
                <c:pt idx="178">
                  <c:v>116.82551213015493</c:v>
                </c:pt>
                <c:pt idx="179">
                  <c:v>118.06825027548938</c:v>
                </c:pt>
                <c:pt idx="180">
                  <c:v>119.31634702716772</c:v>
                </c:pt>
                <c:pt idx="181">
                  <c:v>120.56978130048529</c:v>
                </c:pt>
                <c:pt idx="182">
                  <c:v>121.82853199131168</c:v>
                </c:pt>
                <c:pt idx="183">
                  <c:v>123.09257797646873</c:v>
                </c:pt>
                <c:pt idx="184">
                  <c:v>124.3618981141079</c:v>
                </c:pt>
                <c:pt idx="185">
                  <c:v>125.63647124408688</c:v>
                </c:pt>
                <c:pt idx="186">
                  <c:v>126.91627618834549</c:v>
                </c:pt>
                <c:pt idx="187">
                  <c:v>128.20129175128088</c:v>
                </c:pt>
                <c:pt idx="188">
                  <c:v>129.4914967201218</c:v>
                </c:pt>
                <c:pt idx="189">
                  <c:v>130.78686986530235</c:v>
                </c:pt>
                <c:pt idx="190">
                  <c:v>132.08738994083461</c:v>
                </c:pt>
                <c:pt idx="191">
                  <c:v>133.39303568468071</c:v>
                </c:pt>
                <c:pt idx="192">
                  <c:v>134.70378581912382</c:v>
                </c:pt>
                <c:pt idx="193">
                  <c:v>136.01961905113839</c:v>
                </c:pt>
                <c:pt idx="194">
                  <c:v>137.3405140727595</c:v>
                </c:pt>
                <c:pt idx="195">
                  <c:v>138.66644956145123</c:v>
                </c:pt>
                <c:pt idx="196">
                  <c:v>139.99740418047406</c:v>
                </c:pt>
                <c:pt idx="197">
                  <c:v>141.33335657925147</c:v>
                </c:pt>
                <c:pt idx="198">
                  <c:v>142.6742853937354</c:v>
                </c:pt>
                <c:pt idx="199">
                  <c:v>144.02016924677076</c:v>
                </c:pt>
                <c:pt idx="200">
                  <c:v>145.37098674845902</c:v>
                </c:pt>
                <c:pt idx="201">
                  <c:v>146.72671649652057</c:v>
                </c:pt>
                <c:pt idx="202">
                  <c:v>148.08733707665621</c:v>
                </c:pt>
                <c:pt idx="203">
                  <c:v>149.45282706290755</c:v>
                </c:pt>
                <c:pt idx="204">
                  <c:v>150.82316501801617</c:v>
                </c:pt>
                <c:pt idx="205">
                  <c:v>152.19832949378184</c:v>
                </c:pt>
                <c:pt idx="206">
                  <c:v>153.5782990314195</c:v>
                </c:pt>
                <c:pt idx="207">
                  <c:v>154.96305216191521</c:v>
                </c:pt>
                <c:pt idx="208">
                  <c:v>156.35256740638087</c:v>
                </c:pt>
                <c:pt idx="209">
                  <c:v>157.7468232764077</c:v>
                </c:pt>
                <c:pt idx="210">
                  <c:v>159.14579827441867</c:v>
                </c:pt>
                <c:pt idx="211">
                  <c:v>160.54947089401969</c:v>
                </c:pt>
                <c:pt idx="212">
                  <c:v>161.95781962034943</c:v>
                </c:pt>
                <c:pt idx="213">
                  <c:v>163.37082293042806</c:v>
                </c:pt>
                <c:pt idx="214">
                  <c:v>164.78845929350473</c:v>
                </c:pt>
                <c:pt idx="215">
                  <c:v>166.21070717140361</c:v>
                </c:pt>
                <c:pt idx="216">
                  <c:v>167.63754501886891</c:v>
                </c:pt>
                <c:pt idx="217">
                  <c:v>169.06895128390832</c:v>
                </c:pt>
                <c:pt idx="218">
                  <c:v>170.50490440813533</c:v>
                </c:pt>
                <c:pt idx="219">
                  <c:v>171.94538282711014</c:v>
                </c:pt>
                <c:pt idx="220">
                  <c:v>173.39036497067923</c:v>
                </c:pt>
                <c:pt idx="221">
                  <c:v>174.83982926331356</c:v>
                </c:pt>
                <c:pt idx="222">
                  <c:v>176.29375412444546</c:v>
                </c:pt>
                <c:pt idx="223">
                  <c:v>177.75211796880401</c:v>
                </c:pt>
                <c:pt idx="224">
                  <c:v>179.21489920674921</c:v>
                </c:pt>
                <c:pt idx="225">
                  <c:v>180.68207624460447</c:v>
                </c:pt>
                <c:pt idx="226">
                  <c:v>182.15362748498794</c:v>
                </c:pt>
                <c:pt idx="227">
                  <c:v>183.62953132714225</c:v>
                </c:pt>
                <c:pt idx="228">
                  <c:v>185.10976616726285</c:v>
                </c:pt>
                <c:pt idx="229">
                  <c:v>186.5943103988248</c:v>
                </c:pt>
                <c:pt idx="230">
                  <c:v>188.08314241290827</c:v>
                </c:pt>
                <c:pt idx="231">
                  <c:v>189.5762405985223</c:v>
                </c:pt>
                <c:pt idx="232">
                  <c:v>191.07358334292732</c:v>
                </c:pt>
                <c:pt idx="233">
                  <c:v>192.57514903195593</c:v>
                </c:pt>
                <c:pt idx="234">
                  <c:v>194.08091605033232</c:v>
                </c:pt>
                <c:pt idx="235">
                  <c:v>195.5908627819901</c:v>
                </c:pt>
                <c:pt idx="236">
                  <c:v>197.10496761038854</c:v>
                </c:pt>
                <c:pt idx="237">
                  <c:v>198.62320891882737</c:v>
                </c:pt>
                <c:pt idx="238">
                  <c:v>200.1455650907599</c:v>
                </c:pt>
                <c:pt idx="239">
                  <c:v>201.67201451010456</c:v>
                </c:pt>
                <c:pt idx="240">
                  <c:v>203.20253556155498</c:v>
                </c:pt>
                <c:pt idx="241">
                  <c:v>204.73710663088838</c:v>
                </c:pt>
                <c:pt idx="242">
                  <c:v>206.27570610527238</c:v>
                </c:pt>
                <c:pt idx="243">
                  <c:v>207.81831237357014</c:v>
                </c:pt>
                <c:pt idx="244">
                  <c:v>209.36490382664402</c:v>
                </c:pt>
                <c:pt idx="245">
                  <c:v>210.9154588576574</c:v>
                </c:pt>
                <c:pt idx="246">
                  <c:v>212.46995586237509</c:v>
                </c:pt>
                <c:pt idx="247">
                  <c:v>214.02837323946187</c:v>
                </c:pt>
                <c:pt idx="248">
                  <c:v>215.59068939077957</c:v>
                </c:pt>
                <c:pt idx="249">
                  <c:v>217.15688272168236</c:v>
                </c:pt>
                <c:pt idx="250">
                  <c:v>218.72693164131039</c:v>
                </c:pt>
                <c:pt idx="251">
                  <c:v>220.30081285299997</c:v>
                </c:pt>
                <c:pt idx="252">
                  <c:v>221.87849964549096</c:v>
                </c:pt>
                <c:pt idx="253">
                  <c:v>223.4599636056802</c:v>
                </c:pt>
                <c:pt idx="254">
                  <c:v>225.04517633063145</c:v>
                </c:pt>
                <c:pt idx="255">
                  <c:v>226.63410942797353</c:v>
                </c:pt>
                <c:pt idx="256">
                  <c:v>228.22673451629583</c:v>
                </c:pt>
                <c:pt idx="257">
                  <c:v>229.82302322554065</c:v>
                </c:pt>
                <c:pt idx="258">
                  <c:v>231.42294719739274</c:v>
                </c:pt>
                <c:pt idx="259">
                  <c:v>233.02647808566584</c:v>
                </c:pt>
                <c:pt idx="260">
                  <c:v>234.63358755668619</c:v>
                </c:pt>
                <c:pt idx="261">
                  <c:v>236.24424728967327</c:v>
                </c:pt>
                <c:pt idx="262">
                  <c:v>237.85842897711737</c:v>
                </c:pt>
                <c:pt idx="263">
                  <c:v>239.47610432515427</c:v>
                </c:pt>
                <c:pt idx="264">
                  <c:v>241.09724505393692</c:v>
                </c:pt>
                <c:pt idx="265">
                  <c:v>242.72182289800421</c:v>
                </c:pt>
                <c:pt idx="266">
                  <c:v>244.3498096066466</c:v>
                </c:pt>
                <c:pt idx="267">
                  <c:v>245.9811769442689</c:v>
                </c:pt>
                <c:pt idx="268">
                  <c:v>247.61589669074982</c:v>
                </c:pt>
                <c:pt idx="269">
                  <c:v>249.25394064179886</c:v>
                </c:pt>
                <c:pt idx="270">
                  <c:v>250.89528060930982</c:v>
                </c:pt>
                <c:pt idx="271">
                  <c:v>252.53988842171159</c:v>
                </c:pt>
                <c:pt idx="272">
                  <c:v>254.18773592431569</c:v>
                </c:pt>
                <c:pt idx="273">
                  <c:v>255.83879497966092</c:v>
                </c:pt>
                <c:pt idx="274">
                  <c:v>257.49303746785495</c:v>
                </c:pt>
                <c:pt idx="275">
                  <c:v>259.15043528691297</c:v>
                </c:pt>
                <c:pt idx="276">
                  <c:v>260.81096035309298</c:v>
                </c:pt>
                <c:pt idx="277">
                  <c:v>262.47458460122846</c:v>
                </c:pt>
                <c:pt idx="278">
                  <c:v>264.14127998505785</c:v>
                </c:pt>
                <c:pt idx="279">
                  <c:v>265.81101847755087</c:v>
                </c:pt>
                <c:pt idx="280">
                  <c:v>267.48377207123195</c:v>
                </c:pt>
                <c:pt idx="281">
                  <c:v>269.15951277850047</c:v>
                </c:pt>
                <c:pt idx="282">
                  <c:v>270.83821263194818</c:v>
                </c:pt>
                <c:pt idx="283">
                  <c:v>272.51984368467339</c:v>
                </c:pt>
                <c:pt idx="284">
                  <c:v>274.20437801059222</c:v>
                </c:pt>
                <c:pt idx="285">
                  <c:v>275.89178770474672</c:v>
                </c:pt>
                <c:pt idx="286">
                  <c:v>277.58204488361008</c:v>
                </c:pt>
                <c:pt idx="287">
                  <c:v>279.27512168538863</c:v>
                </c:pt>
                <c:pt idx="288">
                  <c:v>280.97099027032095</c:v>
                </c:pt>
                <c:pt idx="289">
                  <c:v>282.66962282097387</c:v>
                </c:pt>
                <c:pt idx="290">
                  <c:v>284.37099154253542</c:v>
                </c:pt>
                <c:pt idx="291">
                  <c:v>286.07506866310484</c:v>
                </c:pt>
                <c:pt idx="292">
                  <c:v>287.78182643397946</c:v>
                </c:pt>
                <c:pt idx="293">
                  <c:v>289.4912371299385</c:v>
                </c:pt>
                <c:pt idx="294">
                  <c:v>291.20327304952406</c:v>
                </c:pt>
                <c:pt idx="295">
                  <c:v>292.91790651531886</c:v>
                </c:pt>
                <c:pt idx="296">
                  <c:v>294.63510987422109</c:v>
                </c:pt>
                <c:pt idx="297">
                  <c:v>296.35485549771619</c:v>
                </c:pt>
                <c:pt idx="298">
                  <c:v>298.07709705674057</c:v>
                </c:pt>
                <c:pt idx="299">
                  <c:v>299.8017508128433</c:v>
                </c:pt>
                <c:pt idx="300">
                  <c:v>301.52871438528666</c:v>
                </c:pt>
                <c:pt idx="301">
                  <c:v>303.25788550275541</c:v>
                </c:pt>
                <c:pt idx="302">
                  <c:v>304.98916200541987</c:v>
                </c:pt>
                <c:pt idx="303">
                  <c:v>306.72244184696257</c:v>
                </c:pt>
                <c:pt idx="304">
                  <c:v>308.45762309656772</c:v>
                </c:pt>
                <c:pt idx="305">
                  <c:v>310.19460394087452</c:v>
                </c:pt>
                <c:pt idx="306">
                  <c:v>311.93328268589335</c:v>
                </c:pt>
                <c:pt idx="307">
                  <c:v>313.67355775888564</c:v>
                </c:pt>
                <c:pt idx="308">
                  <c:v>315.41532771020724</c:v>
                </c:pt>
                <c:pt idx="309">
                  <c:v>317.15849121511525</c:v>
                </c:pt>
                <c:pt idx="310">
                  <c:v>318.90294707553852</c:v>
                </c:pt>
                <c:pt idx="311">
                  <c:v>320.64859422181195</c:v>
                </c:pt>
                <c:pt idx="312">
                  <c:v>322.39533171437466</c:v>
                </c:pt>
                <c:pt idx="313">
                  <c:v>324.14305874543197</c:v>
                </c:pt>
                <c:pt idx="314">
                  <c:v>325.89167464058141</c:v>
                </c:pt>
                <c:pt idx="315">
                  <c:v>327.64107886040313</c:v>
                </c:pt>
                <c:pt idx="316">
                  <c:v>329.39117100201418</c:v>
                </c:pt>
                <c:pt idx="317">
                  <c:v>331.14185080058741</c:v>
                </c:pt>
                <c:pt idx="318">
                  <c:v>332.89301813083506</c:v>
                </c:pt>
                <c:pt idx="319">
                  <c:v>334.64457300845652</c:v>
                </c:pt>
                <c:pt idx="320">
                  <c:v>336.39641559155115</c:v>
                </c:pt>
                <c:pt idx="321">
                  <c:v>338.14845362128852</c:v>
                </c:pt>
                <c:pt idx="322">
                  <c:v>339.90060985226188</c:v>
                </c:pt>
                <c:pt idx="323">
                  <c:v>341.65281459222058</c:v>
                </c:pt>
                <c:pt idx="324">
                  <c:v>343.40499825170627</c:v>
                </c:pt>
                <c:pt idx="325">
                  <c:v>345.15709134461525</c:v>
                </c:pt>
                <c:pt idx="326">
                  <c:v>346.9090244887438</c:v>
                </c:pt>
                <c:pt idx="327">
                  <c:v>348.66072840631682</c:v>
                </c:pt>
                <c:pt idx="328">
                  <c:v>350.41213392450032</c:v>
                </c:pt>
                <c:pt idx="329">
                  <c:v>352.16317197589677</c:v>
                </c:pt>
                <c:pt idx="330">
                  <c:v>353.91377359902452</c:v>
                </c:pt>
                <c:pt idx="331">
                  <c:v>355.66386993878092</c:v>
                </c:pt>
                <c:pt idx="332">
                  <c:v>357.41339224688892</c:v>
                </c:pt>
                <c:pt idx="333">
                  <c:v>359.16227188232779</c:v>
                </c:pt>
                <c:pt idx="334">
                  <c:v>360.91044031174783</c:v>
                </c:pt>
                <c:pt idx="335">
                  <c:v>362.65782910986923</c:v>
                </c:pt>
                <c:pt idx="336">
                  <c:v>364.40436995986482</c:v>
                </c:pt>
                <c:pt idx="337">
                  <c:v>366.14999465372756</c:v>
                </c:pt>
                <c:pt idx="338">
                  <c:v>367.89463509262197</c:v>
                </c:pt>
                <c:pt idx="339">
                  <c:v>369.63822328722046</c:v>
                </c:pt>
                <c:pt idx="340">
                  <c:v>371.38069135802397</c:v>
                </c:pt>
                <c:pt idx="341">
                  <c:v>373.12197153566751</c:v>
                </c:pt>
                <c:pt idx="342">
                  <c:v>374.86199616121041</c:v>
                </c:pt>
                <c:pt idx="343">
                  <c:v>376.60069768641154</c:v>
                </c:pt>
                <c:pt idx="344">
                  <c:v>378.33800867398946</c:v>
                </c:pt>
                <c:pt idx="345">
                  <c:v>380.07386179786795</c:v>
                </c:pt>
                <c:pt idx="346">
                  <c:v>381.8081898434063</c:v>
                </c:pt>
                <c:pt idx="347">
                  <c:v>383.5409257076156</c:v>
                </c:pt>
                <c:pt idx="348">
                  <c:v>385.27200320080902</c:v>
                </c:pt>
                <c:pt idx="349">
                  <c:v>387.00135784684369</c:v>
                </c:pt>
                <c:pt idx="350">
                  <c:v>388.72892607903674</c:v>
                </c:pt>
                <c:pt idx="351">
                  <c:v>390.45464443744345</c:v>
                </c:pt>
                <c:pt idx="352">
                  <c:v>392.17844956896499</c:v>
                </c:pt>
                <c:pt idx="353">
                  <c:v>393.90027822744361</c:v>
                </c:pt>
                <c:pt idx="354">
                  <c:v>395.62006727374535</c:v>
                </c:pt>
                <c:pt idx="355">
                  <c:v>397.33775367583041</c:v>
                </c:pt>
                <c:pt idx="356">
                  <c:v>399.05327450881117</c:v>
                </c:pt>
                <c:pt idx="357">
                  <c:v>400.7665669549981</c:v>
                </c:pt>
                <c:pt idx="358">
                  <c:v>402.47756830393365</c:v>
                </c:pt>
                <c:pt idx="359">
                  <c:v>404.18621595241393</c:v>
                </c:pt>
                <c:pt idx="360">
                  <c:v>405.89246406555554</c:v>
                </c:pt>
                <c:pt idx="361">
                  <c:v>407.5963002068317</c:v>
                </c:pt>
                <c:pt idx="362">
                  <c:v>409.2977286161622</c:v>
                </c:pt>
                <c:pt idx="363">
                  <c:v>410.99675351905807</c:v>
                </c:pt>
                <c:pt idx="364">
                  <c:v>412.69337912668556</c:v>
                </c:pt>
                <c:pt idx="365">
                  <c:v>414.38760963592989</c:v>
                </c:pt>
                <c:pt idx="366">
                  <c:v>416.07944922945836</c:v>
                </c:pt>
                <c:pt idx="367">
                  <c:v>417.76890207578356</c:v>
                </c:pt>
                <c:pt idx="368">
                  <c:v>419.45597232932573</c:v>
                </c:pt>
                <c:pt idx="369">
                  <c:v>421.14066413047516</c:v>
                </c:pt>
                <c:pt idx="370">
                  <c:v>422.82298160565404</c:v>
                </c:pt>
                <c:pt idx="371">
                  <c:v>424.50292886737793</c:v>
                </c:pt>
                <c:pt idx="372">
                  <c:v>426.18051001431706</c:v>
                </c:pt>
                <c:pt idx="373">
                  <c:v>427.85572913135724</c:v>
                </c:pt>
                <c:pt idx="374">
                  <c:v>429.52859028966026</c:v>
                </c:pt>
                <c:pt idx="375">
                  <c:v>431.1990975467242</c:v>
                </c:pt>
                <c:pt idx="376">
                  <c:v>432.8672549464431</c:v>
                </c:pt>
                <c:pt idx="377">
                  <c:v>434.53306651916671</c:v>
                </c:pt>
                <c:pt idx="378">
                  <c:v>436.19653628175956</c:v>
                </c:pt>
                <c:pt idx="379">
                  <c:v>437.85766823765977</c:v>
                </c:pt>
                <c:pt idx="380">
                  <c:v>439.51646637693773</c:v>
                </c:pt>
                <c:pt idx="381">
                  <c:v>441.1729346763542</c:v>
                </c:pt>
                <c:pt idx="382">
                  <c:v>442.8270770994182</c:v>
                </c:pt>
                <c:pt idx="383">
                  <c:v>444.47889759644465</c:v>
                </c:pt>
                <c:pt idx="384">
                  <c:v>446.12840010461161</c:v>
                </c:pt>
                <c:pt idx="385">
                  <c:v>447.7755885480172</c:v>
                </c:pt>
                <c:pt idx="386">
                  <c:v>449.42046683773617</c:v>
                </c:pt>
                <c:pt idx="387">
                  <c:v>451.0630388718763</c:v>
                </c:pt>
                <c:pt idx="388">
                  <c:v>452.70330853563439</c:v>
                </c:pt>
                <c:pt idx="389">
                  <c:v>454.34127970135194</c:v>
                </c:pt>
                <c:pt idx="390">
                  <c:v>455.97695622857054</c:v>
                </c:pt>
                <c:pt idx="391">
                  <c:v>457.61034196408701</c:v>
                </c:pt>
                <c:pt idx="392">
                  <c:v>459.24144074200802</c:v>
                </c:pt>
                <c:pt idx="393">
                  <c:v>460.87025638380487</c:v>
                </c:pt>
                <c:pt idx="394">
                  <c:v>462.49679269836736</c:v>
                </c:pt>
                <c:pt idx="395">
                  <c:v>464.12105348205802</c:v>
                </c:pt>
                <c:pt idx="396">
                  <c:v>465.74304251876538</c:v>
                </c:pt>
                <c:pt idx="397">
                  <c:v>467.36276357995757</c:v>
                </c:pt>
                <c:pt idx="398">
                  <c:v>468.98022042473514</c:v>
                </c:pt>
                <c:pt idx="399">
                  <c:v>470.59541679988388</c:v>
                </c:pt>
                <c:pt idx="400">
                  <c:v>472.20835643992734</c:v>
                </c:pt>
                <c:pt idx="401">
                  <c:v>488.21392075178619</c:v>
                </c:pt>
                <c:pt idx="402">
                  <c:v>503.9962075022442</c:v>
                </c:pt>
                <c:pt idx="403">
                  <c:v>519.55883335046735</c:v>
                </c:pt>
                <c:pt idx="404">
                  <c:v>534.90529909920122</c:v>
                </c:pt>
                <c:pt idx="405">
                  <c:v>550.03899447088156</c:v>
                </c:pt>
                <c:pt idx="406">
                  <c:v>564.96320263534824</c:v>
                </c:pt>
                <c:pt idx="407">
                  <c:v>579.68110450454753</c:v>
                </c:pt>
                <c:pt idx="408">
                  <c:v>594.1957828085018</c:v>
                </c:pt>
                <c:pt idx="409">
                  <c:v>608.51022596581072</c:v>
                </c:pt>
                <c:pt idx="410">
                  <c:v>622.62733176101403</c:v>
                </c:pt>
                <c:pt idx="411">
                  <c:v>636.54991084028757</c:v>
                </c:pt>
                <c:pt idx="412">
                  <c:v>650.28069003615144</c:v>
                </c:pt>
                <c:pt idx="413">
                  <c:v>663.8223155311432</c:v>
                </c:pt>
                <c:pt idx="414">
                  <c:v>677.17735586973197</c:v>
                </c:pt>
                <c:pt idx="415">
                  <c:v>690.34830482713278</c:v>
                </c:pt>
                <c:pt idx="416">
                  <c:v>703.33758414310284</c:v>
                </c:pt>
                <c:pt idx="417">
                  <c:v>716.14754612827358</c:v>
                </c:pt>
                <c:pt idx="418">
                  <c:v>728.78047615007927</c:v>
                </c:pt>
                <c:pt idx="419">
                  <c:v>741.23859500488913</c:v>
                </c:pt>
                <c:pt idx="420">
                  <c:v>753.52406118252827</c:v>
                </c:pt>
                <c:pt idx="421">
                  <c:v>765.63897302898113</c:v>
                </c:pt>
                <c:pt idx="422">
                  <c:v>777.5853708127089</c:v>
                </c:pt>
                <c:pt idx="423">
                  <c:v>789.36523869967493</c:v>
                </c:pt>
                <c:pt idx="424">
                  <c:v>800.98050664185814</c:v>
                </c:pt>
                <c:pt idx="425">
                  <c:v>812.43305218374508</c:v>
                </c:pt>
                <c:pt idx="426">
                  <c:v>823.72470219101695</c:v>
                </c:pt>
                <c:pt idx="427">
                  <c:v>834.85723450539786</c:v>
                </c:pt>
                <c:pt idx="428">
                  <c:v>845.83237952939407</c:v>
                </c:pt>
                <c:pt idx="429">
                  <c:v>856.65182174443441</c:v>
                </c:pt>
                <c:pt idx="430">
                  <c:v>867.31720116571717</c:v>
                </c:pt>
                <c:pt idx="431">
                  <c:v>877.83011473687839</c:v>
                </c:pt>
                <c:pt idx="432">
                  <c:v>888.1921176674158</c:v>
                </c:pt>
                <c:pt idx="433">
                  <c:v>898.40472471563851</c:v>
                </c:pt>
                <c:pt idx="434">
                  <c:v>908.46941141975321</c:v>
                </c:pt>
                <c:pt idx="435">
                  <c:v>918.38761527955444</c:v>
                </c:pt>
                <c:pt idx="436">
                  <c:v>928.16073689104678</c:v>
                </c:pt>
                <c:pt idx="437">
                  <c:v>937.7901410362017</c:v>
                </c:pt>
                <c:pt idx="438">
                  <c:v>947.27715772992849</c:v>
                </c:pt>
                <c:pt idx="439">
                  <c:v>956.62308322622846</c:v>
                </c:pt>
                <c:pt idx="440">
                  <c:v>965.82918098539483</c:v>
                </c:pt>
                <c:pt idx="441">
                  <c:v>974.89668260402118</c:v>
                </c:pt>
                <c:pt idx="442">
                  <c:v>983.82678870948928</c:v>
                </c:pt>
                <c:pt idx="443">
                  <c:v>992.62066982051874</c:v>
                </c:pt>
                <c:pt idx="444">
                  <c:v>1001.2794671752787</c:v>
                </c:pt>
                <c:pt idx="445">
                  <c:v>1009.8042935284845</c:v>
                </c:pt>
                <c:pt idx="446">
                  <c:v>1018.1962339188302</c:v>
                </c:pt>
                <c:pt idx="447">
                  <c:v>1026.4563464080379</c:v>
                </c:pt>
                <c:pt idx="448">
                  <c:v>1034.5856627927419</c:v>
                </c:pt>
                <c:pt idx="449">
                  <c:v>1042.585189290365</c:v>
                </c:pt>
                <c:pt idx="450">
                  <c:v>1050.4559072000839</c:v>
                </c:pt>
                <c:pt idx="451">
                  <c:v>1058.1987735399327</c:v>
                </c:pt>
                <c:pt idx="452">
                  <c:v>1065.8147216610382</c:v>
                </c:pt>
                <c:pt idx="453">
                  <c:v>1073.3046618399326</c:v>
                </c:pt>
                <c:pt idx="454">
                  <c:v>1080.6694818498484</c:v>
                </c:pt>
                <c:pt idx="455">
                  <c:v>1087.9100475118535</c:v>
                </c:pt>
                <c:pt idx="456">
                  <c:v>1095.0272032266471</c:v>
                </c:pt>
                <c:pt idx="457">
                  <c:v>1102.0217724877971</c:v>
                </c:pt>
                <c:pt idx="458">
                  <c:v>1108.8945583771665</c:v>
                </c:pt>
                <c:pt idx="459">
                  <c:v>1115.6463440432422</c:v>
                </c:pt>
                <c:pt idx="460">
                  <c:v>1122.2778931630451</c:v>
                </c:pt>
                <c:pt idx="461">
                  <c:v>1128.7899503882766</c:v>
                </c:pt>
                <c:pt idx="462">
                  <c:v>1135.1832417763228</c:v>
                </c:pt>
                <c:pt idx="463">
                  <c:v>1141.4584752067151</c:v>
                </c:pt>
                <c:pt idx="464">
                  <c:v>1147.6163407836204</c:v>
                </c:pt>
                <c:pt idx="465">
                  <c:v>1153.6575112249111</c:v>
                </c:pt>
                <c:pt idx="466">
                  <c:v>1159.582642238342</c:v>
                </c:pt>
                <c:pt idx="467">
                  <c:v>1165.3923728853449</c:v>
                </c:pt>
                <c:pt idx="468">
                  <c:v>1171.0873259329292</c:v>
                </c:pt>
                <c:pt idx="469">
                  <c:v>1176.668108194162</c:v>
                </c:pt>
                <c:pt idx="470">
                  <c:v>1182.1353108576832</c:v>
                </c:pt>
                <c:pt idx="471">
                  <c:v>1187.4895098066997</c:v>
                </c:pt>
                <c:pt idx="472">
                  <c:v>1192.7312659278855</c:v>
                </c:pt>
                <c:pt idx="473">
                  <c:v>1197.8611254106061</c:v>
                </c:pt>
                <c:pt idx="474">
                  <c:v>1202.8796200368736</c:v>
                </c:pt>
                <c:pt idx="475">
                  <c:v>1207.7872674624291</c:v>
                </c:pt>
                <c:pt idx="476">
                  <c:v>1212.5845714893421</c:v>
                </c:pt>
                <c:pt idx="477">
                  <c:v>1217.2720223305091</c:v>
                </c:pt>
                <c:pt idx="478">
                  <c:v>1221.8500968664316</c:v>
                </c:pt>
                <c:pt idx="479">
                  <c:v>1226.3192588946447</c:v>
                </c:pt>
                <c:pt idx="480">
                  <c:v>1230.6799593721721</c:v>
                </c:pt>
                <c:pt idx="481">
                  <c:v>1234.9326366513778</c:v>
                </c:pt>
                <c:pt idx="482">
                  <c:v>1239.0777167095894</c:v>
                </c:pt>
                <c:pt idx="483">
                  <c:v>1243.11561337287</c:v>
                </c:pt>
                <c:pt idx="484">
                  <c:v>1247.0467285343223</c:v>
                </c:pt>
                <c:pt idx="485">
                  <c:v>1250.8714523673139</c:v>
                </c:pt>
                <c:pt idx="486">
                  <c:v>1254.5901635340258</c:v>
                </c:pt>
                <c:pt idx="487">
                  <c:v>1258.2032293897346</c:v>
                </c:pt>
                <c:pt idx="488">
                  <c:v>1261.7110061832559</c:v>
                </c:pt>
                <c:pt idx="489">
                  <c:v>1265.1138392539949</c:v>
                </c:pt>
                <c:pt idx="490">
                  <c:v>1268.4120632260685</c:v>
                </c:pt>
                <c:pt idx="491">
                  <c:v>1271.6060021999865</c:v>
                </c:pt>
                <c:pt idx="492">
                  <c:v>1274.6959699424087</c:v>
                </c:pt>
                <c:pt idx="493">
                  <c:v>1277.682270074524</c:v>
                </c:pt>
                <c:pt idx="494">
                  <c:v>1280.5651962596296</c:v>
                </c:pt>
                <c:pt idx="495">
                  <c:v>1283.3450323905274</c:v>
                </c:pt>
                <c:pt idx="496">
                  <c:v>1286.0220527773956</c:v>
                </c:pt>
                <c:pt idx="497">
                  <c:v>1288.5965223368362</c:v>
                </c:pt>
                <c:pt idx="498">
                  <c:v>1291.0686967828467</c:v>
                </c:pt>
                <c:pt idx="499">
                  <c:v>1293.4388228205157</c:v>
                </c:pt>
                <c:pt idx="500">
                  <c:v>1295.7071383432917</c:v>
                </c:pt>
                <c:pt idx="501">
                  <c:v>1297.8738726347278</c:v>
                </c:pt>
                <c:pt idx="502">
                  <c:v>1299.9392465756589</c:v>
                </c:pt>
                <c:pt idx="503">
                  <c:v>1301.9034728578172</c:v>
                </c:pt>
                <c:pt idx="504">
                  <c:v>1303.7667562049376</c:v>
                </c:pt>
                <c:pt idx="505">
                  <c:v>1305.5292936024475</c:v>
                </c:pt>
                <c:pt idx="506">
                  <c:v>1307.191274536862</c:v>
                </c:pt>
                <c:pt idx="507">
                  <c:v>1308.7528812460223</c:v>
                </c:pt>
                <c:pt idx="508">
                  <c:v>1310.2142889813167</c:v>
                </c:pt>
                <c:pt idx="509">
                  <c:v>1311.5756662829938</c:v>
                </c:pt>
                <c:pt idx="510">
                  <c:v>1312.8371752696298</c:v>
                </c:pt>
                <c:pt idx="511">
                  <c:v>1313.9989719427256</c:v>
                </c:pt>
                <c:pt idx="512">
                  <c:v>1315.0612065072837</c:v>
                </c:pt>
                <c:pt idx="513">
                  <c:v>1316.0240237090568</c:v>
                </c:pt>
                <c:pt idx="514">
                  <c:v>1316.8875631889418</c:v>
                </c:pt>
                <c:pt idx="515">
                  <c:v>1317.6519598547452</c:v>
                </c:pt>
                <c:pt idx="516">
                  <c:v>1318.3173442702391</c:v>
                </c:pt>
                <c:pt idx="517">
                  <c:v>1318.883843061087</c:v>
                </c:pt>
                <c:pt idx="518">
                  <c:v>1319.3515793368435</c:v>
                </c:pt>
                <c:pt idx="519">
                  <c:v>1319.7206731278304</c:v>
                </c:pt>
                <c:pt idx="520">
                  <c:v>1319.9912418352831</c:v>
                </c:pt>
                <c:pt idx="521">
                  <c:v>1320.1634006927657</c:v>
                </c:pt>
                <c:pt idx="522">
                  <c:v>1320.237263236472</c:v>
                </c:pt>
                <c:pt idx="523">
                  <c:v>1320.2129417817055</c:v>
                </c:pt>
                <c:pt idx="524">
                  <c:v>1320.0905479025639</c:v>
                </c:pt>
                <c:pt idx="525">
                  <c:v>1319.8701929116733</c:v>
                </c:pt>
                <c:pt idx="526">
                  <c:v>1319.5519883367128</c:v>
                </c:pt>
                <c:pt idx="527">
                  <c:v>1319.1360463904841</c:v>
                </c:pt>
                <c:pt idx="528">
                  <c:v>1318.6224804313656</c:v>
                </c:pt>
                <c:pt idx="529">
                  <c:v>1318.0114054111907</c:v>
                </c:pt>
                <c:pt idx="530">
                  <c:v>1317.3029383078526</c:v>
                </c:pt>
                <c:pt idx="531">
                  <c:v>1316.4971985402683</c:v>
                </c:pt>
                <c:pt idx="532">
                  <c:v>1315.5943083637164</c:v>
                </c:pt>
                <c:pt idx="533">
                  <c:v>1314.5943932439632</c:v>
                </c:pt>
                <c:pt idx="534">
                  <c:v>1313.4975822090043</c:v>
                </c:pt>
                <c:pt idx="535">
                  <c:v>1312.3040081776483</c:v>
                </c:pt>
                <c:pt idx="536">
                  <c:v>1311.0138082645458</c:v>
                </c:pt>
                <c:pt idx="537">
                  <c:v>1309.6271240616104</c:v>
                </c:pt>
                <c:pt idx="538">
                  <c:v>1308.1441018960766</c:v>
                </c:pt>
                <c:pt idx="539">
                  <c:v>1306.564893065691</c:v>
                </c:pt>
                <c:pt idx="540">
                  <c:v>1304.889654051743</c:v>
                </c:pt>
                <c:pt idx="541">
                  <c:v>1303.1185467107982</c:v>
                </c:pt>
                <c:pt idx="542">
                  <c:v>1301.2517384461125</c:v>
                </c:pt>
                <c:pt idx="543">
                  <c:v>1299.2894023597919</c:v>
                </c:pt>
                <c:pt idx="544">
                  <c:v>1297.2317173867962</c:v>
                </c:pt>
                <c:pt idx="545">
                  <c:v>1295.078868411915</c:v>
                </c:pt>
                <c:pt idx="546">
                  <c:v>1292.8310463708267</c:v>
                </c:pt>
                <c:pt idx="547">
                  <c:v>1290.4884483363373</c:v>
                </c:pt>
                <c:pt idx="548">
                  <c:v>1288.0512775908526</c:v>
                </c:pt>
                <c:pt idx="549">
                  <c:v>1285.5197436860915</c:v>
                </c:pt>
                <c:pt idx="550">
                  <c:v>1282.894062490996</c:v>
                </c:pt>
                <c:pt idx="551">
                  <c:v>1280.1744562287356</c:v>
                </c:pt>
                <c:pt idx="552">
                  <c:v>1277.3611535036405</c:v>
                </c:pt>
                <c:pt idx="553">
                  <c:v>1274.454389318845</c:v>
                </c:pt>
                <c:pt idx="554">
                  <c:v>1271.4544050853581</c:v>
                </c:pt>
                <c:pt idx="555">
                  <c:v>1268.3614486232268</c:v>
                </c:pt>
                <c:pt idx="556">
                  <c:v>1265.1757741553986</c:v>
                </c:pt>
                <c:pt idx="557">
                  <c:v>1261.8976422948456</c:v>
                </c:pt>
                <c:pt idx="558">
                  <c:v>1258.5273200254594</c:v>
                </c:pt>
                <c:pt idx="559">
                  <c:v>1255.0650806771871</c:v>
                </c:pt>
                <c:pt idx="560">
                  <c:v>1251.5112038958348</c:v>
                </c:pt>
                <c:pt idx="561">
                  <c:v>1247.8659756079307</c:v>
                </c:pt>
                <c:pt idx="562">
                  <c:v>1244.1296879810047</c:v>
                </c:pt>
                <c:pt idx="563">
                  <c:v>1240.3026393796104</c:v>
                </c:pt>
                <c:pt idx="564">
                  <c:v>1236.3851343173903</c:v>
                </c:pt>
                <c:pt idx="565">
                  <c:v>1232.3774834054564</c:v>
                </c:pt>
                <c:pt idx="566">
                  <c:v>1228.2800032973362</c:v>
                </c:pt>
                <c:pt idx="567">
                  <c:v>1224.0930166307187</c:v>
                </c:pt>
                <c:pt idx="568">
                  <c:v>1219.8168519662063</c:v>
                </c:pt>
                <c:pt idx="569">
                  <c:v>1215.4518437232739</c:v>
                </c:pt>
                <c:pt idx="570">
                  <c:v>1210.998332113611</c:v>
                </c:pt>
                <c:pt idx="571">
                  <c:v>1206.4566630720178</c:v>
                </c:pt>
                <c:pt idx="572">
                  <c:v>1201.8271881850067</c:v>
                </c:pt>
                <c:pt idx="573">
                  <c:v>1197.1102646172556</c:v>
                </c:pt>
                <c:pt idx="574">
                  <c:v>1192.3062550360476</c:v>
                </c:pt>
                <c:pt idx="575">
                  <c:v>1187.415527533821</c:v>
                </c:pt>
                <c:pt idx="576">
                  <c:v>1182.4384555489492</c:v>
                </c:pt>
                <c:pt idx="577">
                  <c:v>1177.3754177848596</c:v>
                </c:pt>
                <c:pt idx="578">
                  <c:v>1172.2267981275979</c:v>
                </c:pt>
                <c:pt idx="579">
                  <c:v>1166.992985561935</c:v>
                </c:pt>
                <c:pt idx="580">
                  <c:v>1161.6743740861091</c:v>
                </c:pt>
                <c:pt idx="581">
                  <c:v>1156.2713626252944</c:v>
                </c:pt>
                <c:pt idx="582">
                  <c:v>1150.7843549438783</c:v>
                </c:pt>
                <c:pt idx="583">
                  <c:v>1145.2137595566294</c:v>
                </c:pt>
                <c:pt idx="584">
                  <c:v>1139.5599896388323</c:v>
                </c:pt>
                <c:pt idx="585">
                  <c:v>1133.8234629354636</c:v>
                </c:pt>
                <c:pt idx="586">
                  <c:v>1128.0046016694803</c:v>
                </c:pt>
                <c:pt idx="587">
                  <c:v>1122.1038324492888</c:v>
                </c:pt>
                <c:pt idx="588">
                  <c:v>1116.1215861754604</c:v>
                </c:pt>
                <c:pt idx="589">
                  <c:v>1110.0582979467563</c:v>
                </c:pt>
                <c:pt idx="590">
                  <c:v>1103.9144069655254</c:v>
                </c:pt>
                <c:pt idx="591">
                  <c:v>1097.690356442532</c:v>
                </c:pt>
                <c:pt idx="592">
                  <c:v>1091.3865935012736</c:v>
                </c:pt>
                <c:pt idx="593">
                  <c:v>1085.0035690818434</c:v>
                </c:pt>
                <c:pt idx="594">
                  <c:v>1078.5417378443924</c:v>
                </c:pt>
                <c:pt idx="595">
                  <c:v>1072.0015580722459</c:v>
                </c:pt>
                <c:pt idx="596">
                  <c:v>1065.383491574722</c:v>
                </c:pt>
                <c:pt idx="597">
                  <c:v>1058.6880035897077</c:v>
                </c:pt>
                <c:pt idx="598">
                  <c:v>1051.915562686037</c:v>
                </c:pt>
                <c:pt idx="599">
                  <c:v>1045.0666406657222</c:v>
                </c:pt>
                <c:pt idx="600">
                  <c:v>1038.1417124660832</c:v>
                </c:pt>
                <c:pt idx="601">
                  <c:v>1031.1412560618223</c:v>
                </c:pt>
                <c:pt idx="602">
                  <c:v>1024.0657523670866</c:v>
                </c:pt>
                <c:pt idx="603">
                  <c:v>1016.9156851375631</c:v>
                </c:pt>
                <c:pt idx="604">
                  <c:v>1009.6915408726497</c:v>
                </c:pt>
                <c:pt idx="605">
                  <c:v>1002.3938087177424</c:v>
                </c:pt>
                <c:pt idx="606">
                  <c:v>995.02298036667867</c:v>
                </c:pt>
                <c:pt idx="607">
                  <c:v>987.57954996437832</c:v>
                </c:pt>
                <c:pt idx="608">
                  <c:v>980.06401400972015</c:v>
                </c:pt>
                <c:pt idx="609">
                  <c:v>972.47687125869118</c:v>
                </c:pt>
                <c:pt idx="610">
                  <c:v>964.81862262784591</c:v>
                </c:pt>
                <c:pt idx="611">
                  <c:v>957.08977109811235</c:v>
                </c:pt>
                <c:pt idx="612">
                  <c:v>949.29082161897873</c:v>
                </c:pt>
                <c:pt idx="613">
                  <c:v>941.42228101309604</c:v>
                </c:pt>
                <c:pt idx="614">
                  <c:v>933.48465788132899</c:v>
                </c:pt>
                <c:pt idx="615">
                  <c:v>925.47846250828911</c:v>
                </c:pt>
                <c:pt idx="616">
                  <c:v>917.40420676838028</c:v>
                </c:pt>
                <c:pt idx="617">
                  <c:v>909.26240403238842</c:v>
                </c:pt>
                <c:pt idx="618">
                  <c:v>901.05356907464534</c:v>
                </c:pt>
                <c:pt idx="619">
                  <c:v>892.77821798079526</c:v>
                </c:pt>
                <c:pt idx="620">
                  <c:v>884.43686805619302</c:v>
                </c:pt>
                <c:pt idx="621">
                  <c:v>876.03003773496141</c:v>
                </c:pt>
                <c:pt idx="622">
                  <c:v>867.55824648973328</c:v>
                </c:pt>
                <c:pt idx="623">
                  <c:v>859.02201474210619</c:v>
                </c:pt>
                <c:pt idx="624">
                  <c:v>850.42186377383246</c:v>
                </c:pt>
                <c:pt idx="625">
                  <c:v>841.75831563877045</c:v>
                </c:pt>
                <c:pt idx="626">
                  <c:v>833.03189307562002</c:v>
                </c:pt>
                <c:pt idx="627">
                  <c:v>824.24311942146414</c:v>
                </c:pt>
                <c:pt idx="628">
                  <c:v>815.39251852613938</c:v>
                </c:pt>
                <c:pt idx="629">
                  <c:v>806.4806146674556</c:v>
                </c:pt>
                <c:pt idx="630">
                  <c:v>797.50793246728517</c:v>
                </c:pt>
                <c:pt idx="631">
                  <c:v>788.47499680854162</c:v>
                </c:pt>
                <c:pt idx="632">
                  <c:v>779.3823327530655</c:v>
                </c:pt>
                <c:pt idx="633">
                  <c:v>770.23046546043577</c:v>
                </c:pt>
                <c:pt idx="634">
                  <c:v>761.01992010772392</c:v>
                </c:pt>
                <c:pt idx="635">
                  <c:v>751.75122181020663</c:v>
                </c:pt>
                <c:pt idx="636">
                  <c:v>742.4248955430528</c:v>
                </c:pt>
                <c:pt idx="637">
                  <c:v>733.04146606399991</c:v>
                </c:pt>
                <c:pt idx="638">
                  <c:v>723.60145783703319</c:v>
                </c:pt>
                <c:pt idx="639">
                  <c:v>714.10539495708099</c:v>
                </c:pt>
                <c:pt idx="640">
                  <c:v>704.55380107573967</c:v>
                </c:pt>
                <c:pt idx="641">
                  <c:v>694.9471993280381</c:v>
                </c:pt>
                <c:pt idx="642">
                  <c:v>685.28611226025521</c:v>
                </c:pt>
                <c:pt idx="643">
                  <c:v>675.57106175879846</c:v>
                </c:pt>
                <c:pt idx="644">
                  <c:v>665.80256898015466</c:v>
                </c:pt>
                <c:pt idx="645">
                  <c:v>655.98115428192136</c:v>
                </c:pt>
                <c:pt idx="646">
                  <c:v>646.10733715492745</c:v>
                </c:pt>
                <c:pt idx="647">
                  <c:v>636.18163615644949</c:v>
                </c:pt>
                <c:pt idx="648">
                  <c:v>626.20456884453267</c:v>
                </c:pt>
                <c:pt idx="649">
                  <c:v>616.17665171342037</c:v>
                </c:pt>
                <c:pt idx="650">
                  <c:v>606.09840013009989</c:v>
                </c:pt>
                <c:pt idx="651">
                  <c:v>595.97032827196779</c:v>
                </c:pt>
                <c:pt idx="652">
                  <c:v>585.79294906562029</c:v>
                </c:pt>
                <c:pt idx="653">
                  <c:v>575.56677412677186</c:v>
                </c:pt>
                <c:pt idx="654">
                  <c:v>565.29231370130515</c:v>
                </c:pt>
                <c:pt idx="655">
                  <c:v>554.97007660745453</c:v>
                </c:pt>
                <c:pt idx="656">
                  <c:v>544.60057017912629</c:v>
                </c:pt>
                <c:pt idx="657">
                  <c:v>534.18430021035533</c:v>
                </c:pt>
                <c:pt idx="658">
                  <c:v>523.72177090089986</c:v>
                </c:pt>
                <c:pt idx="659">
                  <c:v>513.21348480297468</c:v>
                </c:pt>
                <c:pt idx="660">
                  <c:v>502.6599427691217</c:v>
                </c:pt>
                <c:pt idx="661">
                  <c:v>492.06164390121825</c:v>
                </c:pt>
                <c:pt idx="662">
                  <c:v>481.41908550062038</c:v>
                </c:pt>
                <c:pt idx="663">
                  <c:v>470.73276301944031</c:v>
                </c:pt>
                <c:pt idx="664">
                  <c:v>460.0031700129552</c:v>
                </c:pt>
                <c:pt idx="665">
                  <c:v>449.23079809314447</c:v>
                </c:pt>
                <c:pt idx="666">
                  <c:v>438.41613688335275</c:v>
                </c:pt>
                <c:pt idx="667">
                  <c:v>427.55967397407369</c:v>
                </c:pt>
                <c:pt idx="668">
                  <c:v>416.66189487985179</c:v>
                </c:pt>
                <c:pt idx="669">
                  <c:v>405.72328299729645</c:v>
                </c:pt>
                <c:pt idx="670">
                  <c:v>394.74431956420392</c:v>
                </c:pt>
                <c:pt idx="671">
                  <c:v>383.72548361978119</c:v>
                </c:pt>
                <c:pt idx="672">
                  <c:v>372.66725196596633</c:v>
                </c:pt>
                <c:pt idx="673">
                  <c:v>361.57009912983887</c:v>
                </c:pt>
                <c:pt idx="674">
                  <c:v>350.43449732711355</c:v>
                </c:pt>
                <c:pt idx="675">
                  <c:v>339.26091642671065</c:v>
                </c:pt>
                <c:pt idx="676">
                  <c:v>328.04982391639561</c:v>
                </c:pt>
                <c:pt idx="677">
                  <c:v>316.80168486947986</c:v>
                </c:pt>
                <c:pt idx="678">
                  <c:v>305.51696191257548</c:v>
                </c:pt>
                <c:pt idx="679">
                  <c:v>294.19611519439513</c:v>
                </c:pt>
                <c:pt idx="680">
                  <c:v>282.83960235558845</c:v>
                </c:pt>
                <c:pt idx="681">
                  <c:v>271.44787849960682</c:v>
                </c:pt>
                <c:pt idx="682">
                  <c:v>260.02139616458629</c:v>
                </c:pt>
                <c:pt idx="683">
                  <c:v>248.56060529624028</c:v>
                </c:pt>
                <c:pt idx="684">
                  <c:v>237.06595322175184</c:v>
                </c:pt>
                <c:pt idx="685">
                  <c:v>225.53788462465559</c:v>
                </c:pt>
                <c:pt idx="686">
                  <c:v>213.97684152069965</c:v>
                </c:pt>
                <c:pt idx="687">
                  <c:v>202.38326323467678</c:v>
                </c:pt>
                <c:pt idx="688">
                  <c:v>190.75758637821437</c:v>
                </c:pt>
                <c:pt idx="689">
                  <c:v>179.1002448285127</c:v>
                </c:pt>
                <c:pt idx="690">
                  <c:v>167.41166970802036</c:v>
                </c:pt>
                <c:pt idx="691">
                  <c:v>155.69228936503575</c:v>
                </c:pt>
                <c:pt idx="692">
                  <c:v>143.94252935522363</c:v>
                </c:pt>
                <c:pt idx="693">
                  <c:v>132.16281242403505</c:v>
                </c:pt>
                <c:pt idx="694">
                  <c:v>120.35355849001941</c:v>
                </c:pt>
                <c:pt idx="695">
                  <c:v>108.51518462901662</c:v>
                </c:pt>
                <c:pt idx="696">
                  <c:v>96.648105059217926</c:v>
                </c:pt>
                <c:pt idx="697">
                  <c:v>84.75273112708328</c:v>
                </c:pt>
                <c:pt idx="698">
                  <c:v>72.829471294103314</c:v>
                </c:pt>
                <c:pt idx="699">
                  <c:v>60.878731124393774</c:v>
                </c:pt>
                <c:pt idx="700">
                  <c:v>48.900913273110248</c:v>
                </c:pt>
                <c:pt idx="701">
                  <c:v>36.896417475670944</c:v>
                </c:pt>
                <c:pt idx="702">
                  <c:v>24.865640537775135</c:v>
                </c:pt>
                <c:pt idx="703">
                  <c:v>12.808976326204872</c:v>
                </c:pt>
                <c:pt idx="704">
                  <c:v>0.72681576039756912</c:v>
                </c:pt>
                <c:pt idx="705">
                  <c:v>-11.380453195223096</c:v>
                </c:pt>
                <c:pt idx="706">
                  <c:v>-11.392572934018164</c:v>
                </c:pt>
                <c:pt idx="707">
                  <c:v>-11.404692697344668</c:v>
                </c:pt>
                <c:pt idx="708">
                  <c:v>-11.416812485202231</c:v>
                </c:pt>
                <c:pt idx="709">
                  <c:v>-11.428932297590471</c:v>
                </c:pt>
                <c:pt idx="710">
                  <c:v>-11.441052134509011</c:v>
                </c:pt>
                <c:pt idx="711">
                  <c:v>-11.453171995957469</c:v>
                </c:pt>
                <c:pt idx="712">
                  <c:v>-11.465291881935466</c:v>
                </c:pt>
                <c:pt idx="713">
                  <c:v>-11.477411792442622</c:v>
                </c:pt>
                <c:pt idx="714">
                  <c:v>-11.489531727478557</c:v>
                </c:pt>
                <c:pt idx="715">
                  <c:v>-11.501651687042893</c:v>
                </c:pt>
                <c:pt idx="716">
                  <c:v>-11.513771671135247</c:v>
                </c:pt>
                <c:pt idx="717">
                  <c:v>-11.525891679755242</c:v>
                </c:pt>
                <c:pt idx="718">
                  <c:v>-11.538011712902499</c:v>
                </c:pt>
                <c:pt idx="719">
                  <c:v>-11.550131770576636</c:v>
                </c:pt>
                <c:pt idx="720">
                  <c:v>-11.562251852777274</c:v>
                </c:pt>
                <c:pt idx="721">
                  <c:v>-11.574371959504035</c:v>
                </c:pt>
                <c:pt idx="722">
                  <c:v>-11.586492090756536</c:v>
                </c:pt>
                <c:pt idx="723">
                  <c:v>-11.598612246534399</c:v>
                </c:pt>
                <c:pt idx="724">
                  <c:v>-11.610732426837245</c:v>
                </c:pt>
                <c:pt idx="725">
                  <c:v>-11.622852631664694</c:v>
                </c:pt>
                <c:pt idx="726">
                  <c:v>-11.634972861016365</c:v>
                </c:pt>
                <c:pt idx="727">
                  <c:v>-11.647093114891881</c:v>
                </c:pt>
                <c:pt idx="728">
                  <c:v>-11.659213393290859</c:v>
                </c:pt>
                <c:pt idx="729">
                  <c:v>-11.671333696212921</c:v>
                </c:pt>
                <c:pt idx="730">
                  <c:v>-11.683454023657688</c:v>
                </c:pt>
                <c:pt idx="731">
                  <c:v>-11.69557437562478</c:v>
                </c:pt>
                <c:pt idx="732">
                  <c:v>-11.707694752113817</c:v>
                </c:pt>
                <c:pt idx="733">
                  <c:v>-11.719815153124419</c:v>
                </c:pt>
                <c:pt idx="734">
                  <c:v>-11.731935578656207</c:v>
                </c:pt>
                <c:pt idx="735">
                  <c:v>-11.744056028708801</c:v>
                </c:pt>
                <c:pt idx="736">
                  <c:v>-11.756176503281822</c:v>
                </c:pt>
                <c:pt idx="737">
                  <c:v>-11.768297002374888</c:v>
                </c:pt>
                <c:pt idx="738">
                  <c:v>-11.780417525987623</c:v>
                </c:pt>
                <c:pt idx="739">
                  <c:v>-11.792538074119644</c:v>
                </c:pt>
                <c:pt idx="740">
                  <c:v>-11.804658646770573</c:v>
                </c:pt>
                <c:pt idx="741">
                  <c:v>-11.816779243940031</c:v>
                </c:pt>
                <c:pt idx="742">
                  <c:v>-11.828899865627637</c:v>
                </c:pt>
                <c:pt idx="743">
                  <c:v>-11.841020511833012</c:v>
                </c:pt>
                <c:pt idx="744">
                  <c:v>-11.853141182555776</c:v>
                </c:pt>
                <c:pt idx="745">
                  <c:v>-11.86526187779555</c:v>
                </c:pt>
                <c:pt idx="746">
                  <c:v>-11.877382597551955</c:v>
                </c:pt>
                <c:pt idx="747">
                  <c:v>-11.889503341824611</c:v>
                </c:pt>
                <c:pt idx="748">
                  <c:v>-11.901624110613136</c:v>
                </c:pt>
                <c:pt idx="749">
                  <c:v>-11.913744903917154</c:v>
                </c:pt>
                <c:pt idx="750">
                  <c:v>-11.925865721736281</c:v>
                </c:pt>
                <c:pt idx="751">
                  <c:v>-11.937986564070142</c:v>
                </c:pt>
                <c:pt idx="752">
                  <c:v>-11.950107430918354</c:v>
                </c:pt>
                <c:pt idx="753">
                  <c:v>-11.96222832228054</c:v>
                </c:pt>
                <c:pt idx="754">
                  <c:v>-11.974349238156318</c:v>
                </c:pt>
                <c:pt idx="755">
                  <c:v>-11.986470178545311</c:v>
                </c:pt>
                <c:pt idx="756">
                  <c:v>-11.998591143447136</c:v>
                </c:pt>
                <c:pt idx="757">
                  <c:v>-12.010712132861416</c:v>
                </c:pt>
                <c:pt idx="758">
                  <c:v>-12.022833146787772</c:v>
                </c:pt>
                <c:pt idx="759">
                  <c:v>-12.034954185225821</c:v>
                </c:pt>
                <c:pt idx="760">
                  <c:v>-12.047075248175187</c:v>
                </c:pt>
                <c:pt idx="761">
                  <c:v>-12.059196335635489</c:v>
                </c:pt>
                <c:pt idx="762">
                  <c:v>-12.071317447606347</c:v>
                </c:pt>
                <c:pt idx="763">
                  <c:v>-12.083438584087382</c:v>
                </c:pt>
                <c:pt idx="764">
                  <c:v>-12.095559745078216</c:v>
                </c:pt>
                <c:pt idx="765">
                  <c:v>-12.107680930578466</c:v>
                </c:pt>
                <c:pt idx="766">
                  <c:v>-12.119802140587755</c:v>
                </c:pt>
                <c:pt idx="767">
                  <c:v>-12.131923375105702</c:v>
                </c:pt>
                <c:pt idx="768">
                  <c:v>-12.144044634131928</c:v>
                </c:pt>
                <c:pt idx="769">
                  <c:v>-12.156165917666055</c:v>
                </c:pt>
                <c:pt idx="770">
                  <c:v>-12.168287225707701</c:v>
                </c:pt>
                <c:pt idx="771">
                  <c:v>-12.180408558256486</c:v>
                </c:pt>
                <c:pt idx="772">
                  <c:v>-12.192529915312033</c:v>
                </c:pt>
                <c:pt idx="773">
                  <c:v>-12.204651296873962</c:v>
                </c:pt>
                <c:pt idx="774">
                  <c:v>-12.216772702941892</c:v>
                </c:pt>
                <c:pt idx="775">
                  <c:v>-12.228894133515444</c:v>
                </c:pt>
                <c:pt idx="776">
                  <c:v>-12.241015588594239</c:v>
                </c:pt>
                <c:pt idx="777">
                  <c:v>-12.253137068177898</c:v>
                </c:pt>
                <c:pt idx="778">
                  <c:v>-12.26525857226604</c:v>
                </c:pt>
                <c:pt idx="779">
                  <c:v>-12.277380100858286</c:v>
                </c:pt>
                <c:pt idx="780">
                  <c:v>-12.289501653954257</c:v>
                </c:pt>
                <c:pt idx="781">
                  <c:v>-12.301623231553574</c:v>
                </c:pt>
                <c:pt idx="782">
                  <c:v>-12.313744833655855</c:v>
                </c:pt>
                <c:pt idx="783">
                  <c:v>-12.325866460260723</c:v>
                </c:pt>
                <c:pt idx="784">
                  <c:v>-12.337988111367798</c:v>
                </c:pt>
                <c:pt idx="785">
                  <c:v>-12.350109786976699</c:v>
                </c:pt>
                <c:pt idx="786">
                  <c:v>-12.362231487087048</c:v>
                </c:pt>
                <c:pt idx="787">
                  <c:v>-12.374353211698464</c:v>
                </c:pt>
                <c:pt idx="788">
                  <c:v>-12.386474960810569</c:v>
                </c:pt>
                <c:pt idx="789">
                  <c:v>-12.398596734422982</c:v>
                </c:pt>
                <c:pt idx="790">
                  <c:v>-12.410718532535325</c:v>
                </c:pt>
                <c:pt idx="791">
                  <c:v>-12.422840355147219</c:v>
                </c:pt>
                <c:pt idx="792">
                  <c:v>-12.434962202258284</c:v>
                </c:pt>
                <c:pt idx="793">
                  <c:v>-12.447084073868139</c:v>
                </c:pt>
                <c:pt idx="794">
                  <c:v>-12.459205969976406</c:v>
                </c:pt>
                <c:pt idx="795">
                  <c:v>-12.471327890582705</c:v>
                </c:pt>
                <c:pt idx="796">
                  <c:v>-12.483449835686656</c:v>
                </c:pt>
                <c:pt idx="797">
                  <c:v>-12.495571805287881</c:v>
                </c:pt>
                <c:pt idx="798">
                  <c:v>-12.507693799385999</c:v>
                </c:pt>
                <c:pt idx="799">
                  <c:v>-12.519815817980632</c:v>
                </c:pt>
                <c:pt idx="800">
                  <c:v>-12.5319378610714</c:v>
                </c:pt>
                <c:pt idx="801">
                  <c:v>-12.544059928657923</c:v>
                </c:pt>
                <c:pt idx="802">
                  <c:v>-12.556182020739822</c:v>
                </c:pt>
                <c:pt idx="803">
                  <c:v>-12.568304137316717</c:v>
                </c:pt>
                <c:pt idx="804">
                  <c:v>-12.580426278388229</c:v>
                </c:pt>
                <c:pt idx="805">
                  <c:v>-12.592548443953978</c:v>
                </c:pt>
                <c:pt idx="806">
                  <c:v>-12.604670634013585</c:v>
                </c:pt>
                <c:pt idx="807">
                  <c:v>-12.616792848566671</c:v>
                </c:pt>
                <c:pt idx="808">
                  <c:v>-12.628915087612857</c:v>
                </c:pt>
                <c:pt idx="809">
                  <c:v>-12.641037351151761</c:v>
                </c:pt>
                <c:pt idx="810">
                  <c:v>-12.653159639183006</c:v>
                </c:pt>
                <c:pt idx="811">
                  <c:v>-12.665281951706211</c:v>
                </c:pt>
                <c:pt idx="812">
                  <c:v>-12.677404288720998</c:v>
                </c:pt>
                <c:pt idx="813">
                  <c:v>-12.689526650226988</c:v>
                </c:pt>
                <c:pt idx="814">
                  <c:v>-12.701649036223799</c:v>
                </c:pt>
                <c:pt idx="815">
                  <c:v>-12.713771446711053</c:v>
                </c:pt>
                <c:pt idx="816">
                  <c:v>-12.725893881688373</c:v>
                </c:pt>
                <c:pt idx="817">
                  <c:v>-12.738016341155376</c:v>
                </c:pt>
                <c:pt idx="818">
                  <c:v>-12.750138825111684</c:v>
                </c:pt>
                <c:pt idx="819">
                  <c:v>-12.762261333556918</c:v>
                </c:pt>
                <c:pt idx="820">
                  <c:v>-12.774383866490698</c:v>
                </c:pt>
                <c:pt idx="821">
                  <c:v>-12.786506423912645</c:v>
                </c:pt>
                <c:pt idx="822">
                  <c:v>-12.798629005822379</c:v>
                </c:pt>
                <c:pt idx="823">
                  <c:v>-12.810751612219521</c:v>
                </c:pt>
                <c:pt idx="824">
                  <c:v>-12.822874243103691</c:v>
                </c:pt>
                <c:pt idx="825">
                  <c:v>-12.834996898474509</c:v>
                </c:pt>
                <c:pt idx="826">
                  <c:v>-12.847119578331599</c:v>
                </c:pt>
                <c:pt idx="827">
                  <c:v>-12.859242282674579</c:v>
                </c:pt>
                <c:pt idx="828">
                  <c:v>-12.87136501150307</c:v>
                </c:pt>
                <c:pt idx="829">
                  <c:v>-12.883487764816691</c:v>
                </c:pt>
                <c:pt idx="830">
                  <c:v>-12.895610542615065</c:v>
                </c:pt>
                <c:pt idx="831">
                  <c:v>-12.907733344897812</c:v>
                </c:pt>
                <c:pt idx="832">
                  <c:v>-12.919856171664552</c:v>
                </c:pt>
                <c:pt idx="833">
                  <c:v>-12.931979022914906</c:v>
                </c:pt>
                <c:pt idx="834">
                  <c:v>-12.944101898648494</c:v>
                </c:pt>
                <c:pt idx="835">
                  <c:v>-12.956224798864939</c:v>
                </c:pt>
                <c:pt idx="836">
                  <c:v>-12.968347723563859</c:v>
                </c:pt>
                <c:pt idx="837">
                  <c:v>-12.980470672744877</c:v>
                </c:pt>
                <c:pt idx="838">
                  <c:v>-12.992593646407611</c:v>
                </c:pt>
                <c:pt idx="839">
                  <c:v>-13.004716644551683</c:v>
                </c:pt>
                <c:pt idx="840">
                  <c:v>-13.016839667176715</c:v>
                </c:pt>
                <c:pt idx="841">
                  <c:v>-13.028962714282326</c:v>
                </c:pt>
                <c:pt idx="842">
                  <c:v>-13.041085785868136</c:v>
                </c:pt>
                <c:pt idx="843">
                  <c:v>-13.053208881933767</c:v>
                </c:pt>
                <c:pt idx="844">
                  <c:v>-13.065332002478838</c:v>
                </c:pt>
                <c:pt idx="845">
                  <c:v>-13.077455147502972</c:v>
                </c:pt>
                <c:pt idx="846">
                  <c:v>-13.089578317005788</c:v>
                </c:pt>
                <c:pt idx="847">
                  <c:v>-13.101701510986908</c:v>
                </c:pt>
                <c:pt idx="848">
                  <c:v>-13.113824729445952</c:v>
                </c:pt>
                <c:pt idx="849">
                  <c:v>-13.125947972382541</c:v>
                </c:pt>
                <c:pt idx="850">
                  <c:v>-13.138071239796295</c:v>
                </c:pt>
                <c:pt idx="851">
                  <c:v>-13.150194531686834</c:v>
                </c:pt>
                <c:pt idx="852">
                  <c:v>-13.16231784805378</c:v>
                </c:pt>
                <c:pt idx="853">
                  <c:v>-13.174441188896754</c:v>
                </c:pt>
                <c:pt idx="854">
                  <c:v>-13.186564554215376</c:v>
                </c:pt>
                <c:pt idx="855">
                  <c:v>-13.198687944009267</c:v>
                </c:pt>
                <c:pt idx="856">
                  <c:v>-13.210811358278047</c:v>
                </c:pt>
                <c:pt idx="857">
                  <c:v>-13.222934797021336</c:v>
                </c:pt>
                <c:pt idx="858">
                  <c:v>-13.235058260238757</c:v>
                </c:pt>
                <c:pt idx="859">
                  <c:v>-13.247181747929929</c:v>
                </c:pt>
                <c:pt idx="860">
                  <c:v>-13.259305260094473</c:v>
                </c:pt>
                <c:pt idx="861">
                  <c:v>-13.27142879673201</c:v>
                </c:pt>
                <c:pt idx="862">
                  <c:v>-13.283552357842161</c:v>
                </c:pt>
                <c:pt idx="863">
                  <c:v>-13.295675943424547</c:v>
                </c:pt>
                <c:pt idx="864">
                  <c:v>-13.307799553478787</c:v>
                </c:pt>
                <c:pt idx="865">
                  <c:v>-13.319923188004504</c:v>
                </c:pt>
                <c:pt idx="866">
                  <c:v>-13.332046847001317</c:v>
                </c:pt>
                <c:pt idx="867">
                  <c:v>-13.344170530468848</c:v>
                </c:pt>
                <c:pt idx="868">
                  <c:v>-13.356294238406717</c:v>
                </c:pt>
                <c:pt idx="869">
                  <c:v>-13.368417970814544</c:v>
                </c:pt>
                <c:pt idx="870">
                  <c:v>-13.380541727691952</c:v>
                </c:pt>
                <c:pt idx="871">
                  <c:v>-13.39266550903856</c:v>
                </c:pt>
                <c:pt idx="872">
                  <c:v>-13.404789314853989</c:v>
                </c:pt>
                <c:pt idx="873">
                  <c:v>-13.41691314513786</c:v>
                </c:pt>
                <c:pt idx="874">
                  <c:v>-13.429036999889794</c:v>
                </c:pt>
                <c:pt idx="875">
                  <c:v>-13.441160879109411</c:v>
                </c:pt>
                <c:pt idx="876">
                  <c:v>-13.453284782796331</c:v>
                </c:pt>
                <c:pt idx="877">
                  <c:v>-13.465408710950177</c:v>
                </c:pt>
                <c:pt idx="878">
                  <c:v>-13.477532663570567</c:v>
                </c:pt>
                <c:pt idx="879">
                  <c:v>-13.489656640657126</c:v>
                </c:pt>
                <c:pt idx="880">
                  <c:v>-13.50178064220947</c:v>
                </c:pt>
                <c:pt idx="881">
                  <c:v>-13.513904668227223</c:v>
                </c:pt>
                <c:pt idx="882">
                  <c:v>-13.526028718710004</c:v>
                </c:pt>
                <c:pt idx="883">
                  <c:v>-13.538152793657435</c:v>
                </c:pt>
                <c:pt idx="884">
                  <c:v>-13.550276893069135</c:v>
                </c:pt>
                <c:pt idx="885">
                  <c:v>-13.562401016944728</c:v>
                </c:pt>
                <c:pt idx="886">
                  <c:v>-13.574525165283832</c:v>
                </c:pt>
                <c:pt idx="887">
                  <c:v>-13.586649338086069</c:v>
                </c:pt>
                <c:pt idx="888">
                  <c:v>-13.598773535351059</c:v>
                </c:pt>
                <c:pt idx="889">
                  <c:v>-13.610897757078423</c:v>
                </c:pt>
                <c:pt idx="890">
                  <c:v>-13.623022003267781</c:v>
                </c:pt>
                <c:pt idx="891">
                  <c:v>-13.635146273918757</c:v>
                </c:pt>
                <c:pt idx="892">
                  <c:v>-13.647270569030969</c:v>
                </c:pt>
                <c:pt idx="893">
                  <c:v>-13.659394888604037</c:v>
                </c:pt>
                <c:pt idx="894">
                  <c:v>-13.671519232637584</c:v>
                </c:pt>
                <c:pt idx="895">
                  <c:v>-13.68364360113123</c:v>
                </c:pt>
                <c:pt idx="896">
                  <c:v>-13.695767994084596</c:v>
                </c:pt>
                <c:pt idx="897">
                  <c:v>-13.707892411497303</c:v>
                </c:pt>
                <c:pt idx="898">
                  <c:v>-13.720016853368971</c:v>
                </c:pt>
                <c:pt idx="899">
                  <c:v>-13.732141319699222</c:v>
                </c:pt>
                <c:pt idx="900">
                  <c:v>-13.744265810487676</c:v>
                </c:pt>
                <c:pt idx="901">
                  <c:v>-13.756390325733953</c:v>
                </c:pt>
                <c:pt idx="902">
                  <c:v>-13.768514865437677</c:v>
                </c:pt>
                <c:pt idx="903">
                  <c:v>-13.780639429598466</c:v>
                </c:pt>
                <c:pt idx="904">
                  <c:v>-13.792764018215941</c:v>
                </c:pt>
                <c:pt idx="905">
                  <c:v>-13.804888631289723</c:v>
                </c:pt>
                <c:pt idx="906">
                  <c:v>-13.817013268819434</c:v>
                </c:pt>
                <c:pt idx="907">
                  <c:v>-13.829137930804693</c:v>
                </c:pt>
                <c:pt idx="908">
                  <c:v>-13.841262617245123</c:v>
                </c:pt>
                <c:pt idx="909">
                  <c:v>-13.853387328140343</c:v>
                </c:pt>
                <c:pt idx="910">
                  <c:v>-13.865512063489975</c:v>
                </c:pt>
                <c:pt idx="911">
                  <c:v>-13.87763682329364</c:v>
                </c:pt>
                <c:pt idx="912">
                  <c:v>-13.889761607550959</c:v>
                </c:pt>
                <c:pt idx="913">
                  <c:v>-13.901886416261551</c:v>
                </c:pt>
                <c:pt idx="914">
                  <c:v>-13.914011249425039</c:v>
                </c:pt>
                <c:pt idx="915">
                  <c:v>-13.926136107041042</c:v>
                </c:pt>
                <c:pt idx="916">
                  <c:v>-13.938260989109184</c:v>
                </c:pt>
                <c:pt idx="917">
                  <c:v>-13.950385895629083</c:v>
                </c:pt>
                <c:pt idx="918">
                  <c:v>-13.96251082660036</c:v>
                </c:pt>
                <c:pt idx="919">
                  <c:v>-13.974635782022636</c:v>
                </c:pt>
                <c:pt idx="920">
                  <c:v>-13.986760761895534</c:v>
                </c:pt>
                <c:pt idx="921">
                  <c:v>-13.998885766218672</c:v>
                </c:pt>
                <c:pt idx="922">
                  <c:v>-14.011010794991673</c:v>
                </c:pt>
                <c:pt idx="923">
                  <c:v>-14.023135848214157</c:v>
                </c:pt>
                <c:pt idx="924">
                  <c:v>-14.035260925885744</c:v>
                </c:pt>
                <c:pt idx="925">
                  <c:v>-14.047386028006056</c:v>
                </c:pt>
                <c:pt idx="926">
                  <c:v>-14.059511154574714</c:v>
                </c:pt>
                <c:pt idx="927">
                  <c:v>-14.071636305591339</c:v>
                </c:pt>
                <c:pt idx="928">
                  <c:v>-14.083761481055552</c:v>
                </c:pt>
                <c:pt idx="929">
                  <c:v>-14.095886680966974</c:v>
                </c:pt>
                <c:pt idx="930">
                  <c:v>-14.108011905325224</c:v>
                </c:pt>
                <c:pt idx="931">
                  <c:v>-14.120137154129925</c:v>
                </c:pt>
                <c:pt idx="932">
                  <c:v>-14.132262427380697</c:v>
                </c:pt>
                <c:pt idx="933">
                  <c:v>-14.144387725077161</c:v>
                </c:pt>
                <c:pt idx="934">
                  <c:v>-14.156513047218938</c:v>
                </c:pt>
                <c:pt idx="935">
                  <c:v>-14.168638393805651</c:v>
                </c:pt>
                <c:pt idx="936">
                  <c:v>-14.180763764836918</c:v>
                </c:pt>
                <c:pt idx="937">
                  <c:v>-14.19288916031236</c:v>
                </c:pt>
                <c:pt idx="938">
                  <c:v>-14.2050145802316</c:v>
                </c:pt>
                <c:pt idx="939">
                  <c:v>-14.217140024594258</c:v>
                </c:pt>
                <c:pt idx="940">
                  <c:v>-14.229265493399954</c:v>
                </c:pt>
                <c:pt idx="941">
                  <c:v>-14.241390986648309</c:v>
                </c:pt>
                <c:pt idx="942">
                  <c:v>-14.253516504338945</c:v>
                </c:pt>
                <c:pt idx="943">
                  <c:v>-14.265642046471484</c:v>
                </c:pt>
                <c:pt idx="944">
                  <c:v>-14.277767613045546</c:v>
                </c:pt>
                <c:pt idx="945">
                  <c:v>-14.28989320406075</c:v>
                </c:pt>
                <c:pt idx="946">
                  <c:v>-14.30201881951672</c:v>
                </c:pt>
                <c:pt idx="947">
                  <c:v>-14.314144459413075</c:v>
                </c:pt>
                <c:pt idx="948">
                  <c:v>-14.326270123749437</c:v>
                </c:pt>
                <c:pt idx="949">
                  <c:v>-14.338395812525425</c:v>
                </c:pt>
                <c:pt idx="950">
                  <c:v>-14.350521525740662</c:v>
                </c:pt>
                <c:pt idx="951">
                  <c:v>-14.362647263394768</c:v>
                </c:pt>
                <c:pt idx="952">
                  <c:v>-14.374773025487364</c:v>
                </c:pt>
                <c:pt idx="953">
                  <c:v>-14.386898812018073</c:v>
                </c:pt>
                <c:pt idx="954">
                  <c:v>-14.399024622986513</c:v>
                </c:pt>
                <c:pt idx="955">
                  <c:v>-14.411150458392306</c:v>
                </c:pt>
                <c:pt idx="956">
                  <c:v>-14.423276318235075</c:v>
                </c:pt>
                <c:pt idx="957">
                  <c:v>-14.435402202514439</c:v>
                </c:pt>
                <c:pt idx="958">
                  <c:v>-14.447528111230019</c:v>
                </c:pt>
                <c:pt idx="959">
                  <c:v>-14.459654044381438</c:v>
                </c:pt>
                <c:pt idx="960">
                  <c:v>-14.471780001968314</c:v>
                </c:pt>
                <c:pt idx="961">
                  <c:v>-14.483905983990269</c:v>
                </c:pt>
                <c:pt idx="962">
                  <c:v>-14.496031990446925</c:v>
                </c:pt>
                <c:pt idx="963">
                  <c:v>-14.508158021337902</c:v>
                </c:pt>
                <c:pt idx="964">
                  <c:v>-14.520284076662822</c:v>
                </c:pt>
                <c:pt idx="965">
                  <c:v>-14.532410156421305</c:v>
                </c:pt>
                <c:pt idx="966">
                  <c:v>-14.544536260612972</c:v>
                </c:pt>
                <c:pt idx="967">
                  <c:v>-14.556662389237445</c:v>
                </c:pt>
                <c:pt idx="968">
                  <c:v>-14.568788542294344</c:v>
                </c:pt>
                <c:pt idx="969">
                  <c:v>-14.580914719783291</c:v>
                </c:pt>
                <c:pt idx="970">
                  <c:v>-14.593040921703906</c:v>
                </c:pt>
                <c:pt idx="971">
                  <c:v>-14.605167148055811</c:v>
                </c:pt>
                <c:pt idx="972">
                  <c:v>-14.617293398838628</c:v>
                </c:pt>
                <c:pt idx="973">
                  <c:v>-14.629419674051976</c:v>
                </c:pt>
                <c:pt idx="974">
                  <c:v>-14.641545973695477</c:v>
                </c:pt>
                <c:pt idx="975">
                  <c:v>-14.653672297768752</c:v>
                </c:pt>
                <c:pt idx="976">
                  <c:v>-14.665798646271421</c:v>
                </c:pt>
                <c:pt idx="977">
                  <c:v>-14.677925019203107</c:v>
                </c:pt>
                <c:pt idx="978">
                  <c:v>-14.690051416563429</c:v>
                </c:pt>
                <c:pt idx="979">
                  <c:v>-14.702177838352011</c:v>
                </c:pt>
                <c:pt idx="980">
                  <c:v>-14.71430428456847</c:v>
                </c:pt>
                <c:pt idx="981">
                  <c:v>-14.72643075521243</c:v>
                </c:pt>
                <c:pt idx="982">
                  <c:v>-14.738557250283511</c:v>
                </c:pt>
                <c:pt idx="983">
                  <c:v>-14.750683769781334</c:v>
                </c:pt>
                <c:pt idx="984">
                  <c:v>-14.76281031370552</c:v>
                </c:pt>
                <c:pt idx="985">
                  <c:v>-14.774936882055691</c:v>
                </c:pt>
                <c:pt idx="986">
                  <c:v>-14.787063474831468</c:v>
                </c:pt>
                <c:pt idx="987">
                  <c:v>-14.799190092032472</c:v>
                </c:pt>
                <c:pt idx="988">
                  <c:v>-14.811316733658323</c:v>
                </c:pt>
                <c:pt idx="989">
                  <c:v>-14.823443399708644</c:v>
                </c:pt>
                <c:pt idx="990">
                  <c:v>-14.835570090183055</c:v>
                </c:pt>
                <c:pt idx="991">
                  <c:v>-14.847696805081176</c:v>
                </c:pt>
                <c:pt idx="992">
                  <c:v>-14.85982354440263</c:v>
                </c:pt>
                <c:pt idx="993">
                  <c:v>-14.871950308147037</c:v>
                </c:pt>
                <c:pt idx="994">
                  <c:v>-14.884077096314018</c:v>
                </c:pt>
                <c:pt idx="995">
                  <c:v>-14.896203908903194</c:v>
                </c:pt>
                <c:pt idx="996">
                  <c:v>-14.908330745914187</c:v>
                </c:pt>
                <c:pt idx="997">
                  <c:v>-14.920457607346618</c:v>
                </c:pt>
                <c:pt idx="998">
                  <c:v>-14.932584493200107</c:v>
                </c:pt>
                <c:pt idx="999">
                  <c:v>-14.944711403474276</c:v>
                </c:pt>
                <c:pt idx="1000">
                  <c:v>-14.956838338168746</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131.1551130355156</c:v>
                </c:pt>
                <c:pt idx="1">
                  <c:v>131.1551130355156</c:v>
                </c:pt>
                <c:pt idx="2">
                  <c:v>131.1551130355156</c:v>
                </c:pt>
                <c:pt idx="3">
                  <c:v>145.2791931013993</c:v>
                </c:pt>
                <c:pt idx="4">
                  <c:v>131.1551130355156</c:v>
                </c:pt>
                <c:pt idx="5">
                  <c:v>117.03103296963189</c:v>
                </c:pt>
                <c:pt idx="6">
                  <c:v>131.1551130355156</c:v>
                </c:pt>
              </c:numCache>
            </c:numRef>
          </c:xVal>
          <c:yVal>
            <c:numRef>
              <c:f>Trajecto!$C$141:$C$147</c:f>
              <c:numCache>
                <c:formatCode>0</c:formatCode>
                <c:ptCount val="7"/>
                <c:pt idx="0">
                  <c:v>564.96320263534824</c:v>
                </c:pt>
                <c:pt idx="1">
                  <c:v>141.24080065883706</c:v>
                </c:pt>
                <c:pt idx="2">
                  <c:v>0</c:v>
                </c:pt>
                <c:pt idx="3">
                  <c:v>28.248160131767413</c:v>
                </c:pt>
                <c:pt idx="4">
                  <c:v>0</c:v>
                </c:pt>
                <c:pt idx="5">
                  <c:v>28.248160131767413</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0</c:v>
                </c:pt>
                <c:pt idx="1">
                  <c:v>6.6207538697662396E-7</c:v>
                </c:pt>
                <c:pt idx="2">
                  <c:v>1.7177052159657097E-4</c:v>
                </c:pt>
                <c:pt idx="3">
                  <c:v>8.5166057778985488E-4</c:v>
                </c:pt>
                <c:pt idx="4">
                  <c:v>2.3788979230456391E-3</c:v>
                </c:pt>
                <c:pt idx="5">
                  <c:v>5.0923756236487729E-3</c:v>
                </c:pt>
                <c:pt idx="6">
                  <c:v>9.245679357458271E-3</c:v>
                </c:pt>
                <c:pt idx="7">
                  <c:v>1.4921248096417636E-2</c:v>
                </c:pt>
                <c:pt idx="8">
                  <c:v>2.2115860832762888E-2</c:v>
                </c:pt>
                <c:pt idx="9">
                  <c:v>3.082627977272584E-2</c:v>
                </c:pt>
                <c:pt idx="10">
                  <c:v>4.1049250399132729E-2</c:v>
                </c:pt>
                <c:pt idx="11">
                  <c:v>5.2781501534655481E-2</c:v>
                </c:pt>
                <c:pt idx="12">
                  <c:v>6.6019745405710428E-2</c:v>
                </c:pt>
                <c:pt idx="13">
                  <c:v>8.0760677706999101E-2</c:v>
                </c:pt>
                <c:pt idx="14">
                  <c:v>9.700097766668575E-2</c:v>
                </c:pt>
                <c:pt idx="15">
                  <c:v>0.11473730811220614</c:v>
                </c:pt>
                <c:pt idx="16">
                  <c:v>0.13396631553670219</c:v>
                </c:pt>
                <c:pt idx="17">
                  <c:v>0.15468463016607675</c:v>
                </c:pt>
                <c:pt idx="18">
                  <c:v>0.17688886602666326</c:v>
                </c:pt>
                <c:pt idx="19">
                  <c:v>0.20057562101350412</c:v>
                </c:pt>
                <c:pt idx="20">
                  <c:v>0.22574147695923269</c:v>
                </c:pt>
                <c:pt idx="21">
                  <c:v>0.25238299970355249</c:v>
                </c:pt>
                <c:pt idx="22">
                  <c:v>0.28049673916330847</c:v>
                </c:pt>
                <c:pt idx="23">
                  <c:v>0.31007922940314386</c:v>
                </c:pt>
                <c:pt idx="24">
                  <c:v>0.3411269887067373</c:v>
                </c:pt>
                <c:pt idx="25">
                  <c:v>0.37363651964861377</c:v>
                </c:pt>
                <c:pt idx="26">
                  <c:v>0.40760430916652352</c:v>
                </c:pt>
                <c:pt idx="27">
                  <c:v>0.44302682863438309</c:v>
                </c:pt>
                <c:pt idx="28">
                  <c:v>0.47990053393577226</c:v>
                </c:pt>
                <c:pt idx="29">
                  <c:v>0.51822186553798055</c:v>
                </c:pt>
                <c:pt idx="30">
                  <c:v>0.55798724856659732</c:v>
                </c:pt>
                <c:pt idx="31">
                  <c:v>0.59919309288063916</c:v>
                </c:pt>
                <c:pt idx="32">
                  <c:v>0.64183579314820871</c:v>
                </c:pt>
                <c:pt idx="33">
                  <c:v>0.6859117289226776</c:v>
                </c:pt>
                <c:pt idx="34">
                  <c:v>0.73141726471938817</c:v>
                </c:pt>
                <c:pt idx="35">
                  <c:v>0.77843266925878396</c:v>
                </c:pt>
                <c:pt idx="36">
                  <c:v>0.82704095029884483</c:v>
                </c:pt>
                <c:pt idx="37">
                  <c:v>0.8772438930036065</c:v>
                </c:pt>
                <c:pt idx="38">
                  <c:v>0.92904314516550623</c:v>
                </c:pt>
                <c:pt idx="39">
                  <c:v>0.98244018376617093</c:v>
                </c:pt>
                <c:pt idx="40">
                  <c:v>1.0374363228148733</c:v>
                </c:pt>
                <c:pt idx="41">
                  <c:v>1.0940327205805269</c:v>
                </c:pt>
                <c:pt idx="42">
                  <c:v>1.1522303862796415</c:v>
                </c:pt>
                <c:pt idx="43">
                  <c:v>1.2120301862747833</c:v>
                </c:pt>
                <c:pt idx="44">
                  <c:v>1.2734328498313874</c:v>
                </c:pt>
                <c:pt idx="45">
                  <c:v>1.3364389744750265</c:v>
                </c:pt>
                <c:pt idx="46">
                  <c:v>1.4010490309863188</c:v>
                </c:pt>
                <c:pt idx="47">
                  <c:v>1.4672633680664062</c:v>
                </c:pt>
                <c:pt idx="48">
                  <c:v>1.5350822167022589</c:v>
                </c:pt>
                <c:pt idx="49">
                  <c:v>1.6045056942578702</c:v>
                </c:pt>
                <c:pt idx="50">
                  <c:v>1.675533808314623</c:v>
                </c:pt>
                <c:pt idx="51">
                  <c:v>1.7481669328704317</c:v>
                </c:pt>
                <c:pt idx="52">
                  <c:v>1.8224062883680805</c:v>
                </c:pt>
                <c:pt idx="53">
                  <c:v>1.8982534775792201</c:v>
                </c:pt>
                <c:pt idx="54">
                  <c:v>1.9757100171003883</c:v>
                </c:pt>
                <c:pt idx="55">
                  <c:v>2.0547773398858675</c:v>
                </c:pt>
                <c:pt idx="56">
                  <c:v>2.1354567976455905</c:v>
                </c:pt>
                <c:pt idx="57">
                  <c:v>2.21774966311781</c:v>
                </c:pt>
                <c:pt idx="58">
                  <c:v>2.3016571322253947</c:v>
                </c:pt>
                <c:pt idx="59">
                  <c:v>2.3871803261238385</c:v>
                </c:pt>
                <c:pt idx="60">
                  <c:v>2.4743202931483812</c:v>
                </c:pt>
                <c:pt idx="61">
                  <c:v>2.5630780106670112</c:v>
                </c:pt>
                <c:pt idx="62">
                  <c:v>2.6534543868455716</c:v>
                </c:pt>
                <c:pt idx="63">
                  <c:v>2.7454502623306709</c:v>
                </c:pt>
                <c:pt idx="64">
                  <c:v>2.839066411855661</c:v>
                </c:pt>
                <c:pt idx="65">
                  <c:v>2.9343035457745152</c:v>
                </c:pt>
                <c:pt idx="66">
                  <c:v>3.0311623115280764</c:v>
                </c:pt>
                <c:pt idx="67">
                  <c:v>3.1296432950467965</c:v>
                </c:pt>
                <c:pt idx="68">
                  <c:v>3.2297470220937883</c:v>
                </c:pt>
                <c:pt idx="69">
                  <c:v>3.331473959551718</c:v>
                </c:pt>
                <c:pt idx="70">
                  <c:v>3.4348245166568177</c:v>
                </c:pt>
                <c:pt idx="71">
                  <c:v>3.5397990461830582</c:v>
                </c:pt>
                <c:pt idx="72">
                  <c:v>3.64639784557931</c:v>
                </c:pt>
                <c:pt idx="73">
                  <c:v>3.7546211580621183</c:v>
                </c:pt>
                <c:pt idx="74">
                  <c:v>3.8644691736665426</c:v>
                </c:pt>
                <c:pt idx="75">
                  <c:v>3.9759420302573454</c:v>
                </c:pt>
                <c:pt idx="76">
                  <c:v>4.0890398145026534</c:v>
                </c:pt>
                <c:pt idx="77">
                  <c:v>4.2037625628120896</c:v>
                </c:pt>
                <c:pt idx="78">
                  <c:v>4.3201102622412266</c:v>
                </c:pt>
                <c:pt idx="79">
                  <c:v>4.4380828513641077</c:v>
                </c:pt>
                <c:pt idx="80">
                  <c:v>4.5576802211154659</c:v>
                </c:pt>
                <c:pt idx="81">
                  <c:v>4.6789022156041593</c:v>
                </c:pt>
                <c:pt idx="82">
                  <c:v>4.8017486328992707</c:v>
                </c:pt>
                <c:pt idx="83">
                  <c:v>4.9262192257902058</c:v>
                </c:pt>
                <c:pt idx="84">
                  <c:v>5.0523137025220572</c:v>
                </c:pt>
                <c:pt idx="85">
                  <c:v>5.1800317275074264</c:v>
                </c:pt>
                <c:pt idx="86">
                  <c:v>5.3093729220158155</c:v>
                </c:pt>
                <c:pt idx="87">
                  <c:v>5.4403368648416519</c:v>
                </c:pt>
                <c:pt idx="88">
                  <c:v>5.5729230929519336</c:v>
                </c:pt>
                <c:pt idx="89">
                  <c:v>5.7071311021144284</c:v>
                </c:pt>
                <c:pt idx="90">
                  <c:v>5.8429603475073169</c:v>
                </c:pt>
                <c:pt idx="91">
                  <c:v>5.9804102443111127</c:v>
                </c:pt>
                <c:pt idx="92">
                  <c:v>6.1194801682836433</c:v>
                </c:pt>
                <c:pt idx="93">
                  <c:v>6.2601694563188452</c:v>
                </c:pt>
                <c:pt idx="94">
                  <c:v>6.4024774069900721</c:v>
                </c:pt>
                <c:pt idx="95">
                  <c:v>6.5464032810785859</c:v>
                </c:pt>
                <c:pt idx="96">
                  <c:v>6.6919463020878691</c:v>
                </c:pt>
                <c:pt idx="97">
                  <c:v>6.8391056567443425</c:v>
                </c:pt>
                <c:pt idx="98">
                  <c:v>6.9878804954850784</c:v>
                </c:pt>
                <c:pt idx="99">
                  <c:v>7.1382699329330297</c:v>
                </c:pt>
                <c:pt idx="100">
                  <c:v>7.2902730483602944</c:v>
                </c:pt>
                <c:pt idx="101">
                  <c:v>7.4438886490802423</c:v>
                </c:pt>
                <c:pt idx="102">
                  <c:v>7.5991150327274095</c:v>
                </c:pt>
                <c:pt idx="103">
                  <c:v>7.7559502233513431</c:v>
                </c:pt>
                <c:pt idx="104">
                  <c:v>7.9143922086313232</c:v>
                </c:pt>
                <c:pt idx="105">
                  <c:v>8.0744389403456474</c:v>
                </c:pt>
                <c:pt idx="106">
                  <c:v>8.2360883348303133</c:v>
                </c:pt>
                <c:pt idx="107">
                  <c:v>8.3993382734274942</c:v>
                </c:pt>
                <c:pt idx="108">
                  <c:v>8.5641866029242113</c:v>
                </c:pt>
                <c:pt idx="109">
                  <c:v>8.7306311359815734</c:v>
                </c:pt>
                <c:pt idx="110">
                  <c:v>8.8986696515549486</c:v>
                </c:pt>
                <c:pt idx="111">
                  <c:v>9.0682998953053922</c:v>
                </c:pt>
                <c:pt idx="112">
                  <c:v>9.2395195800026695</c:v>
                </c:pt>
                <c:pt idx="113">
                  <c:v>9.4123263859201778</c:v>
                </c:pt>
                <c:pt idx="114">
                  <c:v>9.5867179612220603</c:v>
                </c:pt>
                <c:pt idx="115">
                  <c:v>9.7626919223427908</c:v>
                </c:pt>
                <c:pt idx="116">
                  <c:v>9.9402458543595085</c:v>
                </c:pt>
                <c:pt idx="117">
                  <c:v>10.119377311357351</c:v>
                </c:pt>
                <c:pt idx="118">
                  <c:v>10.300083816788026</c:v>
                </c:pt>
                <c:pt idx="119">
                  <c:v>10.482362863821875</c:v>
                </c:pt>
                <c:pt idx="120">
                  <c:v>10.666211915693626</c:v>
                </c:pt>
                <c:pt idx="121">
                  <c:v>10.851628406042078</c:v>
                </c:pt>
                <c:pt idx="122">
                  <c:v>11.038609739243897</c:v>
                </c:pt>
                <c:pt idx="123">
                  <c:v>11.22715329074174</c:v>
                </c:pt>
                <c:pt idx="124">
                  <c:v>11.417256407366876</c:v>
                </c:pt>
                <c:pt idx="125">
                  <c:v>11.608916407656512</c:v>
                </c:pt>
                <c:pt idx="126">
                  <c:v>11.802130582165953</c:v>
                </c:pt>
                <c:pt idx="127">
                  <c:v>11.996896193775813</c:v>
                </c:pt>
                <c:pt idx="128">
                  <c:v>12.193210477994391</c:v>
                </c:pt>
                <c:pt idx="129">
                  <c:v>12.391070643255388</c:v>
                </c:pt>
                <c:pt idx="130">
                  <c:v>12.590473871211106</c:v>
                </c:pt>
                <c:pt idx="131">
                  <c:v>12.791417317021265</c:v>
                </c:pt>
                <c:pt idx="132">
                  <c:v>12.993898109637579</c:v>
                </c:pt>
                <c:pt idx="133">
                  <c:v>13.197913352084205</c:v>
                </c:pt>
                <c:pt idx="134">
                  <c:v>13.403460121734211</c:v>
                </c:pt>
                <c:pt idx="135">
                  <c:v>13.610535470582162</c:v>
                </c:pt>
                <c:pt idx="136">
                  <c:v>13.819136425512948</c:v>
                </c:pt>
                <c:pt idx="137">
                  <c:v>14.029259988566956</c:v>
                </c:pt>
                <c:pt idx="138">
                  <c:v>14.240903137201705</c:v>
                </c:pt>
                <c:pt idx="139">
                  <c:v>14.454062824550032</c:v>
                </c:pt>
                <c:pt idx="140">
                  <c:v>14.668735979674922</c:v>
                </c:pt>
                <c:pt idx="141">
                  <c:v>14.884919507821104</c:v>
                </c:pt>
                <c:pt idx="142">
                  <c:v>15.10261029066346</c:v>
                </c:pt>
                <c:pt idx="143">
                  <c:v>15.321805186552375</c:v>
                </c:pt>
                <c:pt idx="144">
                  <c:v>15.542501030756084</c:v>
                </c:pt>
                <c:pt idx="145">
                  <c:v>15.764694635700103</c:v>
                </c:pt>
                <c:pt idx="146">
                  <c:v>15.988382791203835</c:v>
                </c:pt>
                <c:pt idx="147">
                  <c:v>16.213562264714398</c:v>
                </c:pt>
                <c:pt idx="148">
                  <c:v>16.440229801537775</c:v>
                </c:pt>
                <c:pt idx="149">
                  <c:v>16.668382125067332</c:v>
                </c:pt>
                <c:pt idx="150">
                  <c:v>16.898015937009784</c:v>
                </c:pt>
                <c:pt idx="151">
                  <c:v>17.129128002472985</c:v>
                </c:pt>
                <c:pt idx="152">
                  <c:v>17.361715235309923</c:v>
                </c:pt>
                <c:pt idx="153">
                  <c:v>17.595774613774292</c:v>
                </c:pt>
                <c:pt idx="154">
                  <c:v>17.831303095908385</c:v>
                </c:pt>
                <c:pt idx="155">
                  <c:v>18.068297619743902</c:v>
                </c:pt>
                <c:pt idx="156">
                  <c:v>18.306755103500731</c:v>
                </c:pt>
                <c:pt idx="157">
                  <c:v>18.546672445783713</c:v>
                </c:pt>
                <c:pt idx="158">
                  <c:v>18.788046525777471</c:v>
                </c:pt>
                <c:pt idx="159">
                  <c:v>19.030874203439311</c:v>
                </c:pt>
                <c:pt idx="160">
                  <c:v>19.275152319690271</c:v>
                </c:pt>
                <c:pt idx="161">
                  <c:v>19.520877696604334</c:v>
                </c:pt>
                <c:pt idx="162">
                  <c:v>19.768047137595875</c:v>
                </c:pt>
                <c:pt idx="163">
                  <c:v>20.016657427605342</c:v>
                </c:pt>
                <c:pt idx="164">
                  <c:v>20.266705333283245</c:v>
                </c:pt>
                <c:pt idx="165">
                  <c:v>20.518187603172475</c:v>
                </c:pt>
                <c:pt idx="166">
                  <c:v>20.771100967888966</c:v>
                </c:pt>
                <c:pt idx="167">
                  <c:v>21.025442140300786</c:v>
                </c:pt>
                <c:pt idx="168">
                  <c:v>21.281207815705635</c:v>
                </c:pt>
                <c:pt idx="169">
                  <c:v>21.53839467200681</c:v>
                </c:pt>
                <c:pt idx="170">
                  <c:v>21.796999369887665</c:v>
                </c:pt>
                <c:pt idx="171">
                  <c:v>22.057018552984601</c:v>
                </c:pt>
                <c:pt idx="172">
                  <c:v>22.318448848058594</c:v>
                </c:pt>
                <c:pt idx="173">
                  <c:v>22.581286865165296</c:v>
                </c:pt>
                <c:pt idx="174">
                  <c:v>22.845529197823769</c:v>
                </c:pt>
                <c:pt idx="175">
                  <c:v>23.111172423183817</c:v>
                </c:pt>
                <c:pt idx="176">
                  <c:v>23.378213102191989</c:v>
                </c:pt>
                <c:pt idx="177">
                  <c:v>23.646647779756265</c:v>
                </c:pt>
                <c:pt idx="178">
                  <c:v>23.916472984909436</c:v>
                </c:pt>
                <c:pt idx="179">
                  <c:v>24.187685230971216</c:v>
                </c:pt>
                <c:pt idx="180">
                  <c:v>24.460281015709089</c:v>
                </c:pt>
                <c:pt idx="181">
                  <c:v>24.734256821497944</c:v>
                </c:pt>
                <c:pt idx="182">
                  <c:v>25.009609115478476</c:v>
                </c:pt>
                <c:pt idx="183">
                  <c:v>25.286334349714423</c:v>
                </c:pt>
                <c:pt idx="184">
                  <c:v>25.564428961348593</c:v>
                </c:pt>
                <c:pt idx="185">
                  <c:v>25.843889372757772</c:v>
                </c:pt>
                <c:pt idx="186">
                  <c:v>26.124711991706473</c:v>
                </c:pt>
                <c:pt idx="187">
                  <c:v>26.406893211499582</c:v>
                </c:pt>
                <c:pt idx="188">
                  <c:v>26.690429411133888</c:v>
                </c:pt>
                <c:pt idx="189">
                  <c:v>26.975316955448523</c:v>
                </c:pt>
                <c:pt idx="190">
                  <c:v>27.261552195274358</c:v>
                </c:pt>
                <c:pt idx="191">
                  <c:v>27.549131467582313</c:v>
                </c:pt>
                <c:pt idx="192">
                  <c:v>27.83805109563064</c:v>
                </c:pt>
                <c:pt idx="193">
                  <c:v>28.128307389111182</c:v>
                </c:pt>
                <c:pt idx="194">
                  <c:v>28.419896644294614</c:v>
                </c:pt>
                <c:pt idx="195">
                  <c:v>28.712815144174684</c:v>
                </c:pt>
                <c:pt idx="196">
                  <c:v>29.007059158611465</c:v>
                </c:pt>
                <c:pt idx="197">
                  <c:v>29.302624944473646</c:v>
                </c:pt>
                <c:pt idx="198">
                  <c:v>29.59950874577984</c:v>
                </c:pt>
                <c:pt idx="199">
                  <c:v>29.897706793838964</c:v>
                </c:pt>
                <c:pt idx="200">
                  <c:v>30.197215307389662</c:v>
                </c:pt>
                <c:pt idx="201">
                  <c:v>30.498030492738806</c:v>
                </c:pt>
                <c:pt idx="202">
                  <c:v>30.800148543899077</c:v>
                </c:pt>
                <c:pt idx="203">
                  <c:v>31.103565642725655</c:v>
                </c:pt>
                <c:pt idx="204">
                  <c:v>31.408277959051979</c:v>
                </c:pt>
                <c:pt idx="205">
                  <c:v>31.714281650824656</c:v>
                </c:pt>
                <c:pt idx="206">
                  <c:v>32.021572864237463</c:v>
                </c:pt>
                <c:pt idx="207">
                  <c:v>32.330147733864493</c:v>
                </c:pt>
                <c:pt idx="208">
                  <c:v>32.640002382792439</c:v>
                </c:pt>
                <c:pt idx="209">
                  <c:v>32.951132922752024</c:v>
                </c:pt>
                <c:pt idx="210">
                  <c:v>33.263535454248604</c:v>
                </c:pt>
                <c:pt idx="211">
                  <c:v>33.577206066691893</c:v>
                </c:pt>
                <c:pt idx="212">
                  <c:v>33.892140838524902</c:v>
                </c:pt>
                <c:pt idx="213">
                  <c:v>34.208335837352053</c:v>
                </c:pt>
                <c:pt idx="214">
                  <c:v>34.52578712006644</c:v>
                </c:pt>
                <c:pt idx="215">
                  <c:v>34.844490732976347</c:v>
                </c:pt>
                <c:pt idx="216">
                  <c:v>35.16444271193091</c:v>
                </c:pt>
                <c:pt idx="217">
                  <c:v>35.485639082445019</c:v>
                </c:pt>
                <c:pt idx="218">
                  <c:v>35.808075859823418</c:v>
                </c:pt>
                <c:pt idx="219">
                  <c:v>36.131749049284039</c:v>
                </c:pt>
                <c:pt idx="220">
                  <c:v>36.456654646080544</c:v>
                </c:pt>
                <c:pt idx="221">
                  <c:v>36.782788635624122</c:v>
                </c:pt>
                <c:pt idx="222">
                  <c:v>37.110146993604495</c:v>
                </c:pt>
                <c:pt idx="223">
                  <c:v>37.438725686110189</c:v>
                </c:pt>
                <c:pt idx="224">
                  <c:v>37.768520669748064</c:v>
                </c:pt>
                <c:pt idx="225">
                  <c:v>38.099527891762051</c:v>
                </c:pt>
                <c:pt idx="226">
                  <c:v>38.431743290151196</c:v>
                </c:pt>
                <c:pt idx="227">
                  <c:v>38.765162793786956</c:v>
                </c:pt>
                <c:pt idx="228">
                  <c:v>39.099782322529741</c:v>
                </c:pt>
                <c:pt idx="229">
                  <c:v>39.435597787344747</c:v>
                </c:pt>
                <c:pt idx="230">
                  <c:v>39.772605090417073</c:v>
                </c:pt>
                <c:pt idx="231">
                  <c:v>40.11080012526611</c:v>
                </c:pt>
                <c:pt idx="232">
                  <c:v>40.450178776859204</c:v>
                </c:pt>
                <c:pt idx="233">
                  <c:v>40.790736921724637</c:v>
                </c:pt>
                <c:pt idx="234">
                  <c:v>41.13247042806389</c:v>
                </c:pt>
                <c:pt idx="235">
                  <c:v>41.475375155863183</c:v>
                </c:pt>
                <c:pt idx="236">
                  <c:v>41.819446957004359</c:v>
                </c:pt>
                <c:pt idx="237">
                  <c:v>42.164681675375036</c:v>
                </c:pt>
                <c:pt idx="238">
                  <c:v>42.511075146978087</c:v>
                </c:pt>
                <c:pt idx="239">
                  <c:v>42.858623200040427</c:v>
                </c:pt>
                <c:pt idx="240">
                  <c:v>43.207321655121113</c:v>
                </c:pt>
                <c:pt idx="241">
                  <c:v>43.55716632521878</c:v>
                </c:pt>
                <c:pt idx="242">
                  <c:v>43.908153015878383</c:v>
                </c:pt>
                <c:pt idx="243">
                  <c:v>44.260277525297255</c:v>
                </c:pt>
                <c:pt idx="244">
                  <c:v>44.61353564443052</c:v>
                </c:pt>
                <c:pt idx="245">
                  <c:v>44.967923157095825</c:v>
                </c:pt>
                <c:pt idx="246">
                  <c:v>45.323435840077408</c:v>
                </c:pt>
                <c:pt idx="247">
                  <c:v>45.680069463229493</c:v>
                </c:pt>
                <c:pt idx="248">
                  <c:v>46.037819789579046</c:v>
                </c:pt>
                <c:pt idx="249">
                  <c:v>46.396682575427853</c:v>
                </c:pt>
                <c:pt idx="250">
                  <c:v>46.756653570453956</c:v>
                </c:pt>
                <c:pt idx="251">
                  <c:v>47.117728125659305</c:v>
                </c:pt>
                <c:pt idx="252">
                  <c:v>47.479900800768405</c:v>
                </c:pt>
                <c:pt idx="253">
                  <c:v>47.843165756102188</c:v>
                </c:pt>
                <c:pt idx="254">
                  <c:v>48.207517145017661</c:v>
                </c:pt>
                <c:pt idx="255">
                  <c:v>48.57294911404221</c:v>
                </c:pt>
                <c:pt idx="256">
                  <c:v>48.939455803006794</c:v>
                </c:pt>
                <c:pt idx="257">
                  <c:v>49.307031345178153</c:v>
                </c:pt>
                <c:pt idx="258">
                  <c:v>49.675669867389949</c:v>
                </c:pt>
                <c:pt idx="259">
                  <c:v>50.04536549017287</c:v>
                </c:pt>
                <c:pt idx="260">
                  <c:v>50.416112327883724</c:v>
                </c:pt>
                <c:pt idx="261">
                  <c:v>50.78790448883349</c:v>
                </c:pt>
                <c:pt idx="262">
                  <c:v>51.160736075414356</c:v>
                </c:pt>
                <c:pt idx="263">
                  <c:v>51.534601184225721</c:v>
                </c:pt>
                <c:pt idx="264">
                  <c:v>51.909493906199216</c:v>
                </c:pt>
                <c:pt idx="265">
                  <c:v>52.285408326722674</c:v>
                </c:pt>
                <c:pt idx="266">
                  <c:v>52.662338525763097</c:v>
                </c:pt>
                <c:pt idx="267">
                  <c:v>53.040278577988637</c:v>
                </c:pt>
                <c:pt idx="268">
                  <c:v>53.419222552889565</c:v>
                </c:pt>
                <c:pt idx="269">
                  <c:v>53.79916451489823</c:v>
                </c:pt>
                <c:pt idx="270">
                  <c:v>54.180098523508036</c:v>
                </c:pt>
                <c:pt idx="271">
                  <c:v>54.562018633391403</c:v>
                </c:pt>
                <c:pt idx="272">
                  <c:v>54.944918894516775</c:v>
                </c:pt>
                <c:pt idx="273">
                  <c:v>55.32879335226459</c:v>
                </c:pt>
                <c:pt idx="274">
                  <c:v>55.713636047542316</c:v>
                </c:pt>
                <c:pt idx="275">
                  <c:v>56.099441016898467</c:v>
                </c:pt>
                <c:pt idx="276">
                  <c:v>56.486202292635667</c:v>
                </c:pt>
                <c:pt idx="277">
                  <c:v>56.873913902922716</c:v>
                </c:pt>
                <c:pt idx="278">
                  <c:v>57.262569871905697</c:v>
                </c:pt>
                <c:pt idx="279">
                  <c:v>57.652164219818111</c:v>
                </c:pt>
                <c:pt idx="280">
                  <c:v>58.042690963090045</c:v>
                </c:pt>
                <c:pt idx="281">
                  <c:v>58.434144114456359</c:v>
                </c:pt>
                <c:pt idx="282">
                  <c:v>58.826517683063948</c:v>
                </c:pt>
                <c:pt idx="283">
                  <c:v>59.219805674577998</c:v>
                </c:pt>
                <c:pt idx="284">
                  <c:v>59.614002091287325</c:v>
                </c:pt>
                <c:pt idx="285">
                  <c:v>60.009100932208746</c:v>
                </c:pt>
                <c:pt idx="286">
                  <c:v>60.405096193190488</c:v>
                </c:pt>
                <c:pt idx="287">
                  <c:v>60.801981867014668</c:v>
                </c:pt>
                <c:pt idx="288">
                  <c:v>61.199751943498825</c:v>
                </c:pt>
                <c:pt idx="289">
                  <c:v>61.598400409596486</c:v>
                </c:pt>
                <c:pt idx="290">
                  <c:v>61.997921249496834</c:v>
                </c:pt>
                <c:pt idx="291">
                  <c:v>62.398308444723384</c:v>
                </c:pt>
                <c:pt idx="292">
                  <c:v>62.799555974231772</c:v>
                </c:pt>
                <c:pt idx="293">
                  <c:v>63.201657814506611</c:v>
                </c:pt>
                <c:pt idx="294">
                  <c:v>63.604607939657363</c:v>
                </c:pt>
                <c:pt idx="295">
                  <c:v>64.008400321513363</c:v>
                </c:pt>
                <c:pt idx="296">
                  <c:v>64.413028929717839</c:v>
                </c:pt>
                <c:pt idx="297">
                  <c:v>64.818487731821094</c:v>
                </c:pt>
                <c:pt idx="298">
                  <c:v>65.224766277288225</c:v>
                </c:pt>
                <c:pt idx="299">
                  <c:v>65.631845277816552</c:v>
                </c:pt>
                <c:pt idx="300">
                  <c:v>66.039701023267682</c:v>
                </c:pt>
                <c:pt idx="301">
                  <c:v>66.448309801540574</c:v>
                </c:pt>
                <c:pt idx="302">
                  <c:v>66.857647899159971</c:v>
                </c:pt>
                <c:pt idx="303">
                  <c:v>67.267691601853556</c:v>
                </c:pt>
                <c:pt idx="304">
                  <c:v>67.678417195118143</c:v>
                </c:pt>
                <c:pt idx="305">
                  <c:v>68.089800964774682</c:v>
                </c:pt>
                <c:pt idx="306">
                  <c:v>68.501819197512262</c:v>
                </c:pt>
                <c:pt idx="307">
                  <c:v>68.914448181421065</c:v>
                </c:pt>
                <c:pt idx="308">
                  <c:v>69.327664206514314</c:v>
                </c:pt>
                <c:pt idx="309">
                  <c:v>69.741443565239251</c:v>
                </c:pt>
                <c:pt idx="310">
                  <c:v>70.155762552977208</c:v>
                </c:pt>
                <c:pt idx="311">
                  <c:v>70.570597468532711</c:v>
                </c:pt>
                <c:pt idx="312">
                  <c:v>70.985924614611733</c:v>
                </c:pt>
                <c:pt idx="313">
                  <c:v>71.401720298289035</c:v>
                </c:pt>
                <c:pt idx="314">
                  <c:v>71.817960831464745</c:v>
                </c:pt>
                <c:pt idx="315">
                  <c:v>72.23462253131008</c:v>
                </c:pt>
                <c:pt idx="316">
                  <c:v>72.651681720702314</c:v>
                </c:pt>
                <c:pt idx="317">
                  <c:v>73.069114728648998</c:v>
                </c:pt>
                <c:pt idx="318">
                  <c:v>73.486897890701414</c:v>
                </c:pt>
                <c:pt idx="319">
                  <c:v>73.905007549357421</c:v>
                </c:pt>
                <c:pt idx="320">
                  <c:v>74.32342005445355</c:v>
                </c:pt>
                <c:pt idx="321">
                  <c:v>74.74211354085466</c:v>
                </c:pt>
                <c:pt idx="322">
                  <c:v>75.16106970666003</c:v>
                </c:pt>
                <c:pt idx="323">
                  <c:v>75.580272034904596</c:v>
                </c:pt>
                <c:pt idx="324">
                  <c:v>75.999704014634574</c:v>
                </c:pt>
                <c:pt idx="325">
                  <c:v>76.419349141073226</c:v>
                </c:pt>
                <c:pt idx="326">
                  <c:v>76.83919091578143</c:v>
                </c:pt>
                <c:pt idx="327">
                  <c:v>77.259212846813199</c:v>
                </c:pt>
                <c:pt idx="328">
                  <c:v>77.679398448865996</c:v>
                </c:pt>
                <c:pt idx="329">
                  <c:v>78.099731243425978</c:v>
                </c:pt>
                <c:pt idx="330">
                  <c:v>78.520194758908204</c:v>
                </c:pt>
                <c:pt idx="331">
                  <c:v>78.940772530791648</c:v>
                </c:pt>
                <c:pt idx="332">
                  <c:v>79.361448101749261</c:v>
                </c:pt>
                <c:pt idx="333">
                  <c:v>79.782205021772924</c:v>
                </c:pt>
                <c:pt idx="334">
                  <c:v>80.203026848293433</c:v>
                </c:pt>
                <c:pt idx="335">
                  <c:v>80.623897146295405</c:v>
                </c:pt>
                <c:pt idx="336">
                  <c:v>81.044799488427216</c:v>
                </c:pt>
                <c:pt idx="337">
                  <c:v>81.46571745510596</c:v>
                </c:pt>
                <c:pt idx="338">
                  <c:v>81.886634634617451</c:v>
                </c:pt>
                <c:pt idx="339">
                  <c:v>82.307534623211197</c:v>
                </c:pt>
                <c:pt idx="340">
                  <c:v>82.728401025190536</c:v>
                </c:pt>
                <c:pt idx="341">
                  <c:v>83.149217452997746</c:v>
                </c:pt>
                <c:pt idx="342">
                  <c:v>83.569967527294324</c:v>
                </c:pt>
                <c:pt idx="343">
                  <c:v>83.9906348770363</c:v>
                </c:pt>
                <c:pt idx="344">
                  <c:v>84.411203139544682</c:v>
                </c:pt>
                <c:pt idx="345">
                  <c:v>84.831655960571055</c:v>
                </c:pt>
                <c:pt idx="346">
                  <c:v>85.251976994358259</c:v>
                </c:pt>
                <c:pt idx="347">
                  <c:v>85.672149903696265</c:v>
                </c:pt>
                <c:pt idx="348">
                  <c:v>86.09215855437246</c:v>
                </c:pt>
                <c:pt idx="349">
                  <c:v>86.511987209609401</c:v>
                </c:pt>
                <c:pt idx="350">
                  <c:v>86.931620335466746</c:v>
                </c:pt>
                <c:pt idx="351">
                  <c:v>87.351042406241689</c:v>
                </c:pt>
                <c:pt idx="352">
                  <c:v>87.770237904492021</c:v>
                </c:pt>
                <c:pt idx="353">
                  <c:v>88.189191321054892</c:v>
                </c:pt>
                <c:pt idx="354">
                  <c:v>88.607887155061263</c:v>
                </c:pt>
                <c:pt idx="355">
                  <c:v>89.026309913946022</c:v>
                </c:pt>
                <c:pt idx="356">
                  <c:v>89.444444113453827</c:v>
                </c:pt>
                <c:pt idx="357">
                  <c:v>89.862274277640623</c:v>
                </c:pt>
                <c:pt idx="358">
                  <c:v>90.279784938870876</c:v>
                </c:pt>
                <c:pt idx="359">
                  <c:v>90.696960637810548</c:v>
                </c:pt>
                <c:pt idx="360">
                  <c:v>91.113789992473258</c:v>
                </c:pt>
                <c:pt idx="361">
                  <c:v>91.530269766707761</c:v>
                </c:pt>
                <c:pt idx="362">
                  <c:v>91.946400795630794</c:v>
                </c:pt>
                <c:pt idx="363">
                  <c:v>92.362183911629245</c:v>
                </c:pt>
                <c:pt idx="364">
                  <c:v>92.777619944372461</c:v>
                </c:pt>
                <c:pt idx="365">
                  <c:v>93.192709720824425</c:v>
                </c:pt>
                <c:pt idx="366">
                  <c:v>93.60745406525588</c:v>
                </c:pt>
                <c:pt idx="367">
                  <c:v>94.021853799256434</c:v>
                </c:pt>
                <c:pt idx="368">
                  <c:v>94.435909741746499</c:v>
                </c:pt>
                <c:pt idx="369">
                  <c:v>94.849622708989287</c:v>
                </c:pt>
                <c:pt idx="370">
                  <c:v>95.262993514602599</c:v>
                </c:pt>
                <c:pt idx="371">
                  <c:v>95.676022969570667</c:v>
                </c:pt>
                <c:pt idx="372">
                  <c:v>96.088711882255893</c:v>
                </c:pt>
                <c:pt idx="373">
                  <c:v>96.5010610584105</c:v>
                </c:pt>
                <c:pt idx="374">
                  <c:v>96.913071301188097</c:v>
                </c:pt>
                <c:pt idx="375">
                  <c:v>97.324743411155268</c:v>
                </c:pt>
                <c:pt idx="376">
                  <c:v>97.736078186303033</c:v>
                </c:pt>
                <c:pt idx="377">
                  <c:v>98.14707642205822</c:v>
                </c:pt>
                <c:pt idx="378">
                  <c:v>98.557738911294862</c:v>
                </c:pt>
                <c:pt idx="379">
                  <c:v>98.968066444345439</c:v>
                </c:pt>
                <c:pt idx="380">
                  <c:v>99.378059809012115</c:v>
                </c:pt>
                <c:pt idx="381">
                  <c:v>99.787719790577881</c:v>
                </c:pt>
                <c:pt idx="382">
                  <c:v>100.19704717181769</c:v>
                </c:pt>
                <c:pt idx="383">
                  <c:v>100.60604273300943</c:v>
                </c:pt>
                <c:pt idx="384">
                  <c:v>101.01470725194497</c:v>
                </c:pt>
                <c:pt idx="385">
                  <c:v>101.42304150394101</c:v>
                </c:pt>
                <c:pt idx="386">
                  <c:v>101.83104626184996</c:v>
                </c:pt>
                <c:pt idx="387">
                  <c:v>102.23872229607078</c:v>
                </c:pt>
                <c:pt idx="388">
                  <c:v>102.64607037455961</c:v>
                </c:pt>
                <c:pt idx="389">
                  <c:v>103.05309126284058</c:v>
                </c:pt>
                <c:pt idx="390">
                  <c:v>103.4597857240163</c:v>
                </c:pt>
                <c:pt idx="391">
                  <c:v>103.86615451877852</c:v>
                </c:pt>
                <c:pt idx="392">
                  <c:v>104.27219840541855</c:v>
                </c:pt>
                <c:pt idx="393">
                  <c:v>104.67791813983779</c:v>
                </c:pt>
                <c:pt idx="394">
                  <c:v>105.08331447555804</c:v>
                </c:pt>
                <c:pt idx="395">
                  <c:v>105.48838816373191</c:v>
                </c:pt>
                <c:pt idx="396">
                  <c:v>105.89313995315302</c:v>
                </c:pt>
                <c:pt idx="397">
                  <c:v>106.29757059026628</c:v>
                </c:pt>
                <c:pt idx="398">
                  <c:v>106.70168081917801</c:v>
                </c:pt>
                <c:pt idx="399">
                  <c:v>107.10547138166609</c:v>
                </c:pt>
                <c:pt idx="400">
                  <c:v>107.50894301718999</c:v>
                </c:pt>
                <c:pt idx="401">
                  <c:v>111.5261754926936</c:v>
                </c:pt>
                <c:pt idx="402">
                  <c:v>115.51199042372903</c:v>
                </c:pt>
                <c:pt idx="403">
                  <c:v>119.46710589078182</c:v>
                </c:pt>
                <c:pt idx="404">
                  <c:v>123.39221805875471</c:v>
                </c:pt>
                <c:pt idx="405">
                  <c:v>127.28800209429365</c:v>
                </c:pt>
                <c:pt idx="406">
                  <c:v>131.1551130355156</c:v>
                </c:pt>
                <c:pt idx="407">
                  <c:v>134.99418661708708</c:v>
                </c:pt>
                <c:pt idx="408">
                  <c:v>138.80584005339043</c:v>
                </c:pt>
                <c:pt idx="409">
                  <c:v>142.59067278231973</c:v>
                </c:pt>
                <c:pt idx="410">
                  <c:v>146.34926717206977</c:v>
                </c:pt>
                <c:pt idx="411">
                  <c:v>150.08218919311611</c:v>
                </c:pt>
                <c:pt idx="412">
                  <c:v>153.78998905743285</c:v>
                </c:pt>
                <c:pt idx="413">
                  <c:v>157.4732018268551</c:v>
                </c:pt>
                <c:pt idx="414">
                  <c:v>161.13234799236358</c:v>
                </c:pt>
                <c:pt idx="415">
                  <c:v>164.7679340259499</c:v>
                </c:pt>
                <c:pt idx="416">
                  <c:v>168.38045290661125</c:v>
                </c:pt>
                <c:pt idx="417">
                  <c:v>171.97038462192083</c:v>
                </c:pt>
                <c:pt idx="418">
                  <c:v>175.53819664652647</c:v>
                </c:pt>
                <c:pt idx="419">
                  <c:v>179.08434439884272</c:v>
                </c:pt>
                <c:pt idx="420">
                  <c:v>182.60927167712023</c:v>
                </c:pt>
                <c:pt idx="421">
                  <c:v>186.11341107600188</c:v>
                </c:pt>
                <c:pt idx="422">
                  <c:v>189.5971843846047</c:v>
                </c:pt>
                <c:pt idx="423">
                  <c:v>193.06100296710235</c:v>
                </c:pt>
                <c:pt idx="424">
                  <c:v>196.50526812672263</c:v>
                </c:pt>
                <c:pt idx="425">
                  <c:v>199.93037145401831</c:v>
                </c:pt>
                <c:pt idx="426">
                  <c:v>203.33669516021754</c:v>
                </c:pt>
                <c:pt idx="427">
                  <c:v>206.7246123964114</c:v>
                </c:pt>
                <c:pt idx="428">
                  <c:v>210.09448755929108</c:v>
                </c:pt>
                <c:pt idx="429">
                  <c:v>213.44667658410458</c:v>
                </c:pt>
                <c:pt idx="430">
                  <c:v>216.78152722546346</c:v>
                </c:pt>
                <c:pt idx="431">
                  <c:v>220.09937932659352</c:v>
                </c:pt>
                <c:pt idx="432">
                  <c:v>223.40056507758831</c:v>
                </c:pt>
                <c:pt idx="433">
                  <c:v>226.68540926319264</c:v>
                </c:pt>
                <c:pt idx="434">
                  <c:v>229.95422950061263</c:v>
                </c:pt>
                <c:pt idx="435">
                  <c:v>233.2073364678208</c:v>
                </c:pt>
                <c:pt idx="436">
                  <c:v>236.44503412279801</c:v>
                </c:pt>
                <c:pt idx="437">
                  <c:v>239.66761991412915</c:v>
                </c:pt>
                <c:pt idx="438">
                  <c:v>242.87538498334629</c:v>
                </c:pt>
                <c:pt idx="439">
                  <c:v>246.06861435939064</c:v>
                </c:pt>
                <c:pt idx="440">
                  <c:v>249.2475871455444</c:v>
                </c:pt>
                <c:pt idx="441">
                  <c:v>252.41257669916396</c:v>
                </c:pt>
                <c:pt idx="442">
                  <c:v>255.56385080452742</c:v>
                </c:pt>
                <c:pt idx="443">
                  <c:v>258.70167183909234</c:v>
                </c:pt>
                <c:pt idx="444">
                  <c:v>261.82629693344336</c:v>
                </c:pt>
                <c:pt idx="445">
                  <c:v>264.93797812519335</c:v>
                </c:pt>
                <c:pt idx="446">
                  <c:v>268.03696250708845</c:v>
                </c:pt>
                <c:pt idx="447">
                  <c:v>271.12349236955157</c:v>
                </c:pt>
                <c:pt idx="448">
                  <c:v>274.19780533788821</c:v>
                </c:pt>
                <c:pt idx="449">
                  <c:v>277.2601345043638</c:v>
                </c:pt>
                <c:pt idx="450">
                  <c:v>280.3107085553516</c:v>
                </c:pt>
                <c:pt idx="451">
                  <c:v>283.34975189373836</c:v>
                </c:pt>
                <c:pt idx="452">
                  <c:v>286.37748475676364</c:v>
                </c:pt>
                <c:pt idx="453">
                  <c:v>289.39412332945994</c:v>
                </c:pt>
                <c:pt idx="454">
                  <c:v>292.39987985384937</c:v>
                </c:pt>
                <c:pt idx="455">
                  <c:v>295.39496273404433</c:v>
                </c:pt>
                <c:pt idx="456">
                  <c:v>298.37957663739047</c:v>
                </c:pt>
                <c:pt idx="457">
                  <c:v>301.35392259178099</c:v>
                </c:pt>
                <c:pt idx="458">
                  <c:v>304.31819807926388</c:v>
                </c:pt>
                <c:pt idx="459">
                  <c:v>307.27259712605445</c:v>
                </c:pt>
                <c:pt idx="460">
                  <c:v>310.21731038905915</c:v>
                </c:pt>
                <c:pt idx="461">
                  <c:v>313.15252523900745</c:v>
                </c:pt>
                <c:pt idx="462">
                  <c:v>316.07842584028231</c:v>
                </c:pt>
                <c:pt idx="463">
                  <c:v>318.99519322753207</c:v>
                </c:pt>
                <c:pt idx="464">
                  <c:v>321.9030053791389</c:v>
                </c:pt>
                <c:pt idx="465">
                  <c:v>324.8020372876129</c:v>
                </c:pt>
                <c:pt idx="466">
                  <c:v>327.69246102697309</c:v>
                </c:pt>
                <c:pt idx="467">
                  <c:v>330.57444581716987</c:v>
                </c:pt>
                <c:pt idx="468">
                  <c:v>333.44815808559684</c:v>
                </c:pt>
                <c:pt idx="469">
                  <c:v>336.31376152573222</c:v>
                </c:pt>
                <c:pt idx="470">
                  <c:v>339.17141715294434</c:v>
                </c:pt>
                <c:pt idx="471">
                  <c:v>342.02128335748711</c:v>
                </c:pt>
                <c:pt idx="472">
                  <c:v>344.86351595470541</c:v>
                </c:pt>
                <c:pt idx="473">
                  <c:v>347.69826823246308</c:v>
                </c:pt>
                <c:pt idx="474">
                  <c:v>350.52569099579762</c:v>
                </c:pt>
                <c:pt idx="475">
                  <c:v>353.34593260880018</c:v>
                </c:pt>
                <c:pt idx="476">
                  <c:v>356.15913903370966</c:v>
                </c:pt>
                <c:pt idx="477">
                  <c:v>358.96545386720317</c:v>
                </c:pt>
                <c:pt idx="478">
                  <c:v>361.76501837385695</c:v>
                </c:pt>
                <c:pt idx="479">
                  <c:v>364.55797151674267</c:v>
                </c:pt>
                <c:pt idx="480">
                  <c:v>367.34444998511617</c:v>
                </c:pt>
                <c:pt idx="481">
                  <c:v>370.12458821914703</c:v>
                </c:pt>
                <c:pt idx="482">
                  <c:v>372.89851843162745</c:v>
                </c:pt>
                <c:pt idx="483">
                  <c:v>375.66637062659078</c:v>
                </c:pt>
                <c:pt idx="484">
                  <c:v>378.42827261475975</c:v>
                </c:pt>
                <c:pt idx="485">
                  <c:v>381.1843500257354</c:v>
                </c:pt>
                <c:pt idx="486">
                  <c:v>383.93472631682749</c:v>
                </c:pt>
                <c:pt idx="487">
                  <c:v>386.67952277841869</c:v>
                </c:pt>
                <c:pt idx="488">
                  <c:v>389.41885853574337</c:v>
                </c:pt>
                <c:pt idx="489">
                  <c:v>392.15285054695477</c:v>
                </c:pt>
                <c:pt idx="490">
                  <c:v>394.88161359734391</c:v>
                </c:pt>
                <c:pt idx="491">
                  <c:v>397.60526028956627</c:v>
                </c:pt>
                <c:pt idx="492">
                  <c:v>400.32390102972505</c:v>
                </c:pt>
                <c:pt idx="493">
                  <c:v>403.03764400915384</c:v>
                </c:pt>
                <c:pt idx="494">
                  <c:v>405.74659518173814</c:v>
                </c:pt>
                <c:pt idx="495">
                  <c:v>408.45085823661316</c:v>
                </c:pt>
                <c:pt idx="496">
                  <c:v>411.15053456607677</c:v>
                </c:pt>
                <c:pt idx="497">
                  <c:v>413.84572322856178</c:v>
                </c:pt>
                <c:pt idx="498">
                  <c:v>416.53652090652128</c:v>
                </c:pt>
                <c:pt idx="499">
                  <c:v>419.22302185909575</c:v>
                </c:pt>
                <c:pt idx="500">
                  <c:v>421.90531786945263</c:v>
                </c:pt>
                <c:pt idx="501">
                  <c:v>424.58349818671832</c:v>
                </c:pt>
                <c:pt idx="502">
                  <c:v>427.25764946246187</c:v>
                </c:pt>
                <c:pt idx="503">
                  <c:v>429.92785568173707</c:v>
                </c:pt>
                <c:pt idx="504">
                  <c:v>432.59419808875208</c:v>
                </c:pt>
                <c:pt idx="505">
                  <c:v>435.25675510730781</c:v>
                </c:pt>
                <c:pt idx="506">
                  <c:v>437.91560225623402</c:v>
                </c:pt>
                <c:pt idx="507">
                  <c:v>440.57081206015431</c:v>
                </c:pt>
                <c:pt idx="508">
                  <c:v>443.22245395602778</c:v>
                </c:pt>
                <c:pt idx="509">
                  <c:v>445.87059419604543</c:v>
                </c:pt>
                <c:pt idx="510">
                  <c:v>448.51529574760423</c:v>
                </c:pt>
                <c:pt idx="511">
                  <c:v>451.15661819123562</c:v>
                </c:pt>
                <c:pt idx="512">
                  <c:v>453.79461761752646</c:v>
                </c:pt>
                <c:pt idx="513">
                  <c:v>456.42934652423264</c:v>
                </c:pt>
                <c:pt idx="514">
                  <c:v>459.0608537149443</c:v>
                </c:pt>
                <c:pt idx="515">
                  <c:v>461.68918420080536</c:v>
                </c:pt>
                <c:pt idx="516">
                  <c:v>464.31437910691295</c:v>
                </c:pt>
                <c:pt idx="517">
                  <c:v>466.93647558511441</c:v>
                </c:pt>
                <c:pt idx="518">
                  <c:v>469.5555067349668</c:v>
                </c:pt>
                <c:pt idx="519">
                  <c:v>472.17150153462563</c:v>
                </c:pt>
                <c:pt idx="520">
                  <c:v>474.78448478336821</c:v>
                </c:pt>
                <c:pt idx="521">
                  <c:v>477.39447705733784</c:v>
                </c:pt>
                <c:pt idx="522">
                  <c:v>480.00149467991025</c:v>
                </c:pt>
                <c:pt idx="523">
                  <c:v>482.60554970783937</c:v>
                </c:pt>
                <c:pt idx="524">
                  <c:v>485.20664993404284</c:v>
                </c:pt>
                <c:pt idx="525">
                  <c:v>487.80479890755061</c:v>
                </c:pt>
                <c:pt idx="526">
                  <c:v>490.39999597077548</c:v>
                </c:pt>
                <c:pt idx="527">
                  <c:v>492.99223631389333</c:v>
                </c:pt>
                <c:pt idx="528">
                  <c:v>495.58151104575774</c:v>
                </c:pt>
                <c:pt idx="529">
                  <c:v>498.16780728043881</c:v>
                </c:pt>
                <c:pt idx="530">
                  <c:v>500.75110823818181</c:v>
                </c:pt>
                <c:pt idx="531">
                  <c:v>503.33139335934146</c:v>
                </c:pt>
                <c:pt idx="532">
                  <c:v>505.90863842966883</c:v>
                </c:pt>
                <c:pt idx="533">
                  <c:v>508.48281571521306</c:v>
                </c:pt>
                <c:pt idx="534">
                  <c:v>511.05389410504853</c:v>
                </c:pt>
                <c:pt idx="535">
                  <c:v>513.621839260044</c:v>
                </c:pt>
                <c:pt idx="536">
                  <c:v>516.18661376594901</c:v>
                </c:pt>
                <c:pt idx="537">
                  <c:v>518.7481772891706</c:v>
                </c:pt>
                <c:pt idx="538">
                  <c:v>521.30648673374526</c:v>
                </c:pt>
                <c:pt idx="539">
                  <c:v>523.86149639816188</c:v>
                </c:pt>
                <c:pt idx="540">
                  <c:v>526.41315813085873</c:v>
                </c:pt>
                <c:pt idx="541">
                  <c:v>528.96142148338299</c:v>
                </c:pt>
                <c:pt idx="542">
                  <c:v>531.50623386037114</c:v>
                </c:pt>
                <c:pt idx="543">
                  <c:v>534.04754066566557</c:v>
                </c:pt>
                <c:pt idx="544">
                  <c:v>536.58528544403032</c:v>
                </c:pt>
                <c:pt idx="545">
                  <c:v>539.11941001806372</c:v>
                </c:pt>
                <c:pt idx="546">
                  <c:v>541.64985462002312</c:v>
                </c:pt>
                <c:pt idx="547">
                  <c:v>544.17655801838032</c:v>
                </c:pt>
                <c:pt idx="548">
                  <c:v>546.6994576390158</c:v>
                </c:pt>
                <c:pt idx="549">
                  <c:v>549.21848968103131</c:v>
                </c:pt>
                <c:pt idx="550">
                  <c:v>551.73358922722161</c:v>
                </c:pt>
                <c:pt idx="551">
                  <c:v>554.24469034929598</c:v>
                </c:pt>
                <c:pt idx="552">
                  <c:v>556.75172620797593</c:v>
                </c:pt>
                <c:pt idx="553">
                  <c:v>559.25462914812533</c:v>
                </c:pt>
                <c:pt idx="554">
                  <c:v>561.75333078909034</c:v>
                </c:pt>
                <c:pt idx="555">
                  <c:v>564.24776211044048</c:v>
                </c:pt>
                <c:pt idx="556">
                  <c:v>566.73785353331084</c:v>
                </c:pt>
                <c:pt idx="557">
                  <c:v>569.22353499755036</c:v>
                </c:pt>
                <c:pt idx="558">
                  <c:v>571.70473603488233</c:v>
                </c:pt>
                <c:pt idx="559">
                  <c:v>574.18138583827931</c:v>
                </c:pt>
                <c:pt idx="560">
                  <c:v>576.65341332775381</c:v>
                </c:pt>
                <c:pt idx="561">
                  <c:v>579.12074721275621</c:v>
                </c:pt>
                <c:pt idx="562">
                  <c:v>581.58331605136902</c:v>
                </c:pt>
                <c:pt idx="563">
                  <c:v>584.04104830647407</c:v>
                </c:pt>
                <c:pt idx="564">
                  <c:v>586.49387239906423</c:v>
                </c:pt>
                <c:pt idx="565">
                  <c:v>588.94171675886173</c:v>
                </c:pt>
                <c:pt idx="566">
                  <c:v>591.38450987239491</c:v>
                </c:pt>
                <c:pt idx="567">
                  <c:v>593.82218032867911</c:v>
                </c:pt>
                <c:pt idx="568">
                  <c:v>596.25465686263612</c:v>
                </c:pt>
                <c:pt idx="569">
                  <c:v>598.68186839638088</c:v>
                </c:pt>
                <c:pt idx="570">
                  <c:v>601.10374407849361</c:v>
                </c:pt>
                <c:pt idx="571">
                  <c:v>603.5202133213902</c:v>
                </c:pt>
                <c:pt idx="572">
                  <c:v>605.93120583689449</c:v>
                </c:pt>
                <c:pt idx="573">
                  <c:v>608.33665167010986</c:v>
                </c:pt>
                <c:pt idx="574">
                  <c:v>610.73648123168186</c:v>
                </c:pt>
                <c:pt idx="575">
                  <c:v>613.13062532853598</c:v>
                </c:pt>
                <c:pt idx="576">
                  <c:v>615.51901519316971</c:v>
                </c:pt>
                <c:pt idx="577">
                  <c:v>617.90158251157231</c:v>
                </c:pt>
                <c:pt idx="578">
                  <c:v>620.2782594498417</c:v>
                </c:pt>
                <c:pt idx="579">
                  <c:v>622.64897867956131</c:v>
                </c:pt>
                <c:pt idx="580">
                  <c:v>625.01367340199727</c:v>
                </c:pt>
                <c:pt idx="581">
                  <c:v>627.37227737117075</c:v>
                </c:pt>
                <c:pt idx="582">
                  <c:v>629.72472491585791</c:v>
                </c:pt>
                <c:pt idx="583">
                  <c:v>632.07095096056469</c:v>
                </c:pt>
                <c:pt idx="584">
                  <c:v>634.41089104552282</c:v>
                </c:pt>
                <c:pt idx="585">
                  <c:v>636.74448134574766</c:v>
                </c:pt>
                <c:pt idx="586">
                  <c:v>639.07165868919799</c:v>
                </c:pt>
                <c:pt idx="587">
                  <c:v>641.39236057407402</c:v>
                </c:pt>
                <c:pt idx="588">
                  <c:v>643.70652518528834</c:v>
                </c:pt>
                <c:pt idx="589">
                  <c:v>646.01409141014153</c:v>
                </c:pt>
                <c:pt idx="590">
                  <c:v>648.31499885323296</c:v>
                </c:pt>
                <c:pt idx="591">
                  <c:v>650.60918785063427</c:v>
                </c:pt>
                <c:pt idx="592">
                  <c:v>652.89659948335327</c:v>
                </c:pt>
                <c:pt idx="593">
                  <c:v>655.17717559011214</c:v>
                </c:pt>
                <c:pt idx="594">
                  <c:v>657.45085877946394</c:v>
                </c:pt>
                <c:pt idx="595">
                  <c:v>659.71759244126929</c:v>
                </c:pt>
                <c:pt idx="596">
                  <c:v>661.97732075755437</c:v>
                </c:pt>
                <c:pt idx="597">
                  <c:v>664.22998871277002</c:v>
                </c:pt>
                <c:pt idx="598">
                  <c:v>666.47554210347005</c:v>
                </c:pt>
                <c:pt idx="599">
                  <c:v>668.71392754742715</c:v>
                </c:pt>
                <c:pt idx="600">
                  <c:v>670.94509249220289</c:v>
                </c:pt>
                <c:pt idx="601">
                  <c:v>673.16898522318741</c:v>
                </c:pt>
                <c:pt idx="602">
                  <c:v>675.38555487112467</c:v>
                </c:pt>
                <c:pt idx="603">
                  <c:v>677.59475141913731</c:v>
                </c:pt>
                <c:pt idx="604">
                  <c:v>679.79652570926498</c:v>
                </c:pt>
                <c:pt idx="605">
                  <c:v>681.99082944852933</c:v>
                </c:pt>
                <c:pt idx="606">
                  <c:v>684.17761521453838</c:v>
                </c:pt>
                <c:pt idx="607">
                  <c:v>686.35683646064228</c:v>
                </c:pt>
                <c:pt idx="608">
                  <c:v>688.52844752065243</c:v>
                </c:pt>
                <c:pt idx="609">
                  <c:v>690.69240361313496</c:v>
                </c:pt>
                <c:pt idx="610">
                  <c:v>692.8486608452888</c:v>
                </c:pt>
                <c:pt idx="611">
                  <c:v>694.99717621642003</c:v>
                </c:pt>
                <c:pt idx="612">
                  <c:v>697.13790762102167</c:v>
                </c:pt>
                <c:pt idx="613">
                  <c:v>699.27081385146857</c:v>
                </c:pt>
                <c:pt idx="614">
                  <c:v>701.39585460033732</c:v>
                </c:pt>
                <c:pt idx="615">
                  <c:v>703.51299046236056</c:v>
                </c:pt>
                <c:pt idx="616">
                  <c:v>705.62218293602371</c:v>
                </c:pt>
                <c:pt idx="617">
                  <c:v>707.72339442481336</c:v>
                </c:pt>
                <c:pt idx="618">
                  <c:v>709.81658823812609</c:v>
                </c:pt>
                <c:pt idx="619">
                  <c:v>711.9017285918452</c:v>
                </c:pt>
                <c:pt idx="620">
                  <c:v>713.97878060859432</c:v>
                </c:pt>
                <c:pt idx="621">
                  <c:v>716.04771031767439</c:v>
                </c:pt>
                <c:pt idx="622">
                  <c:v>718.10848465469348</c:v>
                </c:pt>
                <c:pt idx="623">
                  <c:v>720.16107146089553</c:v>
                </c:pt>
                <c:pt idx="624">
                  <c:v>722.2054394821962</c:v>
                </c:pt>
                <c:pt idx="625">
                  <c:v>724.24155836793273</c:v>
                </c:pt>
                <c:pt idx="626">
                  <c:v>726.26939866933492</c:v>
                </c:pt>
                <c:pt idx="627">
                  <c:v>728.28893183772493</c:v>
                </c:pt>
                <c:pt idx="628">
                  <c:v>730.30013022245134</c:v>
                </c:pt>
                <c:pt idx="629">
                  <c:v>732.30296706856586</c:v>
                </c:pt>
                <c:pt idx="630">
                  <c:v>734.29741651424843</c:v>
                </c:pt>
                <c:pt idx="631">
                  <c:v>736.28345358798731</c:v>
                </c:pt>
                <c:pt idx="632">
                  <c:v>738.26105420552085</c:v>
                </c:pt>
                <c:pt idx="633">
                  <c:v>740.23019516654733</c:v>
                </c:pt>
                <c:pt idx="634">
                  <c:v>742.19085415120935</c:v>
                </c:pt>
                <c:pt idx="635">
                  <c:v>744.14300971635805</c:v>
                </c:pt>
                <c:pt idx="636">
                  <c:v>746.08664129160491</c:v>
                </c:pt>
                <c:pt idx="637">
                  <c:v>748.02172917516521</c:v>
                </c:pt>
                <c:pt idx="638">
                  <c:v>749.94825452950136</c:v>
                </c:pt>
                <c:pt idx="639">
                  <c:v>751.86619937676949</c:v>
                </c:pt>
                <c:pt idx="640">
                  <c:v>753.77554659407758</c:v>
                </c:pt>
                <c:pt idx="641">
                  <c:v>755.67627990855897</c:v>
                </c:pt>
                <c:pt idx="642">
                  <c:v>757.56838389226823</c:v>
                </c:pt>
                <c:pt idx="643">
                  <c:v>759.4518439569041</c:v>
                </c:pt>
                <c:pt idx="644">
                  <c:v>761.32664634836556</c:v>
                </c:pt>
                <c:pt idx="645">
                  <c:v>763.1927781411465</c:v>
                </c:pt>
                <c:pt idx="646">
                  <c:v>765.05022723257412</c:v>
                </c:pt>
                <c:pt idx="647">
                  <c:v>766.89898233689655</c:v>
                </c:pt>
                <c:pt idx="648">
                  <c:v>768.73903297922527</c:v>
                </c:pt>
                <c:pt idx="649">
                  <c:v>770.57036948933671</c:v>
                </c:pt>
                <c:pt idx="650">
                  <c:v>772.39298299533959</c:v>
                </c:pt>
                <c:pt idx="651">
                  <c:v>774.20686541721136</c:v>
                </c:pt>
                <c:pt idx="652">
                  <c:v>776.01200946021004</c:v>
                </c:pt>
                <c:pt idx="653">
                  <c:v>777.80840860816625</c:v>
                </c:pt>
                <c:pt idx="654">
                  <c:v>779.59605711665949</c:v>
                </c:pt>
                <c:pt idx="655">
                  <c:v>781.37495000608476</c:v>
                </c:pt>
                <c:pt idx="656">
                  <c:v>783.145083054613</c:v>
                </c:pt>
                <c:pt idx="657">
                  <c:v>784.90645279105127</c:v>
                </c:pt>
                <c:pt idx="658">
                  <c:v>786.65905648760588</c:v>
                </c:pt>
                <c:pt idx="659">
                  <c:v>788.40289215255507</c:v>
                </c:pt>
                <c:pt idx="660">
                  <c:v>790.13795852283306</c:v>
                </c:pt>
                <c:pt idx="661">
                  <c:v>791.86425505653278</c:v>
                </c:pt>
                <c:pt idx="662">
                  <c:v>793.5817819253291</c:v>
                </c:pt>
                <c:pt idx="663">
                  <c:v>795.29054000682856</c:v>
                </c:pt>
                <c:pt idx="664">
                  <c:v>796.99053087684956</c:v>
                </c:pt>
                <c:pt idx="665">
                  <c:v>798.68175680163608</c:v>
                </c:pt>
                <c:pt idx="666">
                  <c:v>800.36422073001052</c:v>
                </c:pt>
                <c:pt idx="667">
                  <c:v>802.03792628546876</c:v>
                </c:pt>
                <c:pt idx="668">
                  <c:v>803.70287775822169</c:v>
                </c:pt>
                <c:pt idx="669">
                  <c:v>805.35908009718742</c:v>
                </c:pt>
                <c:pt idx="670">
                  <c:v>807.00653890193689</c:v>
                </c:pt>
                <c:pt idx="671">
                  <c:v>808.6452604145984</c:v>
                </c:pt>
                <c:pt idx="672">
                  <c:v>810.27525151172301</c:v>
                </c:pt>
                <c:pt idx="673">
                  <c:v>811.89651969611566</c:v>
                </c:pt>
                <c:pt idx="674">
                  <c:v>813.50907308863486</c:v>
                </c:pt>
                <c:pt idx="675">
                  <c:v>815.11292041996535</c:v>
                </c:pt>
                <c:pt idx="676">
                  <c:v>816.70807102236529</c:v>
                </c:pt>
                <c:pt idx="677">
                  <c:v>818.29453482139388</c:v>
                </c:pt>
                <c:pt idx="678">
                  <c:v>819.87232232762074</c:v>
                </c:pt>
                <c:pt idx="679">
                  <c:v>821.44144462832071</c:v>
                </c:pt>
                <c:pt idx="680">
                  <c:v>823.00191337915805</c:v>
                </c:pt>
                <c:pt idx="681">
                  <c:v>824.55374079586204</c:v>
                </c:pt>
                <c:pt idx="682">
                  <c:v>826.09693964589758</c:v>
                </c:pt>
                <c:pt idx="683">
                  <c:v>827.63152324013379</c:v>
                </c:pt>
                <c:pt idx="684">
                  <c:v>829.15750542451315</c:v>
                </c:pt>
                <c:pt idx="685">
                  <c:v>830.67490057172415</c:v>
                </c:pt>
                <c:pt idx="686">
                  <c:v>832.18372357288047</c:v>
                </c:pt>
                <c:pt idx="687">
                  <c:v>833.68398982920894</c:v>
                </c:pt>
                <c:pt idx="688">
                  <c:v>835.17571524374898</c:v>
                </c:pt>
                <c:pt idx="689">
                  <c:v>836.6589162130665</c:v>
                </c:pt>
                <c:pt idx="690">
                  <c:v>838.13360961898434</c:v>
                </c:pt>
                <c:pt idx="691">
                  <c:v>839.59981282033152</c:v>
                </c:pt>
                <c:pt idx="692">
                  <c:v>841.05754364471409</c:v>
                </c:pt>
                <c:pt idx="693">
                  <c:v>842.5068203803097</c:v>
                </c:pt>
                <c:pt idx="694">
                  <c:v>843.94766176768803</c:v>
                </c:pt>
                <c:pt idx="695">
                  <c:v>845.38008699165948</c:v>
                </c:pt>
                <c:pt idx="696">
                  <c:v>846.80411567315366</c:v>
                </c:pt>
                <c:pt idx="697">
                  <c:v>848.21976786113055</c:v>
                </c:pt>
                <c:pt idx="698">
                  <c:v>849.62706402452579</c:v>
                </c:pt>
                <c:pt idx="699">
                  <c:v>851.0260250442318</c:v>
                </c:pt>
                <c:pt idx="700">
                  <c:v>852.41667220511727</c:v>
                </c:pt>
                <c:pt idx="701">
                  <c:v>853.79902718808626</c:v>
                </c:pt>
                <c:pt idx="702">
                  <c:v>855.17311206217892</c:v>
                </c:pt>
                <c:pt idx="703">
                  <c:v>856.53894927671536</c:v>
                </c:pt>
                <c:pt idx="704">
                  <c:v>857.89656165348413</c:v>
                </c:pt>
                <c:pt idx="705">
                  <c:v>859.24597237897774</c:v>
                </c:pt>
                <c:pt idx="706">
                  <c:v>859.24597237897774</c:v>
                </c:pt>
                <c:pt idx="707">
                  <c:v>859.24597237897774</c:v>
                </c:pt>
                <c:pt idx="708">
                  <c:v>859.24597237897774</c:v>
                </c:pt>
                <c:pt idx="709">
                  <c:v>859.24597237897774</c:v>
                </c:pt>
                <c:pt idx="710">
                  <c:v>859.24597237897774</c:v>
                </c:pt>
                <c:pt idx="711">
                  <c:v>859.24597237897774</c:v>
                </c:pt>
                <c:pt idx="712">
                  <c:v>859.24597237897774</c:v>
                </c:pt>
                <c:pt idx="713">
                  <c:v>859.24597237897774</c:v>
                </c:pt>
                <c:pt idx="714">
                  <c:v>859.24597237897774</c:v>
                </c:pt>
                <c:pt idx="715">
                  <c:v>859.24597237897774</c:v>
                </c:pt>
                <c:pt idx="716">
                  <c:v>859.24597237897774</c:v>
                </c:pt>
                <c:pt idx="717">
                  <c:v>859.24597237897774</c:v>
                </c:pt>
                <c:pt idx="718">
                  <c:v>859.24597237897774</c:v>
                </c:pt>
                <c:pt idx="719">
                  <c:v>859.24597237897774</c:v>
                </c:pt>
                <c:pt idx="720">
                  <c:v>859.24597237897774</c:v>
                </c:pt>
                <c:pt idx="721">
                  <c:v>859.24597237897774</c:v>
                </c:pt>
                <c:pt idx="722">
                  <c:v>859.24597237897774</c:v>
                </c:pt>
                <c:pt idx="723">
                  <c:v>859.24597237897774</c:v>
                </c:pt>
                <c:pt idx="724">
                  <c:v>859.24597237897774</c:v>
                </c:pt>
                <c:pt idx="725">
                  <c:v>859.24597237897774</c:v>
                </c:pt>
                <c:pt idx="726">
                  <c:v>859.24597237897774</c:v>
                </c:pt>
                <c:pt idx="727">
                  <c:v>859.24597237897774</c:v>
                </c:pt>
                <c:pt idx="728">
                  <c:v>859.24597237897774</c:v>
                </c:pt>
                <c:pt idx="729">
                  <c:v>859.24597237897774</c:v>
                </c:pt>
                <c:pt idx="730">
                  <c:v>859.24597237897774</c:v>
                </c:pt>
                <c:pt idx="731">
                  <c:v>859.24597237897774</c:v>
                </c:pt>
                <c:pt idx="732">
                  <c:v>859.24597237897774</c:v>
                </c:pt>
                <c:pt idx="733">
                  <c:v>859.24597237897774</c:v>
                </c:pt>
                <c:pt idx="734">
                  <c:v>859.24597237897774</c:v>
                </c:pt>
                <c:pt idx="735">
                  <c:v>859.24597237897774</c:v>
                </c:pt>
                <c:pt idx="736">
                  <c:v>859.24597237897774</c:v>
                </c:pt>
                <c:pt idx="737">
                  <c:v>859.24597237897774</c:v>
                </c:pt>
                <c:pt idx="738">
                  <c:v>859.24597237897774</c:v>
                </c:pt>
                <c:pt idx="739">
                  <c:v>859.24597237897774</c:v>
                </c:pt>
                <c:pt idx="740">
                  <c:v>859.24597237897774</c:v>
                </c:pt>
                <c:pt idx="741">
                  <c:v>859.24597237897774</c:v>
                </c:pt>
                <c:pt idx="742">
                  <c:v>859.24597237897774</c:v>
                </c:pt>
                <c:pt idx="743">
                  <c:v>859.24597237897774</c:v>
                </c:pt>
                <c:pt idx="744">
                  <c:v>859.24597237897774</c:v>
                </c:pt>
                <c:pt idx="745">
                  <c:v>859.24597237897774</c:v>
                </c:pt>
                <c:pt idx="746">
                  <c:v>859.24597237897774</c:v>
                </c:pt>
                <c:pt idx="747">
                  <c:v>859.24597237897774</c:v>
                </c:pt>
                <c:pt idx="748">
                  <c:v>859.24597237897774</c:v>
                </c:pt>
                <c:pt idx="749">
                  <c:v>859.24597237897774</c:v>
                </c:pt>
                <c:pt idx="750">
                  <c:v>859.24597237897774</c:v>
                </c:pt>
                <c:pt idx="751">
                  <c:v>859.24597237897774</c:v>
                </c:pt>
                <c:pt idx="752">
                  <c:v>859.24597237897774</c:v>
                </c:pt>
                <c:pt idx="753">
                  <c:v>859.24597237897774</c:v>
                </c:pt>
                <c:pt idx="754">
                  <c:v>859.24597237897774</c:v>
                </c:pt>
                <c:pt idx="755">
                  <c:v>859.24597237897774</c:v>
                </c:pt>
                <c:pt idx="756">
                  <c:v>859.24597237897774</c:v>
                </c:pt>
                <c:pt idx="757">
                  <c:v>859.24597237897774</c:v>
                </c:pt>
                <c:pt idx="758">
                  <c:v>859.24597237897774</c:v>
                </c:pt>
                <c:pt idx="759">
                  <c:v>859.24597237897774</c:v>
                </c:pt>
                <c:pt idx="760">
                  <c:v>859.24597237897774</c:v>
                </c:pt>
                <c:pt idx="761">
                  <c:v>859.24597237897774</c:v>
                </c:pt>
                <c:pt idx="762">
                  <c:v>859.24597237897774</c:v>
                </c:pt>
                <c:pt idx="763">
                  <c:v>859.24597237897774</c:v>
                </c:pt>
                <c:pt idx="764">
                  <c:v>859.24597237897774</c:v>
                </c:pt>
                <c:pt idx="765">
                  <c:v>859.24597237897774</c:v>
                </c:pt>
                <c:pt idx="766">
                  <c:v>859.24597237897774</c:v>
                </c:pt>
                <c:pt idx="767">
                  <c:v>859.24597237897774</c:v>
                </c:pt>
                <c:pt idx="768">
                  <c:v>859.24597237897774</c:v>
                </c:pt>
                <c:pt idx="769">
                  <c:v>859.24597237897774</c:v>
                </c:pt>
                <c:pt idx="770">
                  <c:v>859.24597237897774</c:v>
                </c:pt>
                <c:pt idx="771">
                  <c:v>859.24597237897774</c:v>
                </c:pt>
                <c:pt idx="772">
                  <c:v>859.24597237897774</c:v>
                </c:pt>
                <c:pt idx="773">
                  <c:v>859.24597237897774</c:v>
                </c:pt>
                <c:pt idx="774">
                  <c:v>859.24597237897774</c:v>
                </c:pt>
                <c:pt idx="775">
                  <c:v>859.24597237897774</c:v>
                </c:pt>
                <c:pt idx="776">
                  <c:v>859.24597237897774</c:v>
                </c:pt>
                <c:pt idx="777">
                  <c:v>859.24597237897774</c:v>
                </c:pt>
                <c:pt idx="778">
                  <c:v>859.24597237897774</c:v>
                </c:pt>
                <c:pt idx="779">
                  <c:v>859.24597237897774</c:v>
                </c:pt>
                <c:pt idx="780">
                  <c:v>859.24597237897774</c:v>
                </c:pt>
                <c:pt idx="781">
                  <c:v>859.24597237897774</c:v>
                </c:pt>
                <c:pt idx="782">
                  <c:v>859.24597237897774</c:v>
                </c:pt>
                <c:pt idx="783">
                  <c:v>859.24597237897774</c:v>
                </c:pt>
                <c:pt idx="784">
                  <c:v>859.24597237897774</c:v>
                </c:pt>
                <c:pt idx="785">
                  <c:v>859.24597237897774</c:v>
                </c:pt>
                <c:pt idx="786">
                  <c:v>859.24597237897774</c:v>
                </c:pt>
                <c:pt idx="787">
                  <c:v>859.24597237897774</c:v>
                </c:pt>
                <c:pt idx="788">
                  <c:v>859.24597237897774</c:v>
                </c:pt>
                <c:pt idx="789">
                  <c:v>859.24597237897774</c:v>
                </c:pt>
                <c:pt idx="790">
                  <c:v>859.24597237897774</c:v>
                </c:pt>
                <c:pt idx="791">
                  <c:v>859.24597237897774</c:v>
                </c:pt>
                <c:pt idx="792">
                  <c:v>859.24597237897774</c:v>
                </c:pt>
                <c:pt idx="793">
                  <c:v>859.24597237897774</c:v>
                </c:pt>
                <c:pt idx="794">
                  <c:v>859.24597237897774</c:v>
                </c:pt>
                <c:pt idx="795">
                  <c:v>859.24597237897774</c:v>
                </c:pt>
                <c:pt idx="796">
                  <c:v>859.24597237897774</c:v>
                </c:pt>
                <c:pt idx="797">
                  <c:v>859.24597237897774</c:v>
                </c:pt>
                <c:pt idx="798">
                  <c:v>859.24597237897774</c:v>
                </c:pt>
                <c:pt idx="799">
                  <c:v>859.24597237897774</c:v>
                </c:pt>
                <c:pt idx="800">
                  <c:v>859.24597237897774</c:v>
                </c:pt>
                <c:pt idx="801">
                  <c:v>859.24597237897774</c:v>
                </c:pt>
                <c:pt idx="802">
                  <c:v>859.24597237897774</c:v>
                </c:pt>
                <c:pt idx="803">
                  <c:v>859.24597237897774</c:v>
                </c:pt>
                <c:pt idx="804">
                  <c:v>859.24597237897774</c:v>
                </c:pt>
                <c:pt idx="805">
                  <c:v>859.24597237897774</c:v>
                </c:pt>
                <c:pt idx="806">
                  <c:v>859.24597237897774</c:v>
                </c:pt>
                <c:pt idx="807">
                  <c:v>859.24597237897774</c:v>
                </c:pt>
                <c:pt idx="808">
                  <c:v>859.24597237897774</c:v>
                </c:pt>
                <c:pt idx="809">
                  <c:v>859.24597237897774</c:v>
                </c:pt>
                <c:pt idx="810">
                  <c:v>859.24597237897774</c:v>
                </c:pt>
                <c:pt idx="811">
                  <c:v>859.24597237897774</c:v>
                </c:pt>
                <c:pt idx="812">
                  <c:v>859.24597237897774</c:v>
                </c:pt>
                <c:pt idx="813">
                  <c:v>859.24597237897774</c:v>
                </c:pt>
                <c:pt idx="814">
                  <c:v>859.24597237897774</c:v>
                </c:pt>
                <c:pt idx="815">
                  <c:v>859.24597237897774</c:v>
                </c:pt>
                <c:pt idx="816">
                  <c:v>859.24597237897774</c:v>
                </c:pt>
                <c:pt idx="817">
                  <c:v>859.24597237897774</c:v>
                </c:pt>
                <c:pt idx="818">
                  <c:v>859.24597237897774</c:v>
                </c:pt>
                <c:pt idx="819">
                  <c:v>859.24597237897774</c:v>
                </c:pt>
                <c:pt idx="820">
                  <c:v>859.24597237897774</c:v>
                </c:pt>
                <c:pt idx="821">
                  <c:v>859.24597237897774</c:v>
                </c:pt>
                <c:pt idx="822">
                  <c:v>859.24597237897774</c:v>
                </c:pt>
                <c:pt idx="823">
                  <c:v>859.24597237897774</c:v>
                </c:pt>
                <c:pt idx="824">
                  <c:v>859.24597237897774</c:v>
                </c:pt>
                <c:pt idx="825">
                  <c:v>859.24597237897774</c:v>
                </c:pt>
                <c:pt idx="826">
                  <c:v>859.24597237897774</c:v>
                </c:pt>
                <c:pt idx="827">
                  <c:v>859.24597237897774</c:v>
                </c:pt>
                <c:pt idx="828">
                  <c:v>859.24597237897774</c:v>
                </c:pt>
                <c:pt idx="829">
                  <c:v>859.24597237897774</c:v>
                </c:pt>
                <c:pt idx="830">
                  <c:v>859.24597237897774</c:v>
                </c:pt>
                <c:pt idx="831">
                  <c:v>859.24597237897774</c:v>
                </c:pt>
                <c:pt idx="832">
                  <c:v>859.24597237897774</c:v>
                </c:pt>
                <c:pt idx="833">
                  <c:v>859.24597237897774</c:v>
                </c:pt>
                <c:pt idx="834">
                  <c:v>859.24597237897774</c:v>
                </c:pt>
                <c:pt idx="835">
                  <c:v>859.24597237897774</c:v>
                </c:pt>
                <c:pt idx="836">
                  <c:v>859.24597237897774</c:v>
                </c:pt>
                <c:pt idx="837">
                  <c:v>859.24597237897774</c:v>
                </c:pt>
                <c:pt idx="838">
                  <c:v>859.24597237897774</c:v>
                </c:pt>
                <c:pt idx="839">
                  <c:v>859.24597237897774</c:v>
                </c:pt>
                <c:pt idx="840">
                  <c:v>859.24597237897774</c:v>
                </c:pt>
                <c:pt idx="841">
                  <c:v>859.24597237897774</c:v>
                </c:pt>
                <c:pt idx="842">
                  <c:v>859.24597237897774</c:v>
                </c:pt>
                <c:pt idx="843">
                  <c:v>859.24597237897774</c:v>
                </c:pt>
                <c:pt idx="844">
                  <c:v>859.24597237897774</c:v>
                </c:pt>
                <c:pt idx="845">
                  <c:v>859.24597237897774</c:v>
                </c:pt>
                <c:pt idx="846">
                  <c:v>859.24597237897774</c:v>
                </c:pt>
                <c:pt idx="847">
                  <c:v>859.24597237897774</c:v>
                </c:pt>
                <c:pt idx="848">
                  <c:v>859.24597237897774</c:v>
                </c:pt>
                <c:pt idx="849">
                  <c:v>859.24597237897774</c:v>
                </c:pt>
                <c:pt idx="850">
                  <c:v>859.24597237897774</c:v>
                </c:pt>
                <c:pt idx="851">
                  <c:v>859.24597237897774</c:v>
                </c:pt>
                <c:pt idx="852">
                  <c:v>859.24597237897774</c:v>
                </c:pt>
                <c:pt idx="853">
                  <c:v>859.24597237897774</c:v>
                </c:pt>
                <c:pt idx="854">
                  <c:v>859.24597237897774</c:v>
                </c:pt>
                <c:pt idx="855">
                  <c:v>859.24597237897774</c:v>
                </c:pt>
                <c:pt idx="856">
                  <c:v>859.24597237897774</c:v>
                </c:pt>
                <c:pt idx="857">
                  <c:v>859.24597237897774</c:v>
                </c:pt>
                <c:pt idx="858">
                  <c:v>859.24597237897774</c:v>
                </c:pt>
                <c:pt idx="859">
                  <c:v>859.24597237897774</c:v>
                </c:pt>
                <c:pt idx="860">
                  <c:v>859.24597237897774</c:v>
                </c:pt>
                <c:pt idx="861">
                  <c:v>859.24597237897774</c:v>
                </c:pt>
                <c:pt idx="862">
                  <c:v>859.24597237897774</c:v>
                </c:pt>
                <c:pt idx="863">
                  <c:v>859.24597237897774</c:v>
                </c:pt>
                <c:pt idx="864">
                  <c:v>859.24597237897774</c:v>
                </c:pt>
                <c:pt idx="865">
                  <c:v>859.24597237897774</c:v>
                </c:pt>
                <c:pt idx="866">
                  <c:v>859.24597237897774</c:v>
                </c:pt>
                <c:pt idx="867">
                  <c:v>859.24597237897774</c:v>
                </c:pt>
                <c:pt idx="868">
                  <c:v>859.24597237897774</c:v>
                </c:pt>
                <c:pt idx="869">
                  <c:v>859.24597237897774</c:v>
                </c:pt>
                <c:pt idx="870">
                  <c:v>859.24597237897774</c:v>
                </c:pt>
                <c:pt idx="871">
                  <c:v>859.24597237897774</c:v>
                </c:pt>
                <c:pt idx="872">
                  <c:v>859.24597237897774</c:v>
                </c:pt>
                <c:pt idx="873">
                  <c:v>859.24597237897774</c:v>
                </c:pt>
                <c:pt idx="874">
                  <c:v>859.24597237897774</c:v>
                </c:pt>
                <c:pt idx="875">
                  <c:v>859.24597237897774</c:v>
                </c:pt>
                <c:pt idx="876">
                  <c:v>859.24597237897774</c:v>
                </c:pt>
                <c:pt idx="877">
                  <c:v>859.24597237897774</c:v>
                </c:pt>
                <c:pt idx="878">
                  <c:v>859.24597237897774</c:v>
                </c:pt>
                <c:pt idx="879">
                  <c:v>859.24597237897774</c:v>
                </c:pt>
                <c:pt idx="880">
                  <c:v>859.24597237897774</c:v>
                </c:pt>
                <c:pt idx="881">
                  <c:v>859.24597237897774</c:v>
                </c:pt>
                <c:pt idx="882">
                  <c:v>859.24597237897774</c:v>
                </c:pt>
                <c:pt idx="883">
                  <c:v>859.24597237897774</c:v>
                </c:pt>
                <c:pt idx="884">
                  <c:v>859.24597237897774</c:v>
                </c:pt>
                <c:pt idx="885">
                  <c:v>859.24597237897774</c:v>
                </c:pt>
                <c:pt idx="886">
                  <c:v>859.24597237897774</c:v>
                </c:pt>
                <c:pt idx="887">
                  <c:v>859.24597237897774</c:v>
                </c:pt>
                <c:pt idx="888">
                  <c:v>859.24597237897774</c:v>
                </c:pt>
                <c:pt idx="889">
                  <c:v>859.24597237897774</c:v>
                </c:pt>
                <c:pt idx="890">
                  <c:v>859.24597237897774</c:v>
                </c:pt>
                <c:pt idx="891">
                  <c:v>859.24597237897774</c:v>
                </c:pt>
                <c:pt idx="892">
                  <c:v>859.24597237897774</c:v>
                </c:pt>
                <c:pt idx="893">
                  <c:v>859.24597237897774</c:v>
                </c:pt>
                <c:pt idx="894">
                  <c:v>859.24597237897774</c:v>
                </c:pt>
                <c:pt idx="895">
                  <c:v>859.24597237897774</c:v>
                </c:pt>
                <c:pt idx="896">
                  <c:v>859.24597237897774</c:v>
                </c:pt>
                <c:pt idx="897">
                  <c:v>859.24597237897774</c:v>
                </c:pt>
                <c:pt idx="898">
                  <c:v>859.24597237897774</c:v>
                </c:pt>
                <c:pt idx="899">
                  <c:v>859.24597237897774</c:v>
                </c:pt>
                <c:pt idx="900">
                  <c:v>859.24597237897774</c:v>
                </c:pt>
                <c:pt idx="901">
                  <c:v>859.24597237897774</c:v>
                </c:pt>
                <c:pt idx="902">
                  <c:v>859.24597237897774</c:v>
                </c:pt>
                <c:pt idx="903">
                  <c:v>859.24597237897774</c:v>
                </c:pt>
                <c:pt idx="904">
                  <c:v>859.24597237897774</c:v>
                </c:pt>
                <c:pt idx="905">
                  <c:v>859.24597237897774</c:v>
                </c:pt>
                <c:pt idx="906">
                  <c:v>859.24597237897774</c:v>
                </c:pt>
                <c:pt idx="907">
                  <c:v>859.24597237897774</c:v>
                </c:pt>
                <c:pt idx="908">
                  <c:v>859.24597237897774</c:v>
                </c:pt>
                <c:pt idx="909">
                  <c:v>859.24597237897774</c:v>
                </c:pt>
                <c:pt idx="910">
                  <c:v>859.24597237897774</c:v>
                </c:pt>
                <c:pt idx="911">
                  <c:v>859.24597237897774</c:v>
                </c:pt>
                <c:pt idx="912">
                  <c:v>859.24597237897774</c:v>
                </c:pt>
                <c:pt idx="913">
                  <c:v>859.24597237897774</c:v>
                </c:pt>
                <c:pt idx="914">
                  <c:v>859.24597237897774</c:v>
                </c:pt>
                <c:pt idx="915">
                  <c:v>859.24597237897774</c:v>
                </c:pt>
                <c:pt idx="916">
                  <c:v>859.24597237897774</c:v>
                </c:pt>
                <c:pt idx="917">
                  <c:v>859.24597237897774</c:v>
                </c:pt>
                <c:pt idx="918">
                  <c:v>859.24597237897774</c:v>
                </c:pt>
                <c:pt idx="919">
                  <c:v>859.24597237897774</c:v>
                </c:pt>
                <c:pt idx="920">
                  <c:v>859.24597237897774</c:v>
                </c:pt>
                <c:pt idx="921">
                  <c:v>859.24597237897774</c:v>
                </c:pt>
                <c:pt idx="922">
                  <c:v>859.24597237897774</c:v>
                </c:pt>
                <c:pt idx="923">
                  <c:v>859.24597237897774</c:v>
                </c:pt>
                <c:pt idx="924">
                  <c:v>859.24597237897774</c:v>
                </c:pt>
                <c:pt idx="925">
                  <c:v>859.24597237897774</c:v>
                </c:pt>
                <c:pt idx="926">
                  <c:v>859.24597237897774</c:v>
                </c:pt>
                <c:pt idx="927">
                  <c:v>859.24597237897774</c:v>
                </c:pt>
                <c:pt idx="928">
                  <c:v>859.24597237897774</c:v>
                </c:pt>
                <c:pt idx="929">
                  <c:v>859.24597237897774</c:v>
                </c:pt>
                <c:pt idx="930">
                  <c:v>859.24597237897774</c:v>
                </c:pt>
                <c:pt idx="931">
                  <c:v>859.24597237897774</c:v>
                </c:pt>
                <c:pt idx="932">
                  <c:v>859.24597237897774</c:v>
                </c:pt>
                <c:pt idx="933">
                  <c:v>859.24597237897774</c:v>
                </c:pt>
                <c:pt idx="934">
                  <c:v>859.24597237897774</c:v>
                </c:pt>
                <c:pt idx="935">
                  <c:v>859.24597237897774</c:v>
                </c:pt>
                <c:pt idx="936">
                  <c:v>859.24597237897774</c:v>
                </c:pt>
                <c:pt idx="937">
                  <c:v>859.24597237897774</c:v>
                </c:pt>
                <c:pt idx="938">
                  <c:v>859.24597237897774</c:v>
                </c:pt>
                <c:pt idx="939">
                  <c:v>859.24597237897774</c:v>
                </c:pt>
                <c:pt idx="940">
                  <c:v>859.24597237897774</c:v>
                </c:pt>
                <c:pt idx="941">
                  <c:v>859.24597237897774</c:v>
                </c:pt>
                <c:pt idx="942">
                  <c:v>859.24597237897774</c:v>
                </c:pt>
                <c:pt idx="943">
                  <c:v>859.24597237897774</c:v>
                </c:pt>
                <c:pt idx="944">
                  <c:v>859.24597237897774</c:v>
                </c:pt>
                <c:pt idx="945">
                  <c:v>859.24597237897774</c:v>
                </c:pt>
                <c:pt idx="946">
                  <c:v>859.24597237897774</c:v>
                </c:pt>
                <c:pt idx="947">
                  <c:v>859.24597237897774</c:v>
                </c:pt>
                <c:pt idx="948">
                  <c:v>859.24597237897774</c:v>
                </c:pt>
                <c:pt idx="949">
                  <c:v>859.24597237897774</c:v>
                </c:pt>
                <c:pt idx="950">
                  <c:v>859.24597237897774</c:v>
                </c:pt>
                <c:pt idx="951">
                  <c:v>859.24597237897774</c:v>
                </c:pt>
                <c:pt idx="952">
                  <c:v>859.24597237897774</c:v>
                </c:pt>
                <c:pt idx="953">
                  <c:v>859.24597237897774</c:v>
                </c:pt>
                <c:pt idx="954">
                  <c:v>859.24597237897774</c:v>
                </c:pt>
                <c:pt idx="955">
                  <c:v>859.24597237897774</c:v>
                </c:pt>
                <c:pt idx="956">
                  <c:v>859.24597237897774</c:v>
                </c:pt>
                <c:pt idx="957">
                  <c:v>859.24597237897774</c:v>
                </c:pt>
                <c:pt idx="958">
                  <c:v>859.24597237897774</c:v>
                </c:pt>
                <c:pt idx="959">
                  <c:v>859.24597237897774</c:v>
                </c:pt>
                <c:pt idx="960">
                  <c:v>859.24597237897774</c:v>
                </c:pt>
                <c:pt idx="961">
                  <c:v>859.24597237897774</c:v>
                </c:pt>
                <c:pt idx="962">
                  <c:v>859.24597237897774</c:v>
                </c:pt>
                <c:pt idx="963">
                  <c:v>859.24597237897774</c:v>
                </c:pt>
                <c:pt idx="964">
                  <c:v>859.24597237897774</c:v>
                </c:pt>
                <c:pt idx="965">
                  <c:v>859.24597237897774</c:v>
                </c:pt>
                <c:pt idx="966">
                  <c:v>859.24597237897774</c:v>
                </c:pt>
                <c:pt idx="967">
                  <c:v>859.24597237897774</c:v>
                </c:pt>
                <c:pt idx="968">
                  <c:v>859.24597237897774</c:v>
                </c:pt>
                <c:pt idx="969">
                  <c:v>859.24597237897774</c:v>
                </c:pt>
                <c:pt idx="970">
                  <c:v>859.24597237897774</c:v>
                </c:pt>
                <c:pt idx="971">
                  <c:v>859.24597237897774</c:v>
                </c:pt>
                <c:pt idx="972">
                  <c:v>859.24597237897774</c:v>
                </c:pt>
                <c:pt idx="973">
                  <c:v>859.24597237897774</c:v>
                </c:pt>
                <c:pt idx="974">
                  <c:v>859.24597237897774</c:v>
                </c:pt>
                <c:pt idx="975">
                  <c:v>859.24597237897774</c:v>
                </c:pt>
                <c:pt idx="976">
                  <c:v>859.24597237897774</c:v>
                </c:pt>
                <c:pt idx="977">
                  <c:v>859.24597237897774</c:v>
                </c:pt>
                <c:pt idx="978">
                  <c:v>859.24597237897774</c:v>
                </c:pt>
                <c:pt idx="979">
                  <c:v>859.24597237897774</c:v>
                </c:pt>
                <c:pt idx="980">
                  <c:v>859.24597237897774</c:v>
                </c:pt>
                <c:pt idx="981">
                  <c:v>859.24597237897774</c:v>
                </c:pt>
                <c:pt idx="982">
                  <c:v>859.24597237897774</c:v>
                </c:pt>
                <c:pt idx="983">
                  <c:v>859.24597237897774</c:v>
                </c:pt>
                <c:pt idx="984">
                  <c:v>859.24597237897774</c:v>
                </c:pt>
                <c:pt idx="985">
                  <c:v>859.24597237897774</c:v>
                </c:pt>
                <c:pt idx="986">
                  <c:v>859.24597237897774</c:v>
                </c:pt>
                <c:pt idx="987">
                  <c:v>859.24597237897774</c:v>
                </c:pt>
                <c:pt idx="988">
                  <c:v>859.24597237897774</c:v>
                </c:pt>
                <c:pt idx="989">
                  <c:v>859.24597237897774</c:v>
                </c:pt>
                <c:pt idx="990">
                  <c:v>859.24597237897774</c:v>
                </c:pt>
                <c:pt idx="991">
                  <c:v>859.24597237897774</c:v>
                </c:pt>
                <c:pt idx="992">
                  <c:v>859.24597237897774</c:v>
                </c:pt>
                <c:pt idx="993">
                  <c:v>859.24597237897774</c:v>
                </c:pt>
                <c:pt idx="994">
                  <c:v>859.24597237897774</c:v>
                </c:pt>
                <c:pt idx="995">
                  <c:v>859.24597237897774</c:v>
                </c:pt>
                <c:pt idx="996">
                  <c:v>859.24597237897774</c:v>
                </c:pt>
                <c:pt idx="997">
                  <c:v>859.24597237897774</c:v>
                </c:pt>
                <c:pt idx="998">
                  <c:v>859.24597237897774</c:v>
                </c:pt>
                <c:pt idx="999">
                  <c:v>859.24597237897774</c:v>
                </c:pt>
                <c:pt idx="1000">
                  <c:v>859.24597237897774</c:v>
                </c:pt>
              </c:numCache>
            </c:numRef>
          </c:xVal>
          <c:yVal>
            <c:numRef>
              <c:f>Calculs!$AE$4:$AE$1004</c:f>
              <c:numCache>
                <c:formatCode>0</c:formatCode>
                <c:ptCount val="1001"/>
                <c:pt idx="0">
                  <c:v>0</c:v>
                </c:pt>
                <c:pt idx="1">
                  <c:v>3.7787863175434927E-6</c:v>
                </c:pt>
                <c:pt idx="2">
                  <c:v>9.7430286809401792E-4</c:v>
                </c:pt>
                <c:pt idx="3">
                  <c:v>4.8304626638425606E-3</c:v>
                </c:pt>
                <c:pt idx="4">
                  <c:v>1.3492455547460976E-2</c:v>
                </c:pt>
                <c:pt idx="5">
                  <c:v>2.8882335691858652E-2</c:v>
                </c:pt>
                <c:pt idx="6">
                  <c:v>5.2438330844134518E-2</c:v>
                </c:pt>
                <c:pt idx="7">
                  <c:v>8.4627999028125303E-2</c:v>
                </c:pt>
                <c:pt idx="8">
                  <c:v>0.12543307209862209</c:v>
                </c:pt>
                <c:pt idx="9">
                  <c:v>0.17483518671082196</c:v>
                </c:pt>
                <c:pt idx="10">
                  <c:v>0.23281588467534353</c:v>
                </c:pt>
                <c:pt idx="11">
                  <c:v>0.29935661331694385</c:v>
                </c:pt>
                <c:pt idx="12">
                  <c:v>0.37443872583690696</c:v>
                </c:pt>
                <c:pt idx="13">
                  <c:v>0.45804348167907422</c:v>
                </c:pt>
                <c:pt idx="14">
                  <c:v>0.55015204689948516</c:v>
                </c:pt>
                <c:pt idx="15">
                  <c:v>0.65074549453959929</c:v>
                </c:pt>
                <c:pt idx="16">
                  <c:v>0.75980480500306613</c:v>
                </c:pt>
                <c:pt idx="17">
                  <c:v>0.87731086643601375</c:v>
                </c:pt>
                <c:pt idx="18">
                  <c:v>1.0032444751108227</c:v>
                </c:pt>
                <c:pt idx="19">
                  <c:v>1.1375863358133538</c:v>
                </c:pt>
                <c:pt idx="20">
                  <c:v>1.2803170622335978</c:v>
                </c:pt>
                <c:pt idx="21">
                  <c:v>1.4314171773597135</c:v>
                </c:pt>
                <c:pt idx="22">
                  <c:v>1.5908671138754222</c:v>
                </c:pt>
                <c:pt idx="23">
                  <c:v>1.7586472145607248</c:v>
                </c:pt>
                <c:pt idx="24">
                  <c:v>1.9347377326959072</c:v>
                </c:pt>
                <c:pt idx="25">
                  <c:v>2.1191188324688026</c:v>
                </c:pt>
                <c:pt idx="26">
                  <c:v>2.3117705893852749</c:v>
                </c:pt>
                <c:pt idx="27">
                  <c:v>2.5126729906828871</c:v>
                </c:pt>
                <c:pt idx="28">
                  <c:v>2.7218059357477258</c:v>
                </c:pt>
                <c:pt idx="29">
                  <c:v>2.9391492365343406</c:v>
                </c:pt>
                <c:pt idx="30">
                  <c:v>3.1646826179887673</c:v>
                </c:pt>
                <c:pt idx="31">
                  <c:v>3.3983857184745978</c:v>
                </c:pt>
                <c:pt idx="32">
                  <c:v>3.6402380902020628</c:v>
                </c:pt>
                <c:pt idx="33">
                  <c:v>3.890219199660089</c:v>
                </c:pt>
                <c:pt idx="34">
                  <c:v>4.1483084280512976</c:v>
                </c:pt>
                <c:pt idx="35">
                  <c:v>4.4144702745167566</c:v>
                </c:pt>
                <c:pt idx="36">
                  <c:v>4.6886686673246736</c:v>
                </c:pt>
                <c:pt idx="37">
                  <c:v>4.97088176732339</c:v>
                </c:pt>
                <c:pt idx="38">
                  <c:v>5.2610876701949847</c:v>
                </c:pt>
                <c:pt idx="39">
                  <c:v>5.5592644130745841</c:v>
                </c:pt>
                <c:pt idx="40">
                  <c:v>5.8653899738696778</c:v>
                </c:pt>
                <c:pt idx="41">
                  <c:v>6.1794422706673755</c:v>
                </c:pt>
                <c:pt idx="42">
                  <c:v>6.501399161221042</c:v>
                </c:pt>
                <c:pt idx="43">
                  <c:v>6.8312384425088073</c:v>
                </c:pt>
                <c:pt idx="44">
                  <c:v>7.168937850357322</c:v>
                </c:pt>
                <c:pt idx="45">
                  <c:v>7.5144750591249263</c:v>
                </c:pt>
                <c:pt idx="46">
                  <c:v>7.8678276814390493</c:v>
                </c:pt>
                <c:pt idx="47">
                  <c:v>8.2289732679832355</c:v>
                </c:pt>
                <c:pt idx="48">
                  <c:v>8.5978893073296838</c:v>
                </c:pt>
                <c:pt idx="49">
                  <c:v>8.9745532258136365</c:v>
                </c:pt>
                <c:pt idx="50">
                  <c:v>9.3589423874463211</c:v>
                </c:pt>
                <c:pt idx="51">
                  <c:v>9.7510366482234261</c:v>
                </c:pt>
                <c:pt idx="52">
                  <c:v>10.150820913449881</c:v>
                </c:pt>
                <c:pt idx="53">
                  <c:v>10.558282587435848</c:v>
                </c:pt>
                <c:pt idx="54">
                  <c:v>10.973409020130692</c:v>
                </c:pt>
                <c:pt idx="55">
                  <c:v>11.396187506974208</c:v>
                </c:pt>
                <c:pt idx="56">
                  <c:v>11.826605288769619</c:v>
                </c:pt>
                <c:pt idx="57">
                  <c:v>12.264649551576969</c:v>
                </c:pt>
                <c:pt idx="58">
                  <c:v>12.710307426625654</c:v>
                </c:pt>
                <c:pt idx="59">
                  <c:v>13.163565990244917</c:v>
                </c:pt>
                <c:pt idx="60">
                  <c:v>13.62441226381128</c:v>
                </c:pt>
                <c:pt idx="61">
                  <c:v>14.092833213711897</c:v>
                </c:pt>
                <c:pt idx="62">
                  <c:v>14.568815751322973</c:v>
                </c:pt>
                <c:pt idx="63">
                  <c:v>15.052346733002386</c:v>
                </c:pt>
                <c:pt idx="64">
                  <c:v>15.543412960095768</c:v>
                </c:pt>
                <c:pt idx="65">
                  <c:v>16.042001178955335</c:v>
                </c:pt>
                <c:pt idx="66">
                  <c:v>16.548098080970799</c:v>
                </c:pt>
                <c:pt idx="67">
                  <c:v>17.061690302611765</c:v>
                </c:pt>
                <c:pt idx="68">
                  <c:v>17.582764425481052</c:v>
                </c:pt>
                <c:pt idx="69">
                  <c:v>18.111306976378398</c:v>
                </c:pt>
                <c:pt idx="70">
                  <c:v>18.647304427374063</c:v>
                </c:pt>
                <c:pt idx="71">
                  <c:v>19.190743195891891</c:v>
                </c:pt>
                <c:pt idx="72">
                  <c:v>19.741609644801372</c:v>
                </c:pt>
                <c:pt idx="73">
                  <c:v>20.299890082518331</c:v>
                </c:pt>
                <c:pt idx="74">
                  <c:v>20.865570763113876</c:v>
                </c:pt>
                <c:pt idx="75">
                  <c:v>21.438637886431209</c:v>
                </c:pt>
                <c:pt idx="76">
                  <c:v>22.019077598210028</c:v>
                </c:pt>
                <c:pt idx="77">
                  <c:v>22.606875990218185</c:v>
                </c:pt>
                <c:pt idx="78">
                  <c:v>23.202019100390295</c:v>
                </c:pt>
                <c:pt idx="79">
                  <c:v>23.80449291297305</c:v>
                </c:pt>
                <c:pt idx="80">
                  <c:v>24.414283358676954</c:v>
                </c:pt>
                <c:pt idx="81">
                  <c:v>25.031376314834272</c:v>
                </c:pt>
                <c:pt idx="82">
                  <c:v>25.655757605562911</c:v>
                </c:pt>
                <c:pt idx="83">
                  <c:v>26.287413001936063</c:v>
                </c:pt>
                <c:pt idx="84">
                  <c:v>26.926328222157366</c:v>
                </c:pt>
                <c:pt idx="85">
                  <c:v>27.572488931741425</c:v>
                </c:pt>
                <c:pt idx="86">
                  <c:v>28.225880743699481</c:v>
                </c:pt>
                <c:pt idx="87">
                  <c:v>28.886489218730038</c:v>
                </c:pt>
                <c:pt idx="88">
                  <c:v>29.554299865414336</c:v>
                </c:pt>
                <c:pt idx="89">
                  <c:v>30.229298140416446</c:v>
                </c:pt>
                <c:pt idx="90">
                  <c:v>30.911469448687878</c:v>
                </c:pt>
                <c:pt idx="91">
                  <c:v>31.600799143676532</c:v>
                </c:pt>
                <c:pt idx="92">
                  <c:v>32.297272527539889</c:v>
                </c:pt>
                <c:pt idx="93">
                  <c:v>33.000874851362241</c:v>
                </c:pt>
                <c:pt idx="94">
                  <c:v>33.711591315375934</c:v>
                </c:pt>
                <c:pt idx="95">
                  <c:v>34.429407069186396</c:v>
                </c:pt>
                <c:pt idx="96">
                  <c:v>35.154307212000916</c:v>
                </c:pt>
                <c:pt idx="97">
                  <c:v>35.886276792861025</c:v>
                </c:pt>
                <c:pt idx="98">
                  <c:v>36.625300810878372</c:v>
                </c:pt>
                <c:pt idx="99">
                  <c:v>37.371364215474003</c:v>
                </c:pt>
                <c:pt idx="100">
                  <c:v>38.124451906620934</c:v>
                </c:pt>
                <c:pt idx="101">
                  <c:v>38.884547561353045</c:v>
                </c:pt>
                <c:pt idx="102">
                  <c:v>39.65163245933396</c:v>
                </c:pt>
                <c:pt idx="103">
                  <c:v>40.425686655865711</c:v>
                </c:pt>
                <c:pt idx="104">
                  <c:v>41.206690155897249</c:v>
                </c:pt>
                <c:pt idx="105">
                  <c:v>41.994622914389659</c:v>
                </c:pt>
                <c:pt idx="106">
                  <c:v>42.789464836684097</c:v>
                </c:pt>
                <c:pt idx="107">
                  <c:v>43.591195778872333</c:v>
                </c:pt>
                <c:pt idx="108">
                  <c:v>44.399795548169884</c:v>
                </c:pt>
                <c:pt idx="109">
                  <c:v>45.215243903291544</c:v>
                </c:pt>
                <c:pt idx="110">
                  <c:v>46.037520554829314</c:v>
                </c:pt>
                <c:pt idx="111">
                  <c:v>46.866605165632613</c:v>
                </c:pt>
                <c:pt idx="112">
                  <c:v>47.702477351190673</c:v>
                </c:pt>
                <c:pt idx="113">
                  <c:v>48.545116680017038</c:v>
                </c:pt>
                <c:pt idx="114">
                  <c:v>49.394502674036168</c:v>
                </c:pt>
                <c:pt idx="115">
                  <c:v>50.250614808971932</c:v>
                </c:pt>
                <c:pt idx="116">
                  <c:v>51.113432514738065</c:v>
                </c:pt>
                <c:pt idx="117">
                  <c:v>51.982935175830413</c:v>
                </c:pt>
                <c:pt idx="118">
                  <c:v>52.859102131720924</c:v>
                </c:pt>
                <c:pt idx="119">
                  <c:v>53.741912677253374</c:v>
                </c:pt>
                <c:pt idx="120">
                  <c:v>54.631346063040667</c:v>
                </c:pt>
                <c:pt idx="121">
                  <c:v>55.527381495863715</c:v>
                </c:pt>
                <c:pt idx="122">
                  <c:v>56.429998139071806</c:v>
                </c:pt>
                <c:pt idx="123">
                  <c:v>57.339175112984421</c:v>
                </c:pt>
                <c:pt idx="124">
                  <c:v>58.254891495294409</c:v>
                </c:pt>
                <c:pt idx="125">
                  <c:v>59.177126321472464</c:v>
                </c:pt>
                <c:pt idx="126">
                  <c:v>60.105858585172903</c:v>
                </c:pt>
                <c:pt idx="127">
                  <c:v>61.041067238640601</c:v>
                </c:pt>
                <c:pt idx="128">
                  <c:v>61.982731193119086</c:v>
                </c:pt>
                <c:pt idx="129">
                  <c:v>62.930829319259736</c:v>
                </c:pt>
                <c:pt idx="130">
                  <c:v>63.885340447532002</c:v>
                </c:pt>
                <c:pt idx="131">
                  <c:v>64.846243368634632</c:v>
                </c:pt>
                <c:pt idx="132">
                  <c:v>65.813516833907784</c:v>
                </c:pt>
                <c:pt idx="133">
                  <c:v>66.787139555746108</c:v>
                </c:pt>
                <c:pt idx="134">
                  <c:v>67.76709020801259</c:v>
                </c:pt>
                <c:pt idx="135">
                  <c:v>68.753347426453189</c:v>
                </c:pt>
                <c:pt idx="136">
                  <c:v>69.745889809112271</c:v>
                </c:pt>
                <c:pt idx="137">
                  <c:v>70.744695916748668</c:v>
                </c:pt>
                <c:pt idx="138">
                  <c:v>71.749744273252432</c:v>
                </c:pt>
                <c:pt idx="139">
                  <c:v>72.761013366062144</c:v>
                </c:pt>
                <c:pt idx="140">
                  <c:v>73.778481646582833</c:v>
                </c:pt>
                <c:pt idx="141">
                  <c:v>74.802127530604366</c:v>
                </c:pt>
                <c:pt idx="142">
                  <c:v>75.831929398720348</c:v>
                </c:pt>
                <c:pt idx="143">
                  <c:v>76.867865596747379</c:v>
                </c:pt>
                <c:pt idx="144">
                  <c:v>77.909914436144774</c:v>
                </c:pt>
                <c:pt idx="145">
                  <c:v>78.958054194434595</c:v>
                </c:pt>
                <c:pt idx="146">
                  <c:v>80.012263115621977</c:v>
                </c:pt>
                <c:pt idx="147">
                  <c:v>81.072519410615726</c:v>
                </c:pt>
                <c:pt idx="148">
                  <c:v>82.138801257649149</c:v>
                </c:pt>
                <c:pt idx="149">
                  <c:v>83.211086802701061</c:v>
                </c:pt>
                <c:pt idx="150">
                  <c:v>84.289354159916925</c:v>
                </c:pt>
                <c:pt idx="151">
                  <c:v>85.373581810338379</c:v>
                </c:pt>
                <c:pt idx="152">
                  <c:v>86.463749000770918</c:v>
                </c:pt>
                <c:pt idx="153">
                  <c:v>87.559835345887578</c:v>
                </c:pt>
                <c:pt idx="154">
                  <c:v>88.661820430177187</c:v>
                </c:pt>
                <c:pt idx="155">
                  <c:v>89.769683808330981</c:v>
                </c:pt>
                <c:pt idx="156">
                  <c:v>90.8834050056292</c:v>
                </c:pt>
                <c:pt idx="157">
                  <c:v>92.002963518327832</c:v>
                </c:pt>
                <c:pt idx="158">
                  <c:v>93.128338814045293</c:v>
                </c:pt>
                <c:pt idx="159">
                  <c:v>94.259510332149176</c:v>
                </c:pt>
                <c:pt idx="160">
                  <c:v>95.396457484142886</c:v>
                </c:pt>
                <c:pt idx="161">
                  <c:v>96.539159654052256</c:v>
                </c:pt>
                <c:pt idx="162">
                  <c:v>97.687596198812059</c:v>
                </c:pt>
                <c:pt idx="163">
                  <c:v>98.84174644865233</c:v>
                </c:pt>
                <c:pt idx="164">
                  <c:v>100.00158970748461</c:v>
                </c:pt>
                <c:pt idx="165">
                  <c:v>101.16710525328796</c:v>
                </c:pt>
                <c:pt idx="166">
                  <c:v>102.3382723384947</c:v>
                </c:pt>
                <c:pt idx="167">
                  <c:v>103.51507019037608</c:v>
                </c:pt>
                <c:pt idx="168">
                  <c:v>104.69747801142742</c:v>
                </c:pt>
                <c:pt idx="169">
                  <c:v>105.88547497975317</c:v>
                </c:pt>
                <c:pt idx="170">
                  <c:v>107.07904024945152</c:v>
                </c:pt>
                <c:pt idx="171">
                  <c:v>108.27815295099873</c:v>
                </c:pt>
                <c:pt idx="172">
                  <c:v>109.48279219163297</c:v>
                </c:pt>
                <c:pt idx="173">
                  <c:v>110.69293705573784</c:v>
                </c:pt>
                <c:pt idx="174">
                  <c:v>111.90856660522547</c:v>
                </c:pt>
                <c:pt idx="175">
                  <c:v>113.12965987991907</c:v>
                </c:pt>
                <c:pt idx="176">
                  <c:v>114.35619589793505</c:v>
                </c:pt>
                <c:pt idx="177">
                  <c:v>115.58815365606465</c:v>
                </c:pt>
                <c:pt idx="178">
                  <c:v>116.82551213015493</c:v>
                </c:pt>
                <c:pt idx="179">
                  <c:v>118.06825027548938</c:v>
                </c:pt>
                <c:pt idx="180">
                  <c:v>119.31634702716772</c:v>
                </c:pt>
                <c:pt idx="181">
                  <c:v>120.56978130048529</c:v>
                </c:pt>
                <c:pt idx="182">
                  <c:v>121.82853199131168</c:v>
                </c:pt>
                <c:pt idx="183">
                  <c:v>123.09257797646873</c:v>
                </c:pt>
                <c:pt idx="184">
                  <c:v>124.3618981141079</c:v>
                </c:pt>
                <c:pt idx="185">
                  <c:v>125.63647124408688</c:v>
                </c:pt>
                <c:pt idx="186">
                  <c:v>126.91627618834549</c:v>
                </c:pt>
                <c:pt idx="187">
                  <c:v>128.20129175128088</c:v>
                </c:pt>
                <c:pt idx="188">
                  <c:v>129.4914967201218</c:v>
                </c:pt>
                <c:pt idx="189">
                  <c:v>130.78686986530235</c:v>
                </c:pt>
                <c:pt idx="190">
                  <c:v>132.08738994083461</c:v>
                </c:pt>
                <c:pt idx="191">
                  <c:v>133.39303568468071</c:v>
                </c:pt>
                <c:pt idx="192">
                  <c:v>134.70378581912382</c:v>
                </c:pt>
                <c:pt idx="193">
                  <c:v>136.01961905113839</c:v>
                </c:pt>
                <c:pt idx="194">
                  <c:v>137.3405140727595</c:v>
                </c:pt>
                <c:pt idx="195">
                  <c:v>138.66644956145123</c:v>
                </c:pt>
                <c:pt idx="196">
                  <c:v>139.99740418047406</c:v>
                </c:pt>
                <c:pt idx="197">
                  <c:v>141.33335657925147</c:v>
                </c:pt>
                <c:pt idx="198">
                  <c:v>142.6742853937354</c:v>
                </c:pt>
                <c:pt idx="199">
                  <c:v>144.02016924677076</c:v>
                </c:pt>
                <c:pt idx="200">
                  <c:v>145.37098674845902</c:v>
                </c:pt>
                <c:pt idx="201">
                  <c:v>146.72671649652057</c:v>
                </c:pt>
                <c:pt idx="202">
                  <c:v>148.08733707665621</c:v>
                </c:pt>
                <c:pt idx="203">
                  <c:v>149.45282706290755</c:v>
                </c:pt>
                <c:pt idx="204">
                  <c:v>150.82316501801617</c:v>
                </c:pt>
                <c:pt idx="205">
                  <c:v>152.19832949378184</c:v>
                </c:pt>
                <c:pt idx="206">
                  <c:v>153.5782990314195</c:v>
                </c:pt>
                <c:pt idx="207">
                  <c:v>154.96305216191521</c:v>
                </c:pt>
                <c:pt idx="208">
                  <c:v>156.35256740638087</c:v>
                </c:pt>
                <c:pt idx="209">
                  <c:v>157.7468232764077</c:v>
                </c:pt>
                <c:pt idx="210">
                  <c:v>159.14579827441867</c:v>
                </c:pt>
                <c:pt idx="211">
                  <c:v>160.54947089401969</c:v>
                </c:pt>
                <c:pt idx="212">
                  <c:v>161.95781962034943</c:v>
                </c:pt>
                <c:pt idx="213">
                  <c:v>163.37082293042806</c:v>
                </c:pt>
                <c:pt idx="214">
                  <c:v>164.78845929350473</c:v>
                </c:pt>
                <c:pt idx="215">
                  <c:v>166.21070717140361</c:v>
                </c:pt>
                <c:pt idx="216">
                  <c:v>167.63754501886891</c:v>
                </c:pt>
                <c:pt idx="217">
                  <c:v>169.06895128390832</c:v>
                </c:pt>
                <c:pt idx="218">
                  <c:v>170.50490440813533</c:v>
                </c:pt>
                <c:pt idx="219">
                  <c:v>171.94538282711014</c:v>
                </c:pt>
                <c:pt idx="220">
                  <c:v>173.39036497067923</c:v>
                </c:pt>
                <c:pt idx="221">
                  <c:v>174.83982926331356</c:v>
                </c:pt>
                <c:pt idx="222">
                  <c:v>176.29375412444546</c:v>
                </c:pt>
                <c:pt idx="223">
                  <c:v>177.75211796880401</c:v>
                </c:pt>
                <c:pt idx="224">
                  <c:v>179.21489920674921</c:v>
                </c:pt>
                <c:pt idx="225">
                  <c:v>180.68207624460447</c:v>
                </c:pt>
                <c:pt idx="226">
                  <c:v>182.15362748498794</c:v>
                </c:pt>
                <c:pt idx="227">
                  <c:v>183.62953132714225</c:v>
                </c:pt>
                <c:pt idx="228">
                  <c:v>185.10976616726285</c:v>
                </c:pt>
                <c:pt idx="229">
                  <c:v>186.5943103988248</c:v>
                </c:pt>
                <c:pt idx="230">
                  <c:v>188.08314241290827</c:v>
                </c:pt>
                <c:pt idx="231">
                  <c:v>189.5762405985223</c:v>
                </c:pt>
                <c:pt idx="232">
                  <c:v>191.07358334292732</c:v>
                </c:pt>
                <c:pt idx="233">
                  <c:v>192.57514903195593</c:v>
                </c:pt>
                <c:pt idx="234">
                  <c:v>194.08091605033232</c:v>
                </c:pt>
                <c:pt idx="235">
                  <c:v>195.5908627819901</c:v>
                </c:pt>
                <c:pt idx="236">
                  <c:v>197.10496761038854</c:v>
                </c:pt>
                <c:pt idx="237">
                  <c:v>198.62320891882737</c:v>
                </c:pt>
                <c:pt idx="238">
                  <c:v>200.1455650907599</c:v>
                </c:pt>
                <c:pt idx="239">
                  <c:v>201.67201451010456</c:v>
                </c:pt>
                <c:pt idx="240">
                  <c:v>203.20253556155498</c:v>
                </c:pt>
                <c:pt idx="241">
                  <c:v>204.73710663088838</c:v>
                </c:pt>
                <c:pt idx="242">
                  <c:v>206.27570610527238</c:v>
                </c:pt>
                <c:pt idx="243">
                  <c:v>207.81831237357014</c:v>
                </c:pt>
                <c:pt idx="244">
                  <c:v>209.36490382664402</c:v>
                </c:pt>
                <c:pt idx="245">
                  <c:v>210.9154588576574</c:v>
                </c:pt>
                <c:pt idx="246">
                  <c:v>212.46995586237509</c:v>
                </c:pt>
                <c:pt idx="247">
                  <c:v>214.02837323946187</c:v>
                </c:pt>
                <c:pt idx="248">
                  <c:v>215.59068939077957</c:v>
                </c:pt>
                <c:pt idx="249">
                  <c:v>217.15688272168236</c:v>
                </c:pt>
                <c:pt idx="250">
                  <c:v>218.72693164131039</c:v>
                </c:pt>
                <c:pt idx="251">
                  <c:v>220.30081285299997</c:v>
                </c:pt>
                <c:pt idx="252">
                  <c:v>221.87849964549096</c:v>
                </c:pt>
                <c:pt idx="253">
                  <c:v>223.4599636056802</c:v>
                </c:pt>
                <c:pt idx="254">
                  <c:v>225.04517633063145</c:v>
                </c:pt>
                <c:pt idx="255">
                  <c:v>226.63410942797353</c:v>
                </c:pt>
                <c:pt idx="256">
                  <c:v>228.22673451629583</c:v>
                </c:pt>
                <c:pt idx="257">
                  <c:v>229.82302322554065</c:v>
                </c:pt>
                <c:pt idx="258">
                  <c:v>231.42294719739274</c:v>
                </c:pt>
                <c:pt idx="259">
                  <c:v>233.02647808566584</c:v>
                </c:pt>
                <c:pt idx="260">
                  <c:v>234.63358755668619</c:v>
                </c:pt>
                <c:pt idx="261">
                  <c:v>236.24424728967327</c:v>
                </c:pt>
                <c:pt idx="262">
                  <c:v>237.85842897711737</c:v>
                </c:pt>
                <c:pt idx="263">
                  <c:v>239.47610432515427</c:v>
                </c:pt>
                <c:pt idx="264">
                  <c:v>241.09724505393692</c:v>
                </c:pt>
                <c:pt idx="265">
                  <c:v>242.72182289800421</c:v>
                </c:pt>
                <c:pt idx="266">
                  <c:v>244.3498096066466</c:v>
                </c:pt>
                <c:pt idx="267">
                  <c:v>245.9811769442689</c:v>
                </c:pt>
                <c:pt idx="268">
                  <c:v>247.61589669074982</c:v>
                </c:pt>
                <c:pt idx="269">
                  <c:v>249.25394064179886</c:v>
                </c:pt>
                <c:pt idx="270">
                  <c:v>250.89528060930982</c:v>
                </c:pt>
                <c:pt idx="271">
                  <c:v>252.53988842171159</c:v>
                </c:pt>
                <c:pt idx="272">
                  <c:v>254.18773592431569</c:v>
                </c:pt>
                <c:pt idx="273">
                  <c:v>255.83879497966092</c:v>
                </c:pt>
                <c:pt idx="274">
                  <c:v>257.49303746785495</c:v>
                </c:pt>
                <c:pt idx="275">
                  <c:v>259.15043528691297</c:v>
                </c:pt>
                <c:pt idx="276">
                  <c:v>260.81096035309298</c:v>
                </c:pt>
                <c:pt idx="277">
                  <c:v>262.47458460122846</c:v>
                </c:pt>
                <c:pt idx="278">
                  <c:v>264.14127998505785</c:v>
                </c:pt>
                <c:pt idx="279">
                  <c:v>265.81101847755087</c:v>
                </c:pt>
                <c:pt idx="280">
                  <c:v>267.48377207123195</c:v>
                </c:pt>
                <c:pt idx="281">
                  <c:v>269.15951277850047</c:v>
                </c:pt>
                <c:pt idx="282">
                  <c:v>270.83821263194818</c:v>
                </c:pt>
                <c:pt idx="283">
                  <c:v>272.51984368467339</c:v>
                </c:pt>
                <c:pt idx="284">
                  <c:v>274.20437801059222</c:v>
                </c:pt>
                <c:pt idx="285">
                  <c:v>275.89178770474672</c:v>
                </c:pt>
                <c:pt idx="286">
                  <c:v>277.58204488361008</c:v>
                </c:pt>
                <c:pt idx="287">
                  <c:v>279.27512168538863</c:v>
                </c:pt>
                <c:pt idx="288">
                  <c:v>280.97099027032095</c:v>
                </c:pt>
                <c:pt idx="289">
                  <c:v>282.66962282097387</c:v>
                </c:pt>
                <c:pt idx="290">
                  <c:v>284.37099154253542</c:v>
                </c:pt>
                <c:pt idx="291">
                  <c:v>286.07506866310484</c:v>
                </c:pt>
                <c:pt idx="292">
                  <c:v>287.78182643397946</c:v>
                </c:pt>
                <c:pt idx="293">
                  <c:v>289.4912371299385</c:v>
                </c:pt>
                <c:pt idx="294">
                  <c:v>291.20327304952406</c:v>
                </c:pt>
                <c:pt idx="295">
                  <c:v>292.91790651531886</c:v>
                </c:pt>
                <c:pt idx="296">
                  <c:v>294.63510987422109</c:v>
                </c:pt>
                <c:pt idx="297">
                  <c:v>296.35485549771619</c:v>
                </c:pt>
                <c:pt idx="298">
                  <c:v>298.07709705674057</c:v>
                </c:pt>
                <c:pt idx="299">
                  <c:v>299.8017508128433</c:v>
                </c:pt>
                <c:pt idx="300">
                  <c:v>301.52871438528666</c:v>
                </c:pt>
                <c:pt idx="301">
                  <c:v>303.25788550275541</c:v>
                </c:pt>
                <c:pt idx="302">
                  <c:v>304.98916200541987</c:v>
                </c:pt>
                <c:pt idx="303">
                  <c:v>306.72244184696257</c:v>
                </c:pt>
                <c:pt idx="304">
                  <c:v>308.45762309656772</c:v>
                </c:pt>
                <c:pt idx="305">
                  <c:v>310.19460394087452</c:v>
                </c:pt>
                <c:pt idx="306">
                  <c:v>311.93328268589335</c:v>
                </c:pt>
                <c:pt idx="307">
                  <c:v>313.67355775888564</c:v>
                </c:pt>
                <c:pt idx="308">
                  <c:v>315.41532771020724</c:v>
                </c:pt>
                <c:pt idx="309">
                  <c:v>317.15849121511525</c:v>
                </c:pt>
                <c:pt idx="310">
                  <c:v>318.90294707553852</c:v>
                </c:pt>
                <c:pt idx="311">
                  <c:v>320.64859422181195</c:v>
                </c:pt>
                <c:pt idx="312">
                  <c:v>322.39533171437466</c:v>
                </c:pt>
                <c:pt idx="313">
                  <c:v>324.14305874543197</c:v>
                </c:pt>
                <c:pt idx="314">
                  <c:v>325.89167464058141</c:v>
                </c:pt>
                <c:pt idx="315">
                  <c:v>327.64107886040313</c:v>
                </c:pt>
                <c:pt idx="316">
                  <c:v>329.39117100201418</c:v>
                </c:pt>
                <c:pt idx="317">
                  <c:v>331.14185080058741</c:v>
                </c:pt>
                <c:pt idx="318">
                  <c:v>332.89301813083506</c:v>
                </c:pt>
                <c:pt idx="319">
                  <c:v>334.64457300845652</c:v>
                </c:pt>
                <c:pt idx="320">
                  <c:v>336.39641559155115</c:v>
                </c:pt>
                <c:pt idx="321">
                  <c:v>338.14845362128852</c:v>
                </c:pt>
                <c:pt idx="322">
                  <c:v>339.90060985226188</c:v>
                </c:pt>
                <c:pt idx="323">
                  <c:v>341.65281459222058</c:v>
                </c:pt>
                <c:pt idx="324">
                  <c:v>343.40499825170627</c:v>
                </c:pt>
                <c:pt idx="325">
                  <c:v>345.15709134461525</c:v>
                </c:pt>
                <c:pt idx="326">
                  <c:v>346.9090244887438</c:v>
                </c:pt>
                <c:pt idx="327">
                  <c:v>348.66072840631682</c:v>
                </c:pt>
                <c:pt idx="328">
                  <c:v>350.41213392450032</c:v>
                </c:pt>
                <c:pt idx="329">
                  <c:v>352.16317197589677</c:v>
                </c:pt>
                <c:pt idx="330">
                  <c:v>353.91377359902452</c:v>
                </c:pt>
                <c:pt idx="331">
                  <c:v>355.66386993878092</c:v>
                </c:pt>
                <c:pt idx="332">
                  <c:v>357.41339224688892</c:v>
                </c:pt>
                <c:pt idx="333">
                  <c:v>359.16227188232779</c:v>
                </c:pt>
                <c:pt idx="334">
                  <c:v>360.91044031174783</c:v>
                </c:pt>
                <c:pt idx="335">
                  <c:v>362.65782910986923</c:v>
                </c:pt>
                <c:pt idx="336">
                  <c:v>364.40436995986482</c:v>
                </c:pt>
                <c:pt idx="337">
                  <c:v>366.14999465372756</c:v>
                </c:pt>
                <c:pt idx="338">
                  <c:v>367.89463509262197</c:v>
                </c:pt>
                <c:pt idx="339">
                  <c:v>369.63822328722046</c:v>
                </c:pt>
                <c:pt idx="340">
                  <c:v>371.38069135802397</c:v>
                </c:pt>
                <c:pt idx="341">
                  <c:v>373.12197153566751</c:v>
                </c:pt>
                <c:pt idx="342">
                  <c:v>374.86199616121041</c:v>
                </c:pt>
                <c:pt idx="343">
                  <c:v>376.60069768641154</c:v>
                </c:pt>
                <c:pt idx="344">
                  <c:v>378.33800867398946</c:v>
                </c:pt>
                <c:pt idx="345">
                  <c:v>380.07386179786795</c:v>
                </c:pt>
                <c:pt idx="346">
                  <c:v>381.8081898434063</c:v>
                </c:pt>
                <c:pt idx="347">
                  <c:v>383.5409257076156</c:v>
                </c:pt>
                <c:pt idx="348">
                  <c:v>385.27200320080902</c:v>
                </c:pt>
                <c:pt idx="349">
                  <c:v>387.00135784684369</c:v>
                </c:pt>
                <c:pt idx="350">
                  <c:v>388.72892607903674</c:v>
                </c:pt>
                <c:pt idx="351">
                  <c:v>390.45464443744345</c:v>
                </c:pt>
                <c:pt idx="352">
                  <c:v>392.17844956896499</c:v>
                </c:pt>
                <c:pt idx="353">
                  <c:v>393.90027822744361</c:v>
                </c:pt>
                <c:pt idx="354">
                  <c:v>395.62006727374535</c:v>
                </c:pt>
                <c:pt idx="355">
                  <c:v>397.33775367583041</c:v>
                </c:pt>
                <c:pt idx="356">
                  <c:v>399.05327450881117</c:v>
                </c:pt>
                <c:pt idx="357">
                  <c:v>400.7665669549981</c:v>
                </c:pt>
                <c:pt idx="358">
                  <c:v>402.47756830393365</c:v>
                </c:pt>
                <c:pt idx="359">
                  <c:v>404.18621595241393</c:v>
                </c:pt>
                <c:pt idx="360">
                  <c:v>405.89246406555554</c:v>
                </c:pt>
                <c:pt idx="361">
                  <c:v>407.5963002068317</c:v>
                </c:pt>
                <c:pt idx="362">
                  <c:v>409.2977286161622</c:v>
                </c:pt>
                <c:pt idx="363">
                  <c:v>410.99675351905807</c:v>
                </c:pt>
                <c:pt idx="364">
                  <c:v>412.69337912668556</c:v>
                </c:pt>
                <c:pt idx="365">
                  <c:v>414.38760963592989</c:v>
                </c:pt>
                <c:pt idx="366">
                  <c:v>416.07944922945836</c:v>
                </c:pt>
                <c:pt idx="367">
                  <c:v>417.76890207578356</c:v>
                </c:pt>
                <c:pt idx="368">
                  <c:v>419.45597232932573</c:v>
                </c:pt>
                <c:pt idx="369">
                  <c:v>421.14066413047516</c:v>
                </c:pt>
                <c:pt idx="370">
                  <c:v>422.82298160565404</c:v>
                </c:pt>
                <c:pt idx="371">
                  <c:v>424.50292886737793</c:v>
                </c:pt>
                <c:pt idx="372">
                  <c:v>426.18051001431706</c:v>
                </c:pt>
                <c:pt idx="373">
                  <c:v>427.85572913135724</c:v>
                </c:pt>
                <c:pt idx="374">
                  <c:v>429.52859028966026</c:v>
                </c:pt>
                <c:pt idx="375">
                  <c:v>431.1990975467242</c:v>
                </c:pt>
                <c:pt idx="376">
                  <c:v>432.8672549464431</c:v>
                </c:pt>
                <c:pt idx="377">
                  <c:v>434.53306651916671</c:v>
                </c:pt>
                <c:pt idx="378">
                  <c:v>436.19653628175956</c:v>
                </c:pt>
                <c:pt idx="379">
                  <c:v>437.85766823765977</c:v>
                </c:pt>
                <c:pt idx="380">
                  <c:v>439.51646637693773</c:v>
                </c:pt>
                <c:pt idx="381">
                  <c:v>441.1729346763542</c:v>
                </c:pt>
                <c:pt idx="382">
                  <c:v>442.8270770994182</c:v>
                </c:pt>
                <c:pt idx="383">
                  <c:v>444.47889759644465</c:v>
                </c:pt>
                <c:pt idx="384">
                  <c:v>446.12840010461161</c:v>
                </c:pt>
                <c:pt idx="385">
                  <c:v>447.7755885480172</c:v>
                </c:pt>
                <c:pt idx="386">
                  <c:v>449.42046683773617</c:v>
                </c:pt>
                <c:pt idx="387">
                  <c:v>451.0630388718763</c:v>
                </c:pt>
                <c:pt idx="388">
                  <c:v>452.70330853563439</c:v>
                </c:pt>
                <c:pt idx="389">
                  <c:v>454.34127970135194</c:v>
                </c:pt>
                <c:pt idx="390">
                  <c:v>455.97695622857054</c:v>
                </c:pt>
                <c:pt idx="391">
                  <c:v>457.61034196408701</c:v>
                </c:pt>
                <c:pt idx="392">
                  <c:v>459.24144074200802</c:v>
                </c:pt>
                <c:pt idx="393">
                  <c:v>460.87025638380487</c:v>
                </c:pt>
                <c:pt idx="394">
                  <c:v>462.49679269836736</c:v>
                </c:pt>
                <c:pt idx="395">
                  <c:v>464.12105348205802</c:v>
                </c:pt>
                <c:pt idx="396">
                  <c:v>465.74304251876538</c:v>
                </c:pt>
                <c:pt idx="397">
                  <c:v>467.36276357995757</c:v>
                </c:pt>
                <c:pt idx="398">
                  <c:v>468.98022042473514</c:v>
                </c:pt>
                <c:pt idx="399">
                  <c:v>470.59541679988388</c:v>
                </c:pt>
                <c:pt idx="400">
                  <c:v>472.20835643992734</c:v>
                </c:pt>
                <c:pt idx="401">
                  <c:v>488.21392075178619</c:v>
                </c:pt>
                <c:pt idx="402">
                  <c:v>503.9962075022442</c:v>
                </c:pt>
                <c:pt idx="403">
                  <c:v>519.55883335046735</c:v>
                </c:pt>
                <c:pt idx="404">
                  <c:v>534.90529909920122</c:v>
                </c:pt>
                <c:pt idx="405">
                  <c:v>550.03899447088156</c:v>
                </c:pt>
                <c:pt idx="406">
                  <c:v>564.96320263534824</c:v>
                </c:pt>
                <c:pt idx="407">
                  <c:v>579.68110450454753</c:v>
                </c:pt>
                <c:pt idx="408">
                  <c:v>594.1957828085018</c:v>
                </c:pt>
                <c:pt idx="409">
                  <c:v>608.51022596581072</c:v>
                </c:pt>
                <c:pt idx="410">
                  <c:v>622.62733176101403</c:v>
                </c:pt>
                <c:pt idx="411">
                  <c:v>636.54991084028757</c:v>
                </c:pt>
                <c:pt idx="412">
                  <c:v>650.28069003615144</c:v>
                </c:pt>
                <c:pt idx="413">
                  <c:v>663.8223155311432</c:v>
                </c:pt>
                <c:pt idx="414">
                  <c:v>677.17735586973197</c:v>
                </c:pt>
                <c:pt idx="415">
                  <c:v>690.34830482713278</c:v>
                </c:pt>
                <c:pt idx="416">
                  <c:v>703.33758414310284</c:v>
                </c:pt>
                <c:pt idx="417">
                  <c:v>716.14754612827358</c:v>
                </c:pt>
                <c:pt idx="418">
                  <c:v>728.78047615007927</c:v>
                </c:pt>
                <c:pt idx="419">
                  <c:v>741.23859500488913</c:v>
                </c:pt>
                <c:pt idx="420">
                  <c:v>753.52406118252827</c:v>
                </c:pt>
                <c:pt idx="421">
                  <c:v>765.63897302898113</c:v>
                </c:pt>
                <c:pt idx="422">
                  <c:v>777.5853708127089</c:v>
                </c:pt>
                <c:pt idx="423">
                  <c:v>789.36523869967493</c:v>
                </c:pt>
                <c:pt idx="424">
                  <c:v>800.98050664185814</c:v>
                </c:pt>
                <c:pt idx="425">
                  <c:v>812.43305218374508</c:v>
                </c:pt>
                <c:pt idx="426">
                  <c:v>823.72470219101695</c:v>
                </c:pt>
                <c:pt idx="427">
                  <c:v>834.85723450539786</c:v>
                </c:pt>
                <c:pt idx="428">
                  <c:v>845.83237952939407</c:v>
                </c:pt>
                <c:pt idx="429">
                  <c:v>856.65182174443441</c:v>
                </c:pt>
                <c:pt idx="430">
                  <c:v>867.31720116571717</c:v>
                </c:pt>
                <c:pt idx="431">
                  <c:v>877.83011473687839</c:v>
                </c:pt>
                <c:pt idx="432">
                  <c:v>888.1921176674158</c:v>
                </c:pt>
                <c:pt idx="433">
                  <c:v>898.40472471563851</c:v>
                </c:pt>
                <c:pt idx="434">
                  <c:v>908.46941141975321</c:v>
                </c:pt>
                <c:pt idx="435">
                  <c:v>918.38761527955444</c:v>
                </c:pt>
                <c:pt idx="436">
                  <c:v>928.16073689104678</c:v>
                </c:pt>
                <c:pt idx="437">
                  <c:v>937.7901410362017</c:v>
                </c:pt>
                <c:pt idx="438">
                  <c:v>947.27715772992849</c:v>
                </c:pt>
                <c:pt idx="439">
                  <c:v>956.62308322622846</c:v>
                </c:pt>
                <c:pt idx="440">
                  <c:v>965.82918098539483</c:v>
                </c:pt>
                <c:pt idx="441">
                  <c:v>974.89668260402118</c:v>
                </c:pt>
                <c:pt idx="442">
                  <c:v>983.82678870948928</c:v>
                </c:pt>
                <c:pt idx="443">
                  <c:v>992.62066982051874</c:v>
                </c:pt>
                <c:pt idx="444">
                  <c:v>1001.2794671752787</c:v>
                </c:pt>
                <c:pt idx="445">
                  <c:v>1009.8042935284845</c:v>
                </c:pt>
                <c:pt idx="446">
                  <c:v>1018.1962339188302</c:v>
                </c:pt>
                <c:pt idx="447">
                  <c:v>1026.4563464080379</c:v>
                </c:pt>
                <c:pt idx="448">
                  <c:v>1034.5856627927419</c:v>
                </c:pt>
                <c:pt idx="449">
                  <c:v>1042.585189290365</c:v>
                </c:pt>
                <c:pt idx="450">
                  <c:v>1050.4559072000839</c:v>
                </c:pt>
                <c:pt idx="451">
                  <c:v>1058.1987735399327</c:v>
                </c:pt>
                <c:pt idx="452">
                  <c:v>1065.8147216610382</c:v>
                </c:pt>
                <c:pt idx="453">
                  <c:v>1073.3046618399326</c:v>
                </c:pt>
                <c:pt idx="454">
                  <c:v>1080.6694818498484</c:v>
                </c:pt>
                <c:pt idx="455">
                  <c:v>1087.9100475118535</c:v>
                </c:pt>
                <c:pt idx="456">
                  <c:v>1095.0272032266471</c:v>
                </c:pt>
                <c:pt idx="457">
                  <c:v>1102.0217724877971</c:v>
                </c:pt>
                <c:pt idx="458">
                  <c:v>1108.8945583771665</c:v>
                </c:pt>
                <c:pt idx="459">
                  <c:v>1115.6463440432422</c:v>
                </c:pt>
                <c:pt idx="460">
                  <c:v>1122.2778931630451</c:v>
                </c:pt>
                <c:pt idx="461">
                  <c:v>1128.7899503882766</c:v>
                </c:pt>
                <c:pt idx="462">
                  <c:v>1135.1832417763228</c:v>
                </c:pt>
                <c:pt idx="463">
                  <c:v>1141.4584752067151</c:v>
                </c:pt>
                <c:pt idx="464">
                  <c:v>1147.6163407836204</c:v>
                </c:pt>
                <c:pt idx="465">
                  <c:v>1153.6575112249111</c:v>
                </c:pt>
                <c:pt idx="466">
                  <c:v>1159.582642238342</c:v>
                </c:pt>
                <c:pt idx="467">
                  <c:v>1165.3923728853449</c:v>
                </c:pt>
                <c:pt idx="468">
                  <c:v>1171.0873259329292</c:v>
                </c:pt>
                <c:pt idx="469">
                  <c:v>1176.668108194162</c:v>
                </c:pt>
                <c:pt idx="470">
                  <c:v>1182.1353108576832</c:v>
                </c:pt>
                <c:pt idx="471">
                  <c:v>1187.4895098066997</c:v>
                </c:pt>
                <c:pt idx="472">
                  <c:v>1192.7312659278855</c:v>
                </c:pt>
                <c:pt idx="473">
                  <c:v>1197.8611254106061</c:v>
                </c:pt>
                <c:pt idx="474">
                  <c:v>1202.8796200368736</c:v>
                </c:pt>
                <c:pt idx="475">
                  <c:v>1207.7872674624291</c:v>
                </c:pt>
                <c:pt idx="476">
                  <c:v>1212.5845714893421</c:v>
                </c:pt>
                <c:pt idx="477">
                  <c:v>1217.2720223305091</c:v>
                </c:pt>
                <c:pt idx="478">
                  <c:v>1221.8500968664316</c:v>
                </c:pt>
                <c:pt idx="479">
                  <c:v>1226.3192588946447</c:v>
                </c:pt>
                <c:pt idx="480">
                  <c:v>1230.6799593721721</c:v>
                </c:pt>
                <c:pt idx="481">
                  <c:v>1234.9326366513778</c:v>
                </c:pt>
                <c:pt idx="482">
                  <c:v>1239.0777167095894</c:v>
                </c:pt>
                <c:pt idx="483">
                  <c:v>1243.11561337287</c:v>
                </c:pt>
                <c:pt idx="484">
                  <c:v>1247.0467285343223</c:v>
                </c:pt>
                <c:pt idx="485">
                  <c:v>1250.8714523673139</c:v>
                </c:pt>
                <c:pt idx="486">
                  <c:v>1254.5901635340258</c:v>
                </c:pt>
                <c:pt idx="487">
                  <c:v>1258.2032293897346</c:v>
                </c:pt>
                <c:pt idx="488">
                  <c:v>1261.7110061832559</c:v>
                </c:pt>
                <c:pt idx="489">
                  <c:v>1265.1138392539949</c:v>
                </c:pt>
                <c:pt idx="490">
                  <c:v>1268.4120632260685</c:v>
                </c:pt>
                <c:pt idx="491">
                  <c:v>1271.6060021999865</c:v>
                </c:pt>
                <c:pt idx="492">
                  <c:v>1274.6959699424087</c:v>
                </c:pt>
                <c:pt idx="493">
                  <c:v>1277.682270074524</c:v>
                </c:pt>
                <c:pt idx="494">
                  <c:v>1280.5651962596296</c:v>
                </c:pt>
                <c:pt idx="495">
                  <c:v>1283.3450323905274</c:v>
                </c:pt>
                <c:pt idx="496">
                  <c:v>1286.0220527773956</c:v>
                </c:pt>
                <c:pt idx="497">
                  <c:v>1288.5965223368362</c:v>
                </c:pt>
                <c:pt idx="498">
                  <c:v>1291.0686967828467</c:v>
                </c:pt>
                <c:pt idx="499">
                  <c:v>1293.4388228205157</c:v>
                </c:pt>
                <c:pt idx="500">
                  <c:v>1295.7071383432917</c:v>
                </c:pt>
                <c:pt idx="501">
                  <c:v>1297.8738726347278</c:v>
                </c:pt>
                <c:pt idx="502">
                  <c:v>1299.9392465756589</c:v>
                </c:pt>
                <c:pt idx="503">
                  <c:v>1301.9034728578172</c:v>
                </c:pt>
                <c:pt idx="504">
                  <c:v>1303.7667562049376</c:v>
                </c:pt>
                <c:pt idx="505">
                  <c:v>1305.5292936024475</c:v>
                </c:pt>
                <c:pt idx="506">
                  <c:v>1307.191274536862</c:v>
                </c:pt>
                <c:pt idx="507">
                  <c:v>1308.7528812460223</c:v>
                </c:pt>
                <c:pt idx="508">
                  <c:v>1310.2142889813167</c:v>
                </c:pt>
                <c:pt idx="509">
                  <c:v>1311.5756662829938</c:v>
                </c:pt>
                <c:pt idx="510">
                  <c:v>1312.8371752696298</c:v>
                </c:pt>
                <c:pt idx="511">
                  <c:v>1313.9989719427256</c:v>
                </c:pt>
                <c:pt idx="512">
                  <c:v>1315.0612065072837</c:v>
                </c:pt>
                <c:pt idx="513">
                  <c:v>1316.0240237090568</c:v>
                </c:pt>
                <c:pt idx="514">
                  <c:v>1316.8875631889418</c:v>
                </c:pt>
                <c:pt idx="515">
                  <c:v>1317.6519598547452</c:v>
                </c:pt>
                <c:pt idx="516">
                  <c:v>1318.3173442702391</c:v>
                </c:pt>
                <c:pt idx="517">
                  <c:v>1318.883843061087</c:v>
                </c:pt>
                <c:pt idx="518">
                  <c:v>1319.3515793368435</c:v>
                </c:pt>
                <c:pt idx="519">
                  <c:v>1319.7206731278304</c:v>
                </c:pt>
                <c:pt idx="520">
                  <c:v>1319.9912418352831</c:v>
                </c:pt>
                <c:pt idx="521">
                  <c:v>1320.1634006927657</c:v>
                </c:pt>
                <c:pt idx="522">
                  <c:v>1320.237263236472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120.00037366997756</c:v>
                </c:pt>
              </c:numCache>
            </c:numRef>
          </c:xVal>
          <c:yVal>
            <c:numRef>
              <c:f>Trajecto!$C$158</c:f>
              <c:numCache>
                <c:formatCode>0</c:formatCode>
                <c:ptCount val="1"/>
                <c:pt idx="0">
                  <c:v>660.11863161823601</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732.83114647928858</c:v>
                </c:pt>
              </c:numCache>
            </c:numRef>
          </c:xVal>
          <c:yVal>
            <c:numRef>
              <c:f>Trajecto!$C$159</c:f>
              <c:numCache>
                <c:formatCode>0</c:formatCode>
                <c:ptCount val="1"/>
                <c:pt idx="0">
                  <c:v>660.11863161823601</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{D2B53878-6547-4220-A91B-53E69D5DC45D}</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480.00149467991025</c:v>
                </c:pt>
                <c:pt idx="1">
                  <c:v>503.00149467991025</c:v>
                </c:pt>
                <c:pt idx="2">
                  <c:v>503.00149467991025</c:v>
                </c:pt>
                <c:pt idx="3">
                  <c:v>480.00149467991025</c:v>
                </c:pt>
                <c:pt idx="4">
                  <c:v>503.00149467991025</c:v>
                </c:pt>
                <c:pt idx="5">
                  <c:v>503.00149467991025</c:v>
                </c:pt>
                <c:pt idx="6">
                  <c:v>488.00149467991025</c:v>
                </c:pt>
                <c:pt idx="7">
                  <c:v>488.00149467991025</c:v>
                </c:pt>
                <c:pt idx="8">
                  <c:v>503.00149467991025</c:v>
                </c:pt>
                <c:pt idx="9">
                  <c:v>488.00149467991025</c:v>
                </c:pt>
                <c:pt idx="10">
                  <c:v>487.60149467991027</c:v>
                </c:pt>
                <c:pt idx="11">
                  <c:v>486.80149467991026</c:v>
                </c:pt>
                <c:pt idx="12">
                  <c:v>486.00149467991025</c:v>
                </c:pt>
                <c:pt idx="13">
                  <c:v>485.00149467991025</c:v>
                </c:pt>
                <c:pt idx="14">
                  <c:v>483.80149467991026</c:v>
                </c:pt>
                <c:pt idx="15">
                  <c:v>480.00149467991025</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480.00149467991025</c:v>
                </c:pt>
                <c:pt idx="1">
                  <c:v>457.00149467991025</c:v>
                </c:pt>
                <c:pt idx="2">
                  <c:v>457.00149467991025</c:v>
                </c:pt>
                <c:pt idx="3">
                  <c:v>480.00149467991025</c:v>
                </c:pt>
                <c:pt idx="4">
                  <c:v>457.00149467991025</c:v>
                </c:pt>
                <c:pt idx="5">
                  <c:v>457.00149467991025</c:v>
                </c:pt>
                <c:pt idx="6">
                  <c:v>472.00149467991025</c:v>
                </c:pt>
                <c:pt idx="7">
                  <c:v>472.00149467991025</c:v>
                </c:pt>
                <c:pt idx="8">
                  <c:v>457.00149467991025</c:v>
                </c:pt>
                <c:pt idx="9">
                  <c:v>472.00149467991025</c:v>
                </c:pt>
                <c:pt idx="10">
                  <c:v>472.40149467991023</c:v>
                </c:pt>
                <c:pt idx="11">
                  <c:v>473.20149467991024</c:v>
                </c:pt>
                <c:pt idx="12">
                  <c:v>474.00149467991025</c:v>
                </c:pt>
                <c:pt idx="13">
                  <c:v>475.00149467991025</c:v>
                </c:pt>
                <c:pt idx="14">
                  <c:v>476.20149467991024</c:v>
                </c:pt>
                <c:pt idx="15">
                  <c:v>480.00149467991025</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{FBD79C13-EBFE-4760-B737-8AF8B703D393}</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480.00149467991025</c:v>
                </c:pt>
                <c:pt idx="1">
                  <c:v>480.00149467991025</c:v>
                </c:pt>
                <c:pt idx="2">
                  <c:v>490.00149467991025</c:v>
                </c:pt>
                <c:pt idx="3">
                  <c:v>480.00149467991025</c:v>
                </c:pt>
                <c:pt idx="4">
                  <c:v>490.00149467991025</c:v>
                </c:pt>
                <c:pt idx="5">
                  <c:v>493.00149467991025</c:v>
                </c:pt>
                <c:pt idx="6">
                  <c:v>497.00149467991025</c:v>
                </c:pt>
                <c:pt idx="7">
                  <c:v>500.00149467991025</c:v>
                </c:pt>
                <c:pt idx="8">
                  <c:v>505.00149467991025</c:v>
                </c:pt>
                <c:pt idx="9">
                  <c:v>510.00149467991025</c:v>
                </c:pt>
                <c:pt idx="10">
                  <c:v>516.00149467991025</c:v>
                </c:pt>
                <c:pt idx="11">
                  <c:v>528.00149467991025</c:v>
                </c:pt>
                <c:pt idx="12">
                  <c:v>542.00149467991025</c:v>
                </c:pt>
                <c:pt idx="13">
                  <c:v>517.00149467991025</c:v>
                </c:pt>
                <c:pt idx="14">
                  <c:v>510.00149467991025</c:v>
                </c:pt>
                <c:pt idx="15">
                  <c:v>495.00149467991025</c:v>
                </c:pt>
                <c:pt idx="16">
                  <c:v>480.00149467991025</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480.00149467991025</c:v>
                </c:pt>
                <c:pt idx="1">
                  <c:v>480.00149467991025</c:v>
                </c:pt>
                <c:pt idx="2">
                  <c:v>470.00149467991025</c:v>
                </c:pt>
                <c:pt idx="3">
                  <c:v>480.00149467991025</c:v>
                </c:pt>
                <c:pt idx="4">
                  <c:v>470.00149467991025</c:v>
                </c:pt>
                <c:pt idx="5">
                  <c:v>467.00149467991025</c:v>
                </c:pt>
                <c:pt idx="6">
                  <c:v>463.00149467991025</c:v>
                </c:pt>
                <c:pt idx="7">
                  <c:v>460.00149467991025</c:v>
                </c:pt>
                <c:pt idx="8">
                  <c:v>455.00149467991025</c:v>
                </c:pt>
                <c:pt idx="9">
                  <c:v>450.00149467991025</c:v>
                </c:pt>
                <c:pt idx="10">
                  <c:v>444.00149467991025</c:v>
                </c:pt>
                <c:pt idx="11">
                  <c:v>432.00149467991025</c:v>
                </c:pt>
                <c:pt idx="12">
                  <c:v>418.00149467991025</c:v>
                </c:pt>
                <c:pt idx="13">
                  <c:v>443.00149467991025</c:v>
                </c:pt>
                <c:pt idx="14">
                  <c:v>450.00149467991025</c:v>
                </c:pt>
                <c:pt idx="15">
                  <c:v>465.00149467991025</c:v>
                </c:pt>
                <c:pt idx="16">
                  <c:v>480.00149467991025</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480.00149467991025</c:v>
                </c:pt>
                <c:pt idx="1">
                  <c:v>497.00149467991025</c:v>
                </c:pt>
                <c:pt idx="2">
                  <c:v>491.00149467991025</c:v>
                </c:pt>
                <c:pt idx="3">
                  <c:v>480.00149467991025</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480.00149467991025</c:v>
                </c:pt>
                <c:pt idx="1">
                  <c:v>463.00149467991025</c:v>
                </c:pt>
                <c:pt idx="2">
                  <c:v>469.00149467991025</c:v>
                </c:pt>
                <c:pt idx="3">
                  <c:v>480.00149467991025</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{FC350033-583F-4334-9778-68B4F265BD84}</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480.00149467991025</c:v>
                </c:pt>
                <c:pt idx="1">
                  <c:v>480.00149467991025</c:v>
                </c:pt>
                <c:pt idx="2">
                  <c:v>480.00149467991025</c:v>
                </c:pt>
                <c:pt idx="3">
                  <c:v>513.00742626082206</c:v>
                </c:pt>
                <c:pt idx="4">
                  <c:v>480.00149467991025</c:v>
                </c:pt>
                <c:pt idx="5">
                  <c:v>446.99556309899845</c:v>
                </c:pt>
                <c:pt idx="6">
                  <c:v>480.00149467991025</c:v>
                </c:pt>
              </c:numCache>
            </c:numRef>
          </c:xVal>
          <c:yVal>
            <c:numRef>
              <c:f>Trajecto!$C$124:$C$130</c:f>
              <c:numCache>
                <c:formatCode>0</c:formatCode>
                <c:ptCount val="7"/>
                <c:pt idx="0">
                  <c:v>1320.237263236472</c:v>
                </c:pt>
                <c:pt idx="1">
                  <c:v>660.11863161823601</c:v>
                </c:pt>
                <c:pt idx="2">
                  <c:v>0</c:v>
                </c:pt>
                <c:pt idx="3">
                  <c:v>66.011863161823598</c:v>
                </c:pt>
                <c:pt idx="4">
                  <c:v>0</c:v>
                </c:pt>
                <c:pt idx="5">
                  <c:v>66.011863161823598</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1320.237263236472</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2.0000000000000013</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2.99999999999998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3.9999999999999587</c:v>
                </c:pt>
                <c:pt idx="401">
                  <c:v>#N/A</c:v>
                </c:pt>
                <c:pt idx="402">
                  <c:v>#N/A</c:v>
                </c:pt>
                <c:pt idx="403">
                  <c:v>#N/A</c:v>
                </c:pt>
                <c:pt idx="404">
                  <c:v>#N/A</c:v>
                </c:pt>
                <c:pt idx="405">
                  <c:v>#N/A</c:v>
                </c:pt>
                <c:pt idx="406">
                  <c:v>#N/A</c:v>
                </c:pt>
                <c:pt idx="407">
                  <c:v>#N/A</c:v>
                </c:pt>
                <c:pt idx="408">
                  <c:v>#N/A</c:v>
                </c:pt>
                <c:pt idx="409">
                  <c:v>#N/A</c:v>
                </c:pt>
                <c:pt idx="410">
                  <c:v>4.9999999999999556</c:v>
                </c:pt>
                <c:pt idx="411">
                  <c:v>#N/A</c:v>
                </c:pt>
                <c:pt idx="412">
                  <c:v>#N/A</c:v>
                </c:pt>
                <c:pt idx="413">
                  <c:v>#N/A</c:v>
                </c:pt>
                <c:pt idx="414">
                  <c:v>#N/A</c:v>
                </c:pt>
                <c:pt idx="415">
                  <c:v>#N/A</c:v>
                </c:pt>
                <c:pt idx="416">
                  <c:v>#N/A</c:v>
                </c:pt>
                <c:pt idx="417">
                  <c:v>#N/A</c:v>
                </c:pt>
                <c:pt idx="418">
                  <c:v>#N/A</c:v>
                </c:pt>
                <c:pt idx="419">
                  <c:v>#N/A</c:v>
                </c:pt>
                <c:pt idx="420">
                  <c:v>5.999999999999952</c:v>
                </c:pt>
                <c:pt idx="421">
                  <c:v>#N/A</c:v>
                </c:pt>
                <c:pt idx="422">
                  <c:v>#N/A</c:v>
                </c:pt>
                <c:pt idx="423">
                  <c:v>#N/A</c:v>
                </c:pt>
                <c:pt idx="424">
                  <c:v>#N/A</c:v>
                </c:pt>
                <c:pt idx="425">
                  <c:v>#N/A</c:v>
                </c:pt>
                <c:pt idx="426">
                  <c:v>#N/A</c:v>
                </c:pt>
                <c:pt idx="427">
                  <c:v>#N/A</c:v>
                </c:pt>
                <c:pt idx="428">
                  <c:v>#N/A</c:v>
                </c:pt>
                <c:pt idx="429">
                  <c:v>#N/A</c:v>
                </c:pt>
                <c:pt idx="430">
                  <c:v>6.9999999999999485</c:v>
                </c:pt>
                <c:pt idx="431">
                  <c:v>#N/A</c:v>
                </c:pt>
                <c:pt idx="432">
                  <c:v>#N/A</c:v>
                </c:pt>
                <c:pt idx="433">
                  <c:v>#N/A</c:v>
                </c:pt>
                <c:pt idx="434">
                  <c:v>#N/A</c:v>
                </c:pt>
                <c:pt idx="435">
                  <c:v>#N/A</c:v>
                </c:pt>
                <c:pt idx="436">
                  <c:v>#N/A</c:v>
                </c:pt>
                <c:pt idx="437">
                  <c:v>#N/A</c:v>
                </c:pt>
                <c:pt idx="438">
                  <c:v>#N/A</c:v>
                </c:pt>
                <c:pt idx="439">
                  <c:v>#N/A</c:v>
                </c:pt>
                <c:pt idx="440">
                  <c:v>7.9999999999999449</c:v>
                </c:pt>
                <c:pt idx="441">
                  <c:v>#N/A</c:v>
                </c:pt>
                <c:pt idx="442">
                  <c:v>#N/A</c:v>
                </c:pt>
                <c:pt idx="443">
                  <c:v>#N/A</c:v>
                </c:pt>
                <c:pt idx="444">
                  <c:v>#N/A</c:v>
                </c:pt>
                <c:pt idx="445">
                  <c:v>#N/A</c:v>
                </c:pt>
                <c:pt idx="446">
                  <c:v>#N/A</c:v>
                </c:pt>
                <c:pt idx="447">
                  <c:v>#N/A</c:v>
                </c:pt>
                <c:pt idx="448">
                  <c:v>#N/A</c:v>
                </c:pt>
                <c:pt idx="449">
                  <c:v>#N/A</c:v>
                </c:pt>
                <c:pt idx="450">
                  <c:v>8.9999999999999414</c:v>
                </c:pt>
                <c:pt idx="451">
                  <c:v>#N/A</c:v>
                </c:pt>
                <c:pt idx="452">
                  <c:v>#N/A</c:v>
                </c:pt>
                <c:pt idx="453">
                  <c:v>#N/A</c:v>
                </c:pt>
                <c:pt idx="454">
                  <c:v>#N/A</c:v>
                </c:pt>
                <c:pt idx="455">
                  <c:v>#N/A</c:v>
                </c:pt>
                <c:pt idx="456">
                  <c:v>#N/A</c:v>
                </c:pt>
                <c:pt idx="457">
                  <c:v>#N/A</c:v>
                </c:pt>
                <c:pt idx="458">
                  <c:v>#N/A</c:v>
                </c:pt>
                <c:pt idx="459">
                  <c:v>#N/A</c:v>
                </c:pt>
                <c:pt idx="460">
                  <c:v>9.9999999999999378</c:v>
                </c:pt>
                <c:pt idx="461">
                  <c:v>#N/A</c:v>
                </c:pt>
                <c:pt idx="462">
                  <c:v>#N/A</c:v>
                </c:pt>
                <c:pt idx="463">
                  <c:v>#N/A</c:v>
                </c:pt>
                <c:pt idx="464">
                  <c:v>#N/A</c:v>
                </c:pt>
                <c:pt idx="465">
                  <c:v>#N/A</c:v>
                </c:pt>
                <c:pt idx="466">
                  <c:v>#N/A</c:v>
                </c:pt>
                <c:pt idx="467">
                  <c:v>#N/A</c:v>
                </c:pt>
                <c:pt idx="468">
                  <c:v>#N/A</c:v>
                </c:pt>
                <c:pt idx="469">
                  <c:v>#N/A</c:v>
                </c:pt>
                <c:pt idx="470">
                  <c:v>10.999999999999934</c:v>
                </c:pt>
                <c:pt idx="471">
                  <c:v>#N/A</c:v>
                </c:pt>
                <c:pt idx="472">
                  <c:v>#N/A</c:v>
                </c:pt>
                <c:pt idx="473">
                  <c:v>#N/A</c:v>
                </c:pt>
                <c:pt idx="474">
                  <c:v>#N/A</c:v>
                </c:pt>
                <c:pt idx="475">
                  <c:v>#N/A</c:v>
                </c:pt>
                <c:pt idx="476">
                  <c:v>#N/A</c:v>
                </c:pt>
                <c:pt idx="477">
                  <c:v>#N/A</c:v>
                </c:pt>
                <c:pt idx="478">
                  <c:v>#N/A</c:v>
                </c:pt>
                <c:pt idx="479">
                  <c:v>#N/A</c:v>
                </c:pt>
                <c:pt idx="480">
                  <c:v>11.999999999999931</c:v>
                </c:pt>
                <c:pt idx="481">
                  <c:v>#N/A</c:v>
                </c:pt>
                <c:pt idx="482">
                  <c:v>#N/A</c:v>
                </c:pt>
                <c:pt idx="483">
                  <c:v>#N/A</c:v>
                </c:pt>
                <c:pt idx="484">
                  <c:v>#N/A</c:v>
                </c:pt>
                <c:pt idx="485">
                  <c:v>#N/A</c:v>
                </c:pt>
                <c:pt idx="486">
                  <c:v>#N/A</c:v>
                </c:pt>
                <c:pt idx="487">
                  <c:v>#N/A</c:v>
                </c:pt>
                <c:pt idx="488">
                  <c:v>#N/A</c:v>
                </c:pt>
                <c:pt idx="489">
                  <c:v>#N/A</c:v>
                </c:pt>
                <c:pt idx="490">
                  <c:v>12.999999999999927</c:v>
                </c:pt>
                <c:pt idx="491">
                  <c:v>#N/A</c:v>
                </c:pt>
                <c:pt idx="492">
                  <c:v>#N/A</c:v>
                </c:pt>
                <c:pt idx="493">
                  <c:v>#N/A</c:v>
                </c:pt>
                <c:pt idx="494">
                  <c:v>#N/A</c:v>
                </c:pt>
                <c:pt idx="495">
                  <c:v>#N/A</c:v>
                </c:pt>
                <c:pt idx="496">
                  <c:v>#N/A</c:v>
                </c:pt>
                <c:pt idx="497">
                  <c:v>#N/A</c:v>
                </c:pt>
                <c:pt idx="498">
                  <c:v>#N/A</c:v>
                </c:pt>
                <c:pt idx="499">
                  <c:v>#N/A</c:v>
                </c:pt>
                <c:pt idx="500">
                  <c:v>13.999999999999924</c:v>
                </c:pt>
                <c:pt idx="501">
                  <c:v>#N/A</c:v>
                </c:pt>
                <c:pt idx="502">
                  <c:v>#N/A</c:v>
                </c:pt>
                <c:pt idx="503">
                  <c:v>#N/A</c:v>
                </c:pt>
                <c:pt idx="504">
                  <c:v>#N/A</c:v>
                </c:pt>
                <c:pt idx="505">
                  <c:v>#N/A</c:v>
                </c:pt>
                <c:pt idx="506">
                  <c:v>#N/A</c:v>
                </c:pt>
                <c:pt idx="507">
                  <c:v>#N/A</c:v>
                </c:pt>
                <c:pt idx="508">
                  <c:v>#N/A</c:v>
                </c:pt>
                <c:pt idx="509">
                  <c:v>#N/A</c:v>
                </c:pt>
                <c:pt idx="510">
                  <c:v>14.99999999999992</c:v>
                </c:pt>
                <c:pt idx="511">
                  <c:v>#N/A</c:v>
                </c:pt>
                <c:pt idx="512">
                  <c:v>#N/A</c:v>
                </c:pt>
                <c:pt idx="513">
                  <c:v>#N/A</c:v>
                </c:pt>
                <c:pt idx="514">
                  <c:v>#N/A</c:v>
                </c:pt>
                <c:pt idx="515">
                  <c:v>#N/A</c:v>
                </c:pt>
                <c:pt idx="516">
                  <c:v>#N/A</c:v>
                </c:pt>
                <c:pt idx="517">
                  <c:v>#N/A</c:v>
                </c:pt>
                <c:pt idx="518">
                  <c:v>#N/A</c:v>
                </c:pt>
                <c:pt idx="519">
                  <c:v>#N/A</c:v>
                </c:pt>
                <c:pt idx="520">
                  <c:v>15.999999999999917</c:v>
                </c:pt>
                <c:pt idx="521">
                  <c:v>#N/A</c:v>
                </c:pt>
                <c:pt idx="522">
                  <c:v>#N/A</c:v>
                </c:pt>
                <c:pt idx="523">
                  <c:v>#N/A</c:v>
                </c:pt>
                <c:pt idx="524">
                  <c:v>#N/A</c:v>
                </c:pt>
                <c:pt idx="525">
                  <c:v>#N/A</c:v>
                </c:pt>
                <c:pt idx="526">
                  <c:v>#N/A</c:v>
                </c:pt>
                <c:pt idx="527">
                  <c:v>#N/A</c:v>
                </c:pt>
                <c:pt idx="528">
                  <c:v>#N/A</c:v>
                </c:pt>
                <c:pt idx="529">
                  <c:v>#N/A</c:v>
                </c:pt>
                <c:pt idx="530">
                  <c:v>16.999999999999929</c:v>
                </c:pt>
                <c:pt idx="531">
                  <c:v>#N/A</c:v>
                </c:pt>
                <c:pt idx="532">
                  <c:v>#N/A</c:v>
                </c:pt>
                <c:pt idx="533">
                  <c:v>#N/A</c:v>
                </c:pt>
                <c:pt idx="534">
                  <c:v>#N/A</c:v>
                </c:pt>
                <c:pt idx="535">
                  <c:v>#N/A</c:v>
                </c:pt>
                <c:pt idx="536">
                  <c:v>#N/A</c:v>
                </c:pt>
                <c:pt idx="537">
                  <c:v>#N/A</c:v>
                </c:pt>
                <c:pt idx="538">
                  <c:v>#N/A</c:v>
                </c:pt>
                <c:pt idx="539">
                  <c:v>#N/A</c:v>
                </c:pt>
                <c:pt idx="540">
                  <c:v>17.999999999999943</c:v>
                </c:pt>
                <c:pt idx="541">
                  <c:v>#N/A</c:v>
                </c:pt>
                <c:pt idx="542">
                  <c:v>#N/A</c:v>
                </c:pt>
                <c:pt idx="543">
                  <c:v>#N/A</c:v>
                </c:pt>
                <c:pt idx="544">
                  <c:v>#N/A</c:v>
                </c:pt>
                <c:pt idx="545">
                  <c:v>#N/A</c:v>
                </c:pt>
                <c:pt idx="546">
                  <c:v>#N/A</c:v>
                </c:pt>
                <c:pt idx="547">
                  <c:v>#N/A</c:v>
                </c:pt>
                <c:pt idx="548">
                  <c:v>#N/A</c:v>
                </c:pt>
                <c:pt idx="549">
                  <c:v>#N/A</c:v>
                </c:pt>
                <c:pt idx="550">
                  <c:v>18.999999999999957</c:v>
                </c:pt>
                <c:pt idx="551">
                  <c:v>#N/A</c:v>
                </c:pt>
                <c:pt idx="552">
                  <c:v>#N/A</c:v>
                </c:pt>
                <c:pt idx="553">
                  <c:v>#N/A</c:v>
                </c:pt>
                <c:pt idx="554">
                  <c:v>#N/A</c:v>
                </c:pt>
                <c:pt idx="555">
                  <c:v>#N/A</c:v>
                </c:pt>
                <c:pt idx="556">
                  <c:v>#N/A</c:v>
                </c:pt>
                <c:pt idx="557">
                  <c:v>#N/A</c:v>
                </c:pt>
                <c:pt idx="558">
                  <c:v>#N/A</c:v>
                </c:pt>
                <c:pt idx="559">
                  <c:v>#N/A</c:v>
                </c:pt>
                <c:pt idx="560">
                  <c:v>19.999999999999972</c:v>
                </c:pt>
                <c:pt idx="561">
                  <c:v>#N/A</c:v>
                </c:pt>
                <c:pt idx="562">
                  <c:v>#N/A</c:v>
                </c:pt>
                <c:pt idx="563">
                  <c:v>#N/A</c:v>
                </c:pt>
                <c:pt idx="564">
                  <c:v>#N/A</c:v>
                </c:pt>
                <c:pt idx="565">
                  <c:v>#N/A</c:v>
                </c:pt>
                <c:pt idx="566">
                  <c:v>#N/A</c:v>
                </c:pt>
                <c:pt idx="567">
                  <c:v>#N/A</c:v>
                </c:pt>
                <c:pt idx="568">
                  <c:v>#N/A</c:v>
                </c:pt>
                <c:pt idx="569">
                  <c:v>#N/A</c:v>
                </c:pt>
                <c:pt idx="570">
                  <c:v>20.999999999999986</c:v>
                </c:pt>
                <c:pt idx="571">
                  <c:v>#N/A</c:v>
                </c:pt>
                <c:pt idx="572">
                  <c:v>#N/A</c:v>
                </c:pt>
                <c:pt idx="573">
                  <c:v>#N/A</c:v>
                </c:pt>
                <c:pt idx="574">
                  <c:v>#N/A</c:v>
                </c:pt>
                <c:pt idx="575">
                  <c:v>#N/A</c:v>
                </c:pt>
                <c:pt idx="576">
                  <c:v>#N/A</c:v>
                </c:pt>
                <c:pt idx="577">
                  <c:v>#N/A</c:v>
                </c:pt>
                <c:pt idx="578">
                  <c:v>#N/A</c:v>
                </c:pt>
                <c:pt idx="579">
                  <c:v>#N/A</c:v>
                </c:pt>
                <c:pt idx="580">
                  <c:v>22</c:v>
                </c:pt>
                <c:pt idx="581">
                  <c:v>#N/A</c:v>
                </c:pt>
                <c:pt idx="582">
                  <c:v>#N/A</c:v>
                </c:pt>
                <c:pt idx="583">
                  <c:v>#N/A</c:v>
                </c:pt>
                <c:pt idx="584">
                  <c:v>#N/A</c:v>
                </c:pt>
                <c:pt idx="585">
                  <c:v>#N/A</c:v>
                </c:pt>
                <c:pt idx="586">
                  <c:v>#N/A</c:v>
                </c:pt>
                <c:pt idx="587">
                  <c:v>#N/A</c:v>
                </c:pt>
                <c:pt idx="588">
                  <c:v>#N/A</c:v>
                </c:pt>
                <c:pt idx="589">
                  <c:v>#N/A</c:v>
                </c:pt>
                <c:pt idx="590">
                  <c:v>23.000000000000014</c:v>
                </c:pt>
                <c:pt idx="591">
                  <c:v>#N/A</c:v>
                </c:pt>
                <c:pt idx="592">
                  <c:v>#N/A</c:v>
                </c:pt>
                <c:pt idx="593">
                  <c:v>#N/A</c:v>
                </c:pt>
                <c:pt idx="594">
                  <c:v>#N/A</c:v>
                </c:pt>
                <c:pt idx="595">
                  <c:v>#N/A</c:v>
                </c:pt>
                <c:pt idx="596">
                  <c:v>#N/A</c:v>
                </c:pt>
                <c:pt idx="597">
                  <c:v>#N/A</c:v>
                </c:pt>
                <c:pt idx="598">
                  <c:v>#N/A</c:v>
                </c:pt>
                <c:pt idx="599">
                  <c:v>#N/A</c:v>
                </c:pt>
                <c:pt idx="600">
                  <c:v>24.000000000000028</c:v>
                </c:pt>
                <c:pt idx="601">
                  <c:v>#N/A</c:v>
                </c:pt>
                <c:pt idx="602">
                  <c:v>#N/A</c:v>
                </c:pt>
                <c:pt idx="603">
                  <c:v>#N/A</c:v>
                </c:pt>
                <c:pt idx="604">
                  <c:v>#N/A</c:v>
                </c:pt>
                <c:pt idx="605">
                  <c:v>#N/A</c:v>
                </c:pt>
                <c:pt idx="606">
                  <c:v>#N/A</c:v>
                </c:pt>
                <c:pt idx="607">
                  <c:v>#N/A</c:v>
                </c:pt>
                <c:pt idx="608">
                  <c:v>#N/A</c:v>
                </c:pt>
                <c:pt idx="609">
                  <c:v>#N/A</c:v>
                </c:pt>
                <c:pt idx="610">
                  <c:v>25.000000000000043</c:v>
                </c:pt>
                <c:pt idx="611">
                  <c:v>#N/A</c:v>
                </c:pt>
                <c:pt idx="612">
                  <c:v>#N/A</c:v>
                </c:pt>
                <c:pt idx="613">
                  <c:v>#N/A</c:v>
                </c:pt>
                <c:pt idx="614">
                  <c:v>#N/A</c:v>
                </c:pt>
                <c:pt idx="615">
                  <c:v>#N/A</c:v>
                </c:pt>
                <c:pt idx="616">
                  <c:v>#N/A</c:v>
                </c:pt>
                <c:pt idx="617">
                  <c:v>#N/A</c:v>
                </c:pt>
                <c:pt idx="618">
                  <c:v>#N/A</c:v>
                </c:pt>
                <c:pt idx="619">
                  <c:v>#N/A</c:v>
                </c:pt>
                <c:pt idx="620">
                  <c:v>26.000000000000057</c:v>
                </c:pt>
                <c:pt idx="621">
                  <c:v>#N/A</c:v>
                </c:pt>
                <c:pt idx="622">
                  <c:v>#N/A</c:v>
                </c:pt>
                <c:pt idx="623">
                  <c:v>#N/A</c:v>
                </c:pt>
                <c:pt idx="624">
                  <c:v>#N/A</c:v>
                </c:pt>
                <c:pt idx="625">
                  <c:v>#N/A</c:v>
                </c:pt>
                <c:pt idx="626">
                  <c:v>#N/A</c:v>
                </c:pt>
                <c:pt idx="627">
                  <c:v>#N/A</c:v>
                </c:pt>
                <c:pt idx="628">
                  <c:v>#N/A</c:v>
                </c:pt>
                <c:pt idx="629">
                  <c:v>#N/A</c:v>
                </c:pt>
                <c:pt idx="630">
                  <c:v>27.000000000000071</c:v>
                </c:pt>
                <c:pt idx="631">
                  <c:v>#N/A</c:v>
                </c:pt>
                <c:pt idx="632">
                  <c:v>#N/A</c:v>
                </c:pt>
                <c:pt idx="633">
                  <c:v>#N/A</c:v>
                </c:pt>
                <c:pt idx="634">
                  <c:v>#N/A</c:v>
                </c:pt>
                <c:pt idx="635">
                  <c:v>#N/A</c:v>
                </c:pt>
                <c:pt idx="636">
                  <c:v>#N/A</c:v>
                </c:pt>
                <c:pt idx="637">
                  <c:v>#N/A</c:v>
                </c:pt>
                <c:pt idx="638">
                  <c:v>#N/A</c:v>
                </c:pt>
                <c:pt idx="639">
                  <c:v>#N/A</c:v>
                </c:pt>
                <c:pt idx="640">
                  <c:v>28.000000000000085</c:v>
                </c:pt>
                <c:pt idx="641">
                  <c:v>#N/A</c:v>
                </c:pt>
                <c:pt idx="642">
                  <c:v>#N/A</c:v>
                </c:pt>
                <c:pt idx="643">
                  <c:v>#N/A</c:v>
                </c:pt>
                <c:pt idx="644">
                  <c:v>#N/A</c:v>
                </c:pt>
                <c:pt idx="645">
                  <c:v>#N/A</c:v>
                </c:pt>
                <c:pt idx="646">
                  <c:v>#N/A</c:v>
                </c:pt>
                <c:pt idx="647">
                  <c:v>#N/A</c:v>
                </c:pt>
                <c:pt idx="648">
                  <c:v>#N/A</c:v>
                </c:pt>
                <c:pt idx="649">
                  <c:v>#N/A</c:v>
                </c:pt>
                <c:pt idx="650">
                  <c:v>29.000000000000099</c:v>
                </c:pt>
                <c:pt idx="651">
                  <c:v>#N/A</c:v>
                </c:pt>
                <c:pt idx="652">
                  <c:v>#N/A</c:v>
                </c:pt>
                <c:pt idx="653">
                  <c:v>#N/A</c:v>
                </c:pt>
                <c:pt idx="654">
                  <c:v>#N/A</c:v>
                </c:pt>
                <c:pt idx="655">
                  <c:v>#N/A</c:v>
                </c:pt>
                <c:pt idx="656">
                  <c:v>#N/A</c:v>
                </c:pt>
                <c:pt idx="657">
                  <c:v>#N/A</c:v>
                </c:pt>
                <c:pt idx="658">
                  <c:v>#N/A</c:v>
                </c:pt>
                <c:pt idx="659">
                  <c:v>#N/A</c:v>
                </c:pt>
                <c:pt idx="660">
                  <c:v>30.000000000000114</c:v>
                </c:pt>
                <c:pt idx="661">
                  <c:v>#N/A</c:v>
                </c:pt>
                <c:pt idx="662">
                  <c:v>#N/A</c:v>
                </c:pt>
                <c:pt idx="663">
                  <c:v>#N/A</c:v>
                </c:pt>
                <c:pt idx="664">
                  <c:v>#N/A</c:v>
                </c:pt>
                <c:pt idx="665">
                  <c:v>#N/A</c:v>
                </c:pt>
                <c:pt idx="666">
                  <c:v>#N/A</c:v>
                </c:pt>
                <c:pt idx="667">
                  <c:v>#N/A</c:v>
                </c:pt>
                <c:pt idx="668">
                  <c:v>#N/A</c:v>
                </c:pt>
                <c:pt idx="669">
                  <c:v>#N/A</c:v>
                </c:pt>
                <c:pt idx="670">
                  <c:v>31.000000000000128</c:v>
                </c:pt>
                <c:pt idx="671">
                  <c:v>#N/A</c:v>
                </c:pt>
                <c:pt idx="672">
                  <c:v>#N/A</c:v>
                </c:pt>
                <c:pt idx="673">
                  <c:v>#N/A</c:v>
                </c:pt>
                <c:pt idx="674">
                  <c:v>#N/A</c:v>
                </c:pt>
                <c:pt idx="675">
                  <c:v>#N/A</c:v>
                </c:pt>
                <c:pt idx="676">
                  <c:v>#N/A</c:v>
                </c:pt>
                <c:pt idx="677">
                  <c:v>#N/A</c:v>
                </c:pt>
                <c:pt idx="678">
                  <c:v>#N/A</c:v>
                </c:pt>
                <c:pt idx="679">
                  <c:v>#N/A</c:v>
                </c:pt>
                <c:pt idx="680">
                  <c:v>32.000000000000142</c:v>
                </c:pt>
                <c:pt idx="681">
                  <c:v>#N/A</c:v>
                </c:pt>
                <c:pt idx="682">
                  <c:v>#N/A</c:v>
                </c:pt>
                <c:pt idx="683">
                  <c:v>#N/A</c:v>
                </c:pt>
                <c:pt idx="684">
                  <c:v>#N/A</c:v>
                </c:pt>
                <c:pt idx="685">
                  <c:v>#N/A</c:v>
                </c:pt>
                <c:pt idx="686">
                  <c:v>#N/A</c:v>
                </c:pt>
                <c:pt idx="687">
                  <c:v>#N/A</c:v>
                </c:pt>
                <c:pt idx="688">
                  <c:v>#N/A</c:v>
                </c:pt>
                <c:pt idx="689">
                  <c:v>#N/A</c:v>
                </c:pt>
                <c:pt idx="690">
                  <c:v>33.000000000000156</c:v>
                </c:pt>
                <c:pt idx="691">
                  <c:v>#N/A</c:v>
                </c:pt>
                <c:pt idx="692">
                  <c:v>#N/A</c:v>
                </c:pt>
                <c:pt idx="693">
                  <c:v>#N/A</c:v>
                </c:pt>
                <c:pt idx="694">
                  <c:v>#N/A</c:v>
                </c:pt>
                <c:pt idx="695">
                  <c:v>#N/A</c:v>
                </c:pt>
                <c:pt idx="696">
                  <c:v>#N/A</c:v>
                </c:pt>
                <c:pt idx="697">
                  <c:v>#N/A</c:v>
                </c:pt>
                <c:pt idx="698">
                  <c:v>#N/A</c:v>
                </c:pt>
                <c:pt idx="699">
                  <c:v>#N/A</c:v>
                </c:pt>
                <c:pt idx="700">
                  <c:v>34.000000000000171</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3.7787863175434927E-6</c:v>
                </c:pt>
                <c:pt idx="2">
                  <c:v>9.7430286809401792E-4</c:v>
                </c:pt>
                <c:pt idx="3">
                  <c:v>4.8304626638425606E-3</c:v>
                </c:pt>
                <c:pt idx="4">
                  <c:v>1.3492455547460976E-2</c:v>
                </c:pt>
                <c:pt idx="5">
                  <c:v>2.8882335691858652E-2</c:v>
                </c:pt>
                <c:pt idx="6">
                  <c:v>5.2438330844134518E-2</c:v>
                </c:pt>
                <c:pt idx="7">
                  <c:v>8.4627999028125303E-2</c:v>
                </c:pt>
                <c:pt idx="8">
                  <c:v>0.12543307209862209</c:v>
                </c:pt>
                <c:pt idx="9">
                  <c:v>0.17483518671082196</c:v>
                </c:pt>
                <c:pt idx="10">
                  <c:v>0.23281588467534353</c:v>
                </c:pt>
                <c:pt idx="11">
                  <c:v>0.29935661331694385</c:v>
                </c:pt>
                <c:pt idx="12">
                  <c:v>0.37443872583690696</c:v>
                </c:pt>
                <c:pt idx="13">
                  <c:v>0.45804348167907422</c:v>
                </c:pt>
                <c:pt idx="14">
                  <c:v>0.55015204689948516</c:v>
                </c:pt>
                <c:pt idx="15">
                  <c:v>0.65074549453959929</c:v>
                </c:pt>
                <c:pt idx="16">
                  <c:v>0.75980480500306613</c:v>
                </c:pt>
                <c:pt idx="17">
                  <c:v>0.87731086643601375</c:v>
                </c:pt>
                <c:pt idx="18">
                  <c:v>1.0032444751108227</c:v>
                </c:pt>
                <c:pt idx="19">
                  <c:v>1.1375863358133538</c:v>
                </c:pt>
                <c:pt idx="20">
                  <c:v>1.2803170622335978</c:v>
                </c:pt>
                <c:pt idx="21">
                  <c:v>1.4314171773597135</c:v>
                </c:pt>
                <c:pt idx="22">
                  <c:v>1.5908671138754222</c:v>
                </c:pt>
                <c:pt idx="23">
                  <c:v>1.7586472145607248</c:v>
                </c:pt>
                <c:pt idx="24">
                  <c:v>1.9347377326959072</c:v>
                </c:pt>
                <c:pt idx="25">
                  <c:v>2.1191188324688026</c:v>
                </c:pt>
                <c:pt idx="26">
                  <c:v>2.3117705893852749</c:v>
                </c:pt>
                <c:pt idx="27">
                  <c:v>2.5126729906828871</c:v>
                </c:pt>
                <c:pt idx="28">
                  <c:v>2.7218059357477258</c:v>
                </c:pt>
                <c:pt idx="29">
                  <c:v>2.9391492365343406</c:v>
                </c:pt>
                <c:pt idx="30">
                  <c:v>3.1646826179887673</c:v>
                </c:pt>
                <c:pt idx="31">
                  <c:v>3.3983857184745978</c:v>
                </c:pt>
                <c:pt idx="32">
                  <c:v>3.6402380902020628</c:v>
                </c:pt>
                <c:pt idx="33">
                  <c:v>3.890219199660089</c:v>
                </c:pt>
                <c:pt idx="34">
                  <c:v>4.1483084280512976</c:v>
                </c:pt>
                <c:pt idx="35">
                  <c:v>4.4144702745167566</c:v>
                </c:pt>
                <c:pt idx="36">
                  <c:v>4.6886686673246736</c:v>
                </c:pt>
                <c:pt idx="37">
                  <c:v>4.97088176732339</c:v>
                </c:pt>
                <c:pt idx="38">
                  <c:v>5.2610876701949847</c:v>
                </c:pt>
                <c:pt idx="39">
                  <c:v>5.5592644130745841</c:v>
                </c:pt>
                <c:pt idx="40">
                  <c:v>5.8653899738696778</c:v>
                </c:pt>
                <c:pt idx="41">
                  <c:v>6.1794422706673755</c:v>
                </c:pt>
                <c:pt idx="42">
                  <c:v>6.501399161221042</c:v>
                </c:pt>
                <c:pt idx="43">
                  <c:v>6.8312384425088073</c:v>
                </c:pt>
                <c:pt idx="44">
                  <c:v>7.168937850357322</c:v>
                </c:pt>
                <c:pt idx="45">
                  <c:v>7.5144750591249263</c:v>
                </c:pt>
                <c:pt idx="46">
                  <c:v>7.8678276814390493</c:v>
                </c:pt>
                <c:pt idx="47">
                  <c:v>8.2289732679832355</c:v>
                </c:pt>
                <c:pt idx="48">
                  <c:v>8.5978893073296838</c:v>
                </c:pt>
                <c:pt idx="49">
                  <c:v>8.9745532258136365</c:v>
                </c:pt>
                <c:pt idx="50">
                  <c:v>9.3589423874463211</c:v>
                </c:pt>
                <c:pt idx="51">
                  <c:v>9.7510366482234261</c:v>
                </c:pt>
                <c:pt idx="52">
                  <c:v>10.150820913449881</c:v>
                </c:pt>
                <c:pt idx="53">
                  <c:v>10.558282587435848</c:v>
                </c:pt>
                <c:pt idx="54">
                  <c:v>10.973409020130692</c:v>
                </c:pt>
                <c:pt idx="55">
                  <c:v>11.396187506974208</c:v>
                </c:pt>
                <c:pt idx="56">
                  <c:v>11.826605288769619</c:v>
                </c:pt>
                <c:pt idx="57">
                  <c:v>12.264649551576969</c:v>
                </c:pt>
                <c:pt idx="58">
                  <c:v>12.710307426625654</c:v>
                </c:pt>
                <c:pt idx="59">
                  <c:v>13.163565990244917</c:v>
                </c:pt>
                <c:pt idx="60">
                  <c:v>13.62441226381128</c:v>
                </c:pt>
                <c:pt idx="61">
                  <c:v>14.092833213711897</c:v>
                </c:pt>
                <c:pt idx="62">
                  <c:v>14.568815751322973</c:v>
                </c:pt>
                <c:pt idx="63">
                  <c:v>15.052346733002386</c:v>
                </c:pt>
                <c:pt idx="64">
                  <c:v>15.543412960095768</c:v>
                </c:pt>
                <c:pt idx="65">
                  <c:v>16.042001178955335</c:v>
                </c:pt>
                <c:pt idx="66">
                  <c:v>16.548098080970799</c:v>
                </c:pt>
                <c:pt idx="67">
                  <c:v>17.061690302611765</c:v>
                </c:pt>
                <c:pt idx="68">
                  <c:v>17.582764425481052</c:v>
                </c:pt>
                <c:pt idx="69">
                  <c:v>18.111306976378398</c:v>
                </c:pt>
                <c:pt idx="70">
                  <c:v>18.647304427374063</c:v>
                </c:pt>
                <c:pt idx="71">
                  <c:v>19.190743195891891</c:v>
                </c:pt>
                <c:pt idx="72">
                  <c:v>19.741609644801372</c:v>
                </c:pt>
                <c:pt idx="73">
                  <c:v>20.299890082518331</c:v>
                </c:pt>
                <c:pt idx="74">
                  <c:v>20.865570763113876</c:v>
                </c:pt>
                <c:pt idx="75">
                  <c:v>21.438637886431209</c:v>
                </c:pt>
                <c:pt idx="76">
                  <c:v>22.019077598210028</c:v>
                </c:pt>
                <c:pt idx="77">
                  <c:v>22.606875990218185</c:v>
                </c:pt>
                <c:pt idx="78">
                  <c:v>23.202019100390295</c:v>
                </c:pt>
                <c:pt idx="79">
                  <c:v>23.80449291297305</c:v>
                </c:pt>
                <c:pt idx="80">
                  <c:v>24.414283358676954</c:v>
                </c:pt>
                <c:pt idx="81">
                  <c:v>25.031376314834272</c:v>
                </c:pt>
                <c:pt idx="82">
                  <c:v>25.655757605562911</c:v>
                </c:pt>
                <c:pt idx="83">
                  <c:v>26.287413001936063</c:v>
                </c:pt>
                <c:pt idx="84">
                  <c:v>26.926328222157366</c:v>
                </c:pt>
                <c:pt idx="85">
                  <c:v>27.572488931741425</c:v>
                </c:pt>
                <c:pt idx="86">
                  <c:v>28.225880743699481</c:v>
                </c:pt>
                <c:pt idx="87">
                  <c:v>28.886489218730038</c:v>
                </c:pt>
                <c:pt idx="88">
                  <c:v>29.554299865414336</c:v>
                </c:pt>
                <c:pt idx="89">
                  <c:v>30.229298140416446</c:v>
                </c:pt>
                <c:pt idx="90">
                  <c:v>30.911469448687878</c:v>
                </c:pt>
                <c:pt idx="91">
                  <c:v>31.600799143676532</c:v>
                </c:pt>
                <c:pt idx="92">
                  <c:v>32.297272527539889</c:v>
                </c:pt>
                <c:pt idx="93">
                  <c:v>33.000874851362241</c:v>
                </c:pt>
                <c:pt idx="94">
                  <c:v>33.711591315375934</c:v>
                </c:pt>
                <c:pt idx="95">
                  <c:v>34.429407069186396</c:v>
                </c:pt>
                <c:pt idx="96">
                  <c:v>35.154307212000916</c:v>
                </c:pt>
                <c:pt idx="97">
                  <c:v>35.886276792861025</c:v>
                </c:pt>
                <c:pt idx="98">
                  <c:v>36.625300810878372</c:v>
                </c:pt>
                <c:pt idx="99">
                  <c:v>37.371364215474003</c:v>
                </c:pt>
                <c:pt idx="100">
                  <c:v>38.124451906620934</c:v>
                </c:pt>
                <c:pt idx="101">
                  <c:v>38.884547561353045</c:v>
                </c:pt>
                <c:pt idx="102">
                  <c:v>39.65163245933396</c:v>
                </c:pt>
                <c:pt idx="103">
                  <c:v>40.425686655865711</c:v>
                </c:pt>
                <c:pt idx="104">
                  <c:v>41.206690155897249</c:v>
                </c:pt>
                <c:pt idx="105">
                  <c:v>41.994622914389659</c:v>
                </c:pt>
                <c:pt idx="106">
                  <c:v>42.789464836684097</c:v>
                </c:pt>
                <c:pt idx="107">
                  <c:v>43.591195778872333</c:v>
                </c:pt>
                <c:pt idx="108">
                  <c:v>44.399795548169884</c:v>
                </c:pt>
                <c:pt idx="109">
                  <c:v>45.215243903291544</c:v>
                </c:pt>
                <c:pt idx="110">
                  <c:v>46.037520554829314</c:v>
                </c:pt>
                <c:pt idx="111">
                  <c:v>46.866605165632613</c:v>
                </c:pt>
                <c:pt idx="112">
                  <c:v>47.702477351190673</c:v>
                </c:pt>
                <c:pt idx="113">
                  <c:v>48.545116680017038</c:v>
                </c:pt>
                <c:pt idx="114">
                  <c:v>49.394502674036168</c:v>
                </c:pt>
                <c:pt idx="115">
                  <c:v>50.250614808971932</c:v>
                </c:pt>
                <c:pt idx="116">
                  <c:v>51.113432514738065</c:v>
                </c:pt>
                <c:pt idx="117">
                  <c:v>51.982935175830413</c:v>
                </c:pt>
                <c:pt idx="118">
                  <c:v>52.859102131720924</c:v>
                </c:pt>
                <c:pt idx="119">
                  <c:v>53.741912677253374</c:v>
                </c:pt>
                <c:pt idx="120">
                  <c:v>54.631346063040667</c:v>
                </c:pt>
                <c:pt idx="121">
                  <c:v>55.527381495863715</c:v>
                </c:pt>
                <c:pt idx="122">
                  <c:v>56.429998139071806</c:v>
                </c:pt>
                <c:pt idx="123">
                  <c:v>57.339175112984421</c:v>
                </c:pt>
                <c:pt idx="124">
                  <c:v>58.254891495294409</c:v>
                </c:pt>
                <c:pt idx="125">
                  <c:v>59.177126321472464</c:v>
                </c:pt>
                <c:pt idx="126">
                  <c:v>60.105858585172903</c:v>
                </c:pt>
                <c:pt idx="127">
                  <c:v>61.041067238640601</c:v>
                </c:pt>
                <c:pt idx="128">
                  <c:v>61.982731193119086</c:v>
                </c:pt>
                <c:pt idx="129">
                  <c:v>62.930829319259736</c:v>
                </c:pt>
                <c:pt idx="130">
                  <c:v>63.885340447532002</c:v>
                </c:pt>
                <c:pt idx="131">
                  <c:v>64.846243368634632</c:v>
                </c:pt>
                <c:pt idx="132">
                  <c:v>65.813516833907784</c:v>
                </c:pt>
                <c:pt idx="133">
                  <c:v>66.787139555746108</c:v>
                </c:pt>
                <c:pt idx="134">
                  <c:v>67.76709020801259</c:v>
                </c:pt>
                <c:pt idx="135">
                  <c:v>68.753347426453189</c:v>
                </c:pt>
                <c:pt idx="136">
                  <c:v>69.745889809112271</c:v>
                </c:pt>
                <c:pt idx="137">
                  <c:v>70.744695916748668</c:v>
                </c:pt>
                <c:pt idx="138">
                  <c:v>71.749744273252432</c:v>
                </c:pt>
                <c:pt idx="139">
                  <c:v>72.761013366062144</c:v>
                </c:pt>
                <c:pt idx="140">
                  <c:v>73.778481646582833</c:v>
                </c:pt>
                <c:pt idx="141">
                  <c:v>74.802127530604366</c:v>
                </c:pt>
                <c:pt idx="142">
                  <c:v>75.831929398720348</c:v>
                </c:pt>
                <c:pt idx="143">
                  <c:v>76.867865596747379</c:v>
                </c:pt>
                <c:pt idx="144">
                  <c:v>77.909914436144774</c:v>
                </c:pt>
                <c:pt idx="145">
                  <c:v>78.958054194434595</c:v>
                </c:pt>
                <c:pt idx="146">
                  <c:v>80.012263115621977</c:v>
                </c:pt>
                <c:pt idx="147">
                  <c:v>81.072519410615726</c:v>
                </c:pt>
                <c:pt idx="148">
                  <c:v>82.138801257649149</c:v>
                </c:pt>
                <c:pt idx="149">
                  <c:v>83.211086802701061</c:v>
                </c:pt>
                <c:pt idx="150">
                  <c:v>84.289354159916925</c:v>
                </c:pt>
                <c:pt idx="151">
                  <c:v>85.373581810338379</c:v>
                </c:pt>
                <c:pt idx="152">
                  <c:v>86.463749000770918</c:v>
                </c:pt>
                <c:pt idx="153">
                  <c:v>87.559835345887578</c:v>
                </c:pt>
                <c:pt idx="154">
                  <c:v>88.661820430177187</c:v>
                </c:pt>
                <c:pt idx="155">
                  <c:v>89.769683808330981</c:v>
                </c:pt>
                <c:pt idx="156">
                  <c:v>90.8834050056292</c:v>
                </c:pt>
                <c:pt idx="157">
                  <c:v>92.002963518327832</c:v>
                </c:pt>
                <c:pt idx="158">
                  <c:v>93.128338814045293</c:v>
                </c:pt>
                <c:pt idx="159">
                  <c:v>94.259510332149176</c:v>
                </c:pt>
                <c:pt idx="160">
                  <c:v>95.396457484142886</c:v>
                </c:pt>
                <c:pt idx="161">
                  <c:v>96.539159654052256</c:v>
                </c:pt>
                <c:pt idx="162">
                  <c:v>97.687596198812059</c:v>
                </c:pt>
                <c:pt idx="163">
                  <c:v>98.84174644865233</c:v>
                </c:pt>
                <c:pt idx="164">
                  <c:v>100.00158970748461</c:v>
                </c:pt>
                <c:pt idx="165">
                  <c:v>101.16710525328796</c:v>
                </c:pt>
                <c:pt idx="166">
                  <c:v>102.3382723384947</c:v>
                </c:pt>
                <c:pt idx="167">
                  <c:v>103.51507019037608</c:v>
                </c:pt>
                <c:pt idx="168">
                  <c:v>104.69747801142742</c:v>
                </c:pt>
                <c:pt idx="169">
                  <c:v>105.88547497975317</c:v>
                </c:pt>
                <c:pt idx="170">
                  <c:v>107.07904024945152</c:v>
                </c:pt>
                <c:pt idx="171">
                  <c:v>108.27815295099873</c:v>
                </c:pt>
                <c:pt idx="172">
                  <c:v>109.48279219163297</c:v>
                </c:pt>
                <c:pt idx="173">
                  <c:v>110.69293705573784</c:v>
                </c:pt>
                <c:pt idx="174">
                  <c:v>111.90856660522547</c:v>
                </c:pt>
                <c:pt idx="175">
                  <c:v>113.12965987991907</c:v>
                </c:pt>
                <c:pt idx="176">
                  <c:v>114.35619589793505</c:v>
                </c:pt>
                <c:pt idx="177">
                  <c:v>115.58815365606465</c:v>
                </c:pt>
                <c:pt idx="178">
                  <c:v>116.82551213015493</c:v>
                </c:pt>
                <c:pt idx="179">
                  <c:v>118.06825027548938</c:v>
                </c:pt>
                <c:pt idx="180">
                  <c:v>119.31634702716772</c:v>
                </c:pt>
                <c:pt idx="181">
                  <c:v>120.56978130048529</c:v>
                </c:pt>
                <c:pt idx="182">
                  <c:v>121.82853199131168</c:v>
                </c:pt>
                <c:pt idx="183">
                  <c:v>123.09257797646873</c:v>
                </c:pt>
                <c:pt idx="184">
                  <c:v>124.3618981141079</c:v>
                </c:pt>
                <c:pt idx="185">
                  <c:v>125.63647124408688</c:v>
                </c:pt>
                <c:pt idx="186">
                  <c:v>126.91627618834549</c:v>
                </c:pt>
                <c:pt idx="187">
                  <c:v>128.20129175128088</c:v>
                </c:pt>
                <c:pt idx="188">
                  <c:v>129.4914967201218</c:v>
                </c:pt>
                <c:pt idx="189">
                  <c:v>130.78686986530235</c:v>
                </c:pt>
                <c:pt idx="190">
                  <c:v>132.08738994083461</c:v>
                </c:pt>
                <c:pt idx="191">
                  <c:v>133.39303568468071</c:v>
                </c:pt>
                <c:pt idx="192">
                  <c:v>134.70378581912382</c:v>
                </c:pt>
                <c:pt idx="193">
                  <c:v>136.01961905113839</c:v>
                </c:pt>
                <c:pt idx="194">
                  <c:v>137.3405140727595</c:v>
                </c:pt>
                <c:pt idx="195">
                  <c:v>138.66644956145123</c:v>
                </c:pt>
                <c:pt idx="196">
                  <c:v>139.99740418047406</c:v>
                </c:pt>
                <c:pt idx="197">
                  <c:v>141.33335657925147</c:v>
                </c:pt>
                <c:pt idx="198">
                  <c:v>142.6742853937354</c:v>
                </c:pt>
                <c:pt idx="199">
                  <c:v>144.02016924677076</c:v>
                </c:pt>
                <c:pt idx="200">
                  <c:v>145.37098674845902</c:v>
                </c:pt>
                <c:pt idx="201">
                  <c:v>146.72671649652057</c:v>
                </c:pt>
                <c:pt idx="202">
                  <c:v>148.08733707665621</c:v>
                </c:pt>
                <c:pt idx="203">
                  <c:v>149.45282706290755</c:v>
                </c:pt>
                <c:pt idx="204">
                  <c:v>150.82316501801617</c:v>
                </c:pt>
                <c:pt idx="205">
                  <c:v>152.19832949378184</c:v>
                </c:pt>
                <c:pt idx="206">
                  <c:v>153.5782990314195</c:v>
                </c:pt>
                <c:pt idx="207">
                  <c:v>154.96305216191521</c:v>
                </c:pt>
                <c:pt idx="208">
                  <c:v>156.35256740638087</c:v>
                </c:pt>
                <c:pt idx="209">
                  <c:v>157.7468232764077</c:v>
                </c:pt>
                <c:pt idx="210">
                  <c:v>159.14579827441867</c:v>
                </c:pt>
                <c:pt idx="211">
                  <c:v>160.54947089401969</c:v>
                </c:pt>
                <c:pt idx="212">
                  <c:v>161.95781962034943</c:v>
                </c:pt>
                <c:pt idx="213">
                  <c:v>163.37082293042806</c:v>
                </c:pt>
                <c:pt idx="214">
                  <c:v>164.78845929350473</c:v>
                </c:pt>
                <c:pt idx="215">
                  <c:v>166.21070717140361</c:v>
                </c:pt>
                <c:pt idx="216">
                  <c:v>167.63754501886891</c:v>
                </c:pt>
                <c:pt idx="217">
                  <c:v>169.06895128390832</c:v>
                </c:pt>
                <c:pt idx="218">
                  <c:v>170.50490440813533</c:v>
                </c:pt>
                <c:pt idx="219">
                  <c:v>171.94538282711014</c:v>
                </c:pt>
                <c:pt idx="220">
                  <c:v>173.39036497067923</c:v>
                </c:pt>
                <c:pt idx="221">
                  <c:v>174.83982926331356</c:v>
                </c:pt>
                <c:pt idx="222">
                  <c:v>176.29375412444546</c:v>
                </c:pt>
                <c:pt idx="223">
                  <c:v>177.75211796880401</c:v>
                </c:pt>
                <c:pt idx="224">
                  <c:v>179.21489920674921</c:v>
                </c:pt>
                <c:pt idx="225">
                  <c:v>180.68207624460447</c:v>
                </c:pt>
                <c:pt idx="226">
                  <c:v>182.15362748498794</c:v>
                </c:pt>
                <c:pt idx="227">
                  <c:v>183.62953132714225</c:v>
                </c:pt>
                <c:pt idx="228">
                  <c:v>185.10976616726285</c:v>
                </c:pt>
                <c:pt idx="229">
                  <c:v>186.5943103988248</c:v>
                </c:pt>
                <c:pt idx="230">
                  <c:v>188.08314241290827</c:v>
                </c:pt>
                <c:pt idx="231">
                  <c:v>189.5762405985223</c:v>
                </c:pt>
                <c:pt idx="232">
                  <c:v>191.07358334292732</c:v>
                </c:pt>
                <c:pt idx="233">
                  <c:v>192.57514903195593</c:v>
                </c:pt>
                <c:pt idx="234">
                  <c:v>194.08091605033232</c:v>
                </c:pt>
                <c:pt idx="235">
                  <c:v>195.5908627819901</c:v>
                </c:pt>
                <c:pt idx="236">
                  <c:v>197.10496761038854</c:v>
                </c:pt>
                <c:pt idx="237">
                  <c:v>198.62320891882737</c:v>
                </c:pt>
                <c:pt idx="238">
                  <c:v>200.1455650907599</c:v>
                </c:pt>
                <c:pt idx="239">
                  <c:v>201.67201451010456</c:v>
                </c:pt>
                <c:pt idx="240">
                  <c:v>203.20253556155498</c:v>
                </c:pt>
                <c:pt idx="241">
                  <c:v>204.73710663088838</c:v>
                </c:pt>
                <c:pt idx="242">
                  <c:v>206.27570610527238</c:v>
                </c:pt>
                <c:pt idx="243">
                  <c:v>207.81831237357014</c:v>
                </c:pt>
                <c:pt idx="244">
                  <c:v>209.36490382664402</c:v>
                </c:pt>
                <c:pt idx="245">
                  <c:v>210.9154588576574</c:v>
                </c:pt>
                <c:pt idx="246">
                  <c:v>212.46995586237509</c:v>
                </c:pt>
                <c:pt idx="247">
                  <c:v>214.02837323946187</c:v>
                </c:pt>
                <c:pt idx="248">
                  <c:v>215.59068939077957</c:v>
                </c:pt>
                <c:pt idx="249">
                  <c:v>217.15688272168236</c:v>
                </c:pt>
                <c:pt idx="250">
                  <c:v>218.72693164131039</c:v>
                </c:pt>
                <c:pt idx="251">
                  <c:v>220.30081285299997</c:v>
                </c:pt>
                <c:pt idx="252">
                  <c:v>221.87849964549096</c:v>
                </c:pt>
                <c:pt idx="253">
                  <c:v>223.4599636056802</c:v>
                </c:pt>
                <c:pt idx="254">
                  <c:v>225.04517633063145</c:v>
                </c:pt>
                <c:pt idx="255">
                  <c:v>226.63410942797353</c:v>
                </c:pt>
                <c:pt idx="256">
                  <c:v>228.22673451629583</c:v>
                </c:pt>
                <c:pt idx="257">
                  <c:v>229.82302322554065</c:v>
                </c:pt>
                <c:pt idx="258">
                  <c:v>231.42294719739274</c:v>
                </c:pt>
                <c:pt idx="259">
                  <c:v>233.02647808566584</c:v>
                </c:pt>
                <c:pt idx="260">
                  <c:v>234.63358755668619</c:v>
                </c:pt>
                <c:pt idx="261">
                  <c:v>236.24424728967327</c:v>
                </c:pt>
                <c:pt idx="262">
                  <c:v>237.85842897711737</c:v>
                </c:pt>
                <c:pt idx="263">
                  <c:v>239.47610432515427</c:v>
                </c:pt>
                <c:pt idx="264">
                  <c:v>241.09724505393692</c:v>
                </c:pt>
                <c:pt idx="265">
                  <c:v>242.72182289800421</c:v>
                </c:pt>
                <c:pt idx="266">
                  <c:v>244.3498096066466</c:v>
                </c:pt>
                <c:pt idx="267">
                  <c:v>245.9811769442689</c:v>
                </c:pt>
                <c:pt idx="268">
                  <c:v>247.61589669074982</c:v>
                </c:pt>
                <c:pt idx="269">
                  <c:v>249.25394064179886</c:v>
                </c:pt>
                <c:pt idx="270">
                  <c:v>250.89528060930982</c:v>
                </c:pt>
                <c:pt idx="271">
                  <c:v>252.53988842171159</c:v>
                </c:pt>
                <c:pt idx="272">
                  <c:v>254.18773592431569</c:v>
                </c:pt>
                <c:pt idx="273">
                  <c:v>255.83879497966092</c:v>
                </c:pt>
                <c:pt idx="274">
                  <c:v>257.49303746785495</c:v>
                </c:pt>
                <c:pt idx="275">
                  <c:v>259.15043528691297</c:v>
                </c:pt>
                <c:pt idx="276">
                  <c:v>260.81096035309298</c:v>
                </c:pt>
                <c:pt idx="277">
                  <c:v>262.47458460122846</c:v>
                </c:pt>
                <c:pt idx="278">
                  <c:v>264.14127998505785</c:v>
                </c:pt>
                <c:pt idx="279">
                  <c:v>265.81101847755087</c:v>
                </c:pt>
                <c:pt idx="280">
                  <c:v>267.48377207123195</c:v>
                </c:pt>
                <c:pt idx="281">
                  <c:v>269.15951277850047</c:v>
                </c:pt>
                <c:pt idx="282">
                  <c:v>270.83821263194818</c:v>
                </c:pt>
                <c:pt idx="283">
                  <c:v>272.51984368467339</c:v>
                </c:pt>
                <c:pt idx="284">
                  <c:v>274.20437801059222</c:v>
                </c:pt>
                <c:pt idx="285">
                  <c:v>275.89178770474672</c:v>
                </c:pt>
                <c:pt idx="286">
                  <c:v>277.58204488361008</c:v>
                </c:pt>
                <c:pt idx="287">
                  <c:v>279.27512168538863</c:v>
                </c:pt>
                <c:pt idx="288">
                  <c:v>280.97099027032095</c:v>
                </c:pt>
                <c:pt idx="289">
                  <c:v>282.66962282097387</c:v>
                </c:pt>
                <c:pt idx="290">
                  <c:v>284.37099154253542</c:v>
                </c:pt>
                <c:pt idx="291">
                  <c:v>286.07506866310484</c:v>
                </c:pt>
                <c:pt idx="292">
                  <c:v>287.78182643397946</c:v>
                </c:pt>
                <c:pt idx="293">
                  <c:v>289.4912371299385</c:v>
                </c:pt>
                <c:pt idx="294">
                  <c:v>291.20327304952406</c:v>
                </c:pt>
                <c:pt idx="295">
                  <c:v>292.91790651531886</c:v>
                </c:pt>
                <c:pt idx="296">
                  <c:v>294.63510987422109</c:v>
                </c:pt>
                <c:pt idx="297">
                  <c:v>296.35485549771619</c:v>
                </c:pt>
                <c:pt idx="298">
                  <c:v>298.07709705674057</c:v>
                </c:pt>
                <c:pt idx="299">
                  <c:v>299.8017508128433</c:v>
                </c:pt>
                <c:pt idx="300">
                  <c:v>301.52871438528666</c:v>
                </c:pt>
                <c:pt idx="301">
                  <c:v>303.25788550275541</c:v>
                </c:pt>
                <c:pt idx="302">
                  <c:v>304.98916200541987</c:v>
                </c:pt>
                <c:pt idx="303">
                  <c:v>306.72244184696257</c:v>
                </c:pt>
                <c:pt idx="304">
                  <c:v>308.45762309656772</c:v>
                </c:pt>
                <c:pt idx="305">
                  <c:v>310.19460394087452</c:v>
                </c:pt>
                <c:pt idx="306">
                  <c:v>311.93328268589335</c:v>
                </c:pt>
                <c:pt idx="307">
                  <c:v>313.67355775888564</c:v>
                </c:pt>
                <c:pt idx="308">
                  <c:v>315.41532771020724</c:v>
                </c:pt>
                <c:pt idx="309">
                  <c:v>317.15849121511525</c:v>
                </c:pt>
                <c:pt idx="310">
                  <c:v>318.90294707553852</c:v>
                </c:pt>
                <c:pt idx="311">
                  <c:v>320.64859422181195</c:v>
                </c:pt>
                <c:pt idx="312">
                  <c:v>322.39533171437466</c:v>
                </c:pt>
                <c:pt idx="313">
                  <c:v>324.14305874543197</c:v>
                </c:pt>
                <c:pt idx="314">
                  <c:v>325.89167464058141</c:v>
                </c:pt>
                <c:pt idx="315">
                  <c:v>327.64107886040313</c:v>
                </c:pt>
                <c:pt idx="316">
                  <c:v>329.39117100201418</c:v>
                </c:pt>
                <c:pt idx="317">
                  <c:v>331.14185080058741</c:v>
                </c:pt>
                <c:pt idx="318">
                  <c:v>332.89301813083506</c:v>
                </c:pt>
                <c:pt idx="319">
                  <c:v>334.64457300845652</c:v>
                </c:pt>
                <c:pt idx="320">
                  <c:v>336.39641559155115</c:v>
                </c:pt>
                <c:pt idx="321">
                  <c:v>338.14845362128852</c:v>
                </c:pt>
                <c:pt idx="322">
                  <c:v>339.90060985226188</c:v>
                </c:pt>
                <c:pt idx="323">
                  <c:v>341.65281459222058</c:v>
                </c:pt>
                <c:pt idx="324">
                  <c:v>343.40499825170627</c:v>
                </c:pt>
                <c:pt idx="325">
                  <c:v>345.15709134461525</c:v>
                </c:pt>
                <c:pt idx="326">
                  <c:v>346.9090244887438</c:v>
                </c:pt>
                <c:pt idx="327">
                  <c:v>348.66072840631682</c:v>
                </c:pt>
                <c:pt idx="328">
                  <c:v>350.41213392450032</c:v>
                </c:pt>
                <c:pt idx="329">
                  <c:v>352.16317197589677</c:v>
                </c:pt>
                <c:pt idx="330">
                  <c:v>353.91377359902452</c:v>
                </c:pt>
                <c:pt idx="331">
                  <c:v>355.66386993878092</c:v>
                </c:pt>
                <c:pt idx="332">
                  <c:v>357.41339224688892</c:v>
                </c:pt>
                <c:pt idx="333">
                  <c:v>359.16227188232779</c:v>
                </c:pt>
                <c:pt idx="334">
                  <c:v>360.91044031174783</c:v>
                </c:pt>
                <c:pt idx="335">
                  <c:v>362.65782910986923</c:v>
                </c:pt>
                <c:pt idx="336">
                  <c:v>364.40436995986482</c:v>
                </c:pt>
                <c:pt idx="337">
                  <c:v>366.14999465372756</c:v>
                </c:pt>
                <c:pt idx="338">
                  <c:v>367.89463509262197</c:v>
                </c:pt>
                <c:pt idx="339">
                  <c:v>369.63822328722046</c:v>
                </c:pt>
                <c:pt idx="340">
                  <c:v>371.38069135802397</c:v>
                </c:pt>
                <c:pt idx="341">
                  <c:v>373.12197153566751</c:v>
                </c:pt>
                <c:pt idx="342">
                  <c:v>374.86199616121041</c:v>
                </c:pt>
                <c:pt idx="343">
                  <c:v>376.60069768641154</c:v>
                </c:pt>
                <c:pt idx="344">
                  <c:v>378.33800867398946</c:v>
                </c:pt>
                <c:pt idx="345">
                  <c:v>380.07386179786795</c:v>
                </c:pt>
                <c:pt idx="346">
                  <c:v>381.8081898434063</c:v>
                </c:pt>
                <c:pt idx="347">
                  <c:v>383.5409257076156</c:v>
                </c:pt>
                <c:pt idx="348">
                  <c:v>385.27200320080902</c:v>
                </c:pt>
                <c:pt idx="349">
                  <c:v>387.00135784684369</c:v>
                </c:pt>
                <c:pt idx="350">
                  <c:v>388.72892607903674</c:v>
                </c:pt>
                <c:pt idx="351">
                  <c:v>390.45464443744345</c:v>
                </c:pt>
                <c:pt idx="352">
                  <c:v>392.17844956896499</c:v>
                </c:pt>
                <c:pt idx="353">
                  <c:v>393.90027822744361</c:v>
                </c:pt>
                <c:pt idx="354">
                  <c:v>395.62006727374535</c:v>
                </c:pt>
                <c:pt idx="355">
                  <c:v>397.33775367583041</c:v>
                </c:pt>
                <c:pt idx="356">
                  <c:v>399.05327450881117</c:v>
                </c:pt>
                <c:pt idx="357">
                  <c:v>400.7665669549981</c:v>
                </c:pt>
                <c:pt idx="358">
                  <c:v>402.47756830393365</c:v>
                </c:pt>
                <c:pt idx="359">
                  <c:v>404.18621595241393</c:v>
                </c:pt>
                <c:pt idx="360">
                  <c:v>405.89246406555554</c:v>
                </c:pt>
                <c:pt idx="361">
                  <c:v>407.5963002068317</c:v>
                </c:pt>
                <c:pt idx="362">
                  <c:v>409.2977286161622</c:v>
                </c:pt>
                <c:pt idx="363">
                  <c:v>410.99675351905807</c:v>
                </c:pt>
                <c:pt idx="364">
                  <c:v>412.69337912668556</c:v>
                </c:pt>
                <c:pt idx="365">
                  <c:v>414.38760963592989</c:v>
                </c:pt>
                <c:pt idx="366">
                  <c:v>416.07944922945836</c:v>
                </c:pt>
                <c:pt idx="367">
                  <c:v>417.76890207578356</c:v>
                </c:pt>
                <c:pt idx="368">
                  <c:v>419.45597232932573</c:v>
                </c:pt>
                <c:pt idx="369">
                  <c:v>421.14066413047516</c:v>
                </c:pt>
                <c:pt idx="370">
                  <c:v>422.82298160565404</c:v>
                </c:pt>
                <c:pt idx="371">
                  <c:v>424.50292886737793</c:v>
                </c:pt>
                <c:pt idx="372">
                  <c:v>426.18051001431706</c:v>
                </c:pt>
                <c:pt idx="373">
                  <c:v>427.85572913135724</c:v>
                </c:pt>
                <c:pt idx="374">
                  <c:v>429.52859028966026</c:v>
                </c:pt>
                <c:pt idx="375">
                  <c:v>431.1990975467242</c:v>
                </c:pt>
                <c:pt idx="376">
                  <c:v>432.8672549464431</c:v>
                </c:pt>
                <c:pt idx="377">
                  <c:v>434.53306651916671</c:v>
                </c:pt>
                <c:pt idx="378">
                  <c:v>436.19653628175956</c:v>
                </c:pt>
                <c:pt idx="379">
                  <c:v>437.85766823765977</c:v>
                </c:pt>
                <c:pt idx="380">
                  <c:v>439.51646637693773</c:v>
                </c:pt>
                <c:pt idx="381">
                  <c:v>441.1729346763542</c:v>
                </c:pt>
                <c:pt idx="382">
                  <c:v>442.8270770994182</c:v>
                </c:pt>
                <c:pt idx="383">
                  <c:v>444.47889759644465</c:v>
                </c:pt>
                <c:pt idx="384">
                  <c:v>446.12840010461161</c:v>
                </c:pt>
                <c:pt idx="385">
                  <c:v>447.7755885480172</c:v>
                </c:pt>
                <c:pt idx="386">
                  <c:v>449.42046683773617</c:v>
                </c:pt>
                <c:pt idx="387">
                  <c:v>451.0630388718763</c:v>
                </c:pt>
                <c:pt idx="388">
                  <c:v>452.70330853563439</c:v>
                </c:pt>
                <c:pt idx="389">
                  <c:v>454.34127970135194</c:v>
                </c:pt>
                <c:pt idx="390">
                  <c:v>455.97695622857054</c:v>
                </c:pt>
                <c:pt idx="391">
                  <c:v>457.61034196408701</c:v>
                </c:pt>
                <c:pt idx="392">
                  <c:v>459.24144074200802</c:v>
                </c:pt>
                <c:pt idx="393">
                  <c:v>460.87025638380487</c:v>
                </c:pt>
                <c:pt idx="394">
                  <c:v>462.49679269836736</c:v>
                </c:pt>
                <c:pt idx="395">
                  <c:v>464.12105348205802</c:v>
                </c:pt>
                <c:pt idx="396">
                  <c:v>465.74304251876538</c:v>
                </c:pt>
                <c:pt idx="397">
                  <c:v>467.36276357995757</c:v>
                </c:pt>
                <c:pt idx="398">
                  <c:v>468.98022042473514</c:v>
                </c:pt>
                <c:pt idx="399">
                  <c:v>470.59541679988388</c:v>
                </c:pt>
                <c:pt idx="400">
                  <c:v>472.20835643992734</c:v>
                </c:pt>
                <c:pt idx="401">
                  <c:v>488.21392075178619</c:v>
                </c:pt>
                <c:pt idx="402">
                  <c:v>503.9962075022442</c:v>
                </c:pt>
                <c:pt idx="403">
                  <c:v>519.55883335046735</c:v>
                </c:pt>
                <c:pt idx="404">
                  <c:v>534.90529909920122</c:v>
                </c:pt>
                <c:pt idx="405">
                  <c:v>550.03899447088156</c:v>
                </c:pt>
                <c:pt idx="406">
                  <c:v>564.96320263534824</c:v>
                </c:pt>
                <c:pt idx="407">
                  <c:v>579.68110450454753</c:v>
                </c:pt>
                <c:pt idx="408">
                  <c:v>594.1957828085018</c:v>
                </c:pt>
                <c:pt idx="409">
                  <c:v>608.51022596581072</c:v>
                </c:pt>
                <c:pt idx="410">
                  <c:v>622.62733176101403</c:v>
                </c:pt>
                <c:pt idx="411">
                  <c:v>636.54991084028757</c:v>
                </c:pt>
                <c:pt idx="412">
                  <c:v>650.28069003615144</c:v>
                </c:pt>
                <c:pt idx="413">
                  <c:v>663.8223155311432</c:v>
                </c:pt>
                <c:pt idx="414">
                  <c:v>677.17735586973197</c:v>
                </c:pt>
                <c:pt idx="415">
                  <c:v>690.34830482713278</c:v>
                </c:pt>
                <c:pt idx="416">
                  <c:v>703.33758414310284</c:v>
                </c:pt>
                <c:pt idx="417">
                  <c:v>716.14754612827358</c:v>
                </c:pt>
                <c:pt idx="418">
                  <c:v>728.78047615007927</c:v>
                </c:pt>
                <c:pt idx="419">
                  <c:v>741.23859500488913</c:v>
                </c:pt>
                <c:pt idx="420">
                  <c:v>753.52406118252827</c:v>
                </c:pt>
                <c:pt idx="421">
                  <c:v>765.63897302898113</c:v>
                </c:pt>
                <c:pt idx="422">
                  <c:v>777.5853708127089</c:v>
                </c:pt>
                <c:pt idx="423">
                  <c:v>789.36523869967493</c:v>
                </c:pt>
                <c:pt idx="424">
                  <c:v>800.98050664185814</c:v>
                </c:pt>
                <c:pt idx="425">
                  <c:v>812.43305218374508</c:v>
                </c:pt>
                <c:pt idx="426">
                  <c:v>823.72470219101695</c:v>
                </c:pt>
                <c:pt idx="427">
                  <c:v>834.85723450539786</c:v>
                </c:pt>
                <c:pt idx="428">
                  <c:v>845.83237952939407</c:v>
                </c:pt>
                <c:pt idx="429">
                  <c:v>856.65182174443441</c:v>
                </c:pt>
                <c:pt idx="430">
                  <c:v>867.31720116571717</c:v>
                </c:pt>
                <c:pt idx="431">
                  <c:v>877.83011473687839</c:v>
                </c:pt>
                <c:pt idx="432">
                  <c:v>888.1921176674158</c:v>
                </c:pt>
                <c:pt idx="433">
                  <c:v>898.40472471563851</c:v>
                </c:pt>
                <c:pt idx="434">
                  <c:v>908.46941141975321</c:v>
                </c:pt>
                <c:pt idx="435">
                  <c:v>918.38761527955444</c:v>
                </c:pt>
                <c:pt idx="436">
                  <c:v>928.16073689104678</c:v>
                </c:pt>
                <c:pt idx="437">
                  <c:v>937.7901410362017</c:v>
                </c:pt>
                <c:pt idx="438">
                  <c:v>947.27715772992849</c:v>
                </c:pt>
                <c:pt idx="439">
                  <c:v>956.62308322622846</c:v>
                </c:pt>
                <c:pt idx="440">
                  <c:v>965.82918098539483</c:v>
                </c:pt>
                <c:pt idx="441">
                  <c:v>974.89668260402118</c:v>
                </c:pt>
                <c:pt idx="442">
                  <c:v>983.82678870948928</c:v>
                </c:pt>
                <c:pt idx="443">
                  <c:v>992.62066982051874</c:v>
                </c:pt>
                <c:pt idx="444">
                  <c:v>1001.2794671752787</c:v>
                </c:pt>
                <c:pt idx="445">
                  <c:v>1009.8042935284845</c:v>
                </c:pt>
                <c:pt idx="446">
                  <c:v>1018.1962339188302</c:v>
                </c:pt>
                <c:pt idx="447">
                  <c:v>1026.4563464080379</c:v>
                </c:pt>
                <c:pt idx="448">
                  <c:v>1034.5856627927419</c:v>
                </c:pt>
                <c:pt idx="449">
                  <c:v>1042.585189290365</c:v>
                </c:pt>
                <c:pt idx="450">
                  <c:v>1050.4559072000839</c:v>
                </c:pt>
                <c:pt idx="451">
                  <c:v>1058.1987735399327</c:v>
                </c:pt>
                <c:pt idx="452">
                  <c:v>1065.8147216610382</c:v>
                </c:pt>
                <c:pt idx="453">
                  <c:v>1073.3046618399326</c:v>
                </c:pt>
                <c:pt idx="454">
                  <c:v>1080.6694818498484</c:v>
                </c:pt>
                <c:pt idx="455">
                  <c:v>1087.9100475118535</c:v>
                </c:pt>
                <c:pt idx="456">
                  <c:v>1095.0272032266471</c:v>
                </c:pt>
                <c:pt idx="457">
                  <c:v>1102.0217724877971</c:v>
                </c:pt>
                <c:pt idx="458">
                  <c:v>1108.8945583771665</c:v>
                </c:pt>
                <c:pt idx="459">
                  <c:v>1115.6463440432422</c:v>
                </c:pt>
                <c:pt idx="460">
                  <c:v>1122.2778931630451</c:v>
                </c:pt>
                <c:pt idx="461">
                  <c:v>1128.7899503882766</c:v>
                </c:pt>
                <c:pt idx="462">
                  <c:v>1135.1832417763228</c:v>
                </c:pt>
                <c:pt idx="463">
                  <c:v>1141.4584752067151</c:v>
                </c:pt>
                <c:pt idx="464">
                  <c:v>1147.6163407836204</c:v>
                </c:pt>
                <c:pt idx="465">
                  <c:v>1153.6575112249111</c:v>
                </c:pt>
                <c:pt idx="466">
                  <c:v>1159.582642238342</c:v>
                </c:pt>
                <c:pt idx="467">
                  <c:v>1165.3923728853449</c:v>
                </c:pt>
                <c:pt idx="468">
                  <c:v>1171.0873259329292</c:v>
                </c:pt>
                <c:pt idx="469">
                  <c:v>1176.668108194162</c:v>
                </c:pt>
                <c:pt idx="470">
                  <c:v>1182.1353108576832</c:v>
                </c:pt>
                <c:pt idx="471">
                  <c:v>1187.4895098066997</c:v>
                </c:pt>
                <c:pt idx="472">
                  <c:v>1192.7312659278855</c:v>
                </c:pt>
                <c:pt idx="473">
                  <c:v>1197.8611254106061</c:v>
                </c:pt>
                <c:pt idx="474">
                  <c:v>1202.8796200368736</c:v>
                </c:pt>
                <c:pt idx="475">
                  <c:v>1207.7872674624291</c:v>
                </c:pt>
                <c:pt idx="476">
                  <c:v>1212.5845714893421</c:v>
                </c:pt>
                <c:pt idx="477">
                  <c:v>1217.2720223305091</c:v>
                </c:pt>
                <c:pt idx="478">
                  <c:v>1221.8500968664316</c:v>
                </c:pt>
                <c:pt idx="479">
                  <c:v>1226.3192588946447</c:v>
                </c:pt>
                <c:pt idx="480">
                  <c:v>1230.6799593721721</c:v>
                </c:pt>
                <c:pt idx="481">
                  <c:v>1234.9326366513778</c:v>
                </c:pt>
                <c:pt idx="482">
                  <c:v>1239.0777167095894</c:v>
                </c:pt>
                <c:pt idx="483">
                  <c:v>1243.11561337287</c:v>
                </c:pt>
                <c:pt idx="484">
                  <c:v>1247.0467285343223</c:v>
                </c:pt>
                <c:pt idx="485">
                  <c:v>1250.8714523673139</c:v>
                </c:pt>
                <c:pt idx="486">
                  <c:v>1254.5901635340258</c:v>
                </c:pt>
                <c:pt idx="487">
                  <c:v>1258.2032293897346</c:v>
                </c:pt>
                <c:pt idx="488">
                  <c:v>1261.7110061832559</c:v>
                </c:pt>
                <c:pt idx="489">
                  <c:v>1265.1138392539949</c:v>
                </c:pt>
                <c:pt idx="490">
                  <c:v>1268.4120632260685</c:v>
                </c:pt>
                <c:pt idx="491">
                  <c:v>1271.6060021999865</c:v>
                </c:pt>
                <c:pt idx="492">
                  <c:v>1274.6959699424087</c:v>
                </c:pt>
                <c:pt idx="493">
                  <c:v>1277.682270074524</c:v>
                </c:pt>
                <c:pt idx="494">
                  <c:v>1280.5651962596296</c:v>
                </c:pt>
                <c:pt idx="495">
                  <c:v>1283.3450323905274</c:v>
                </c:pt>
                <c:pt idx="496">
                  <c:v>1286.0220527773956</c:v>
                </c:pt>
                <c:pt idx="497">
                  <c:v>1288.5965223368362</c:v>
                </c:pt>
                <c:pt idx="498">
                  <c:v>1291.0686967828467</c:v>
                </c:pt>
                <c:pt idx="499">
                  <c:v>1293.4388228205157</c:v>
                </c:pt>
                <c:pt idx="500">
                  <c:v>1295.7071383432917</c:v>
                </c:pt>
                <c:pt idx="501">
                  <c:v>1297.8738726347278</c:v>
                </c:pt>
                <c:pt idx="502">
                  <c:v>1299.9392465756589</c:v>
                </c:pt>
                <c:pt idx="503">
                  <c:v>1301.9034728578172</c:v>
                </c:pt>
                <c:pt idx="504">
                  <c:v>1303.7667562049376</c:v>
                </c:pt>
                <c:pt idx="505">
                  <c:v>1305.5292936024475</c:v>
                </c:pt>
                <c:pt idx="506">
                  <c:v>1307.191274536862</c:v>
                </c:pt>
                <c:pt idx="507">
                  <c:v>1308.7528812460223</c:v>
                </c:pt>
                <c:pt idx="508">
                  <c:v>1310.2142889813167</c:v>
                </c:pt>
                <c:pt idx="509">
                  <c:v>1311.5756662829938</c:v>
                </c:pt>
                <c:pt idx="510">
                  <c:v>1312.8371752696298</c:v>
                </c:pt>
                <c:pt idx="511">
                  <c:v>1313.9989719427256</c:v>
                </c:pt>
                <c:pt idx="512">
                  <c:v>1315.0612065072837</c:v>
                </c:pt>
                <c:pt idx="513">
                  <c:v>1316.0240237090568</c:v>
                </c:pt>
                <c:pt idx="514">
                  <c:v>1316.8875631889418</c:v>
                </c:pt>
                <c:pt idx="515">
                  <c:v>1317.6519598547452</c:v>
                </c:pt>
                <c:pt idx="516">
                  <c:v>1318.3173442702391</c:v>
                </c:pt>
                <c:pt idx="517">
                  <c:v>1318.883843061087</c:v>
                </c:pt>
                <c:pt idx="518">
                  <c:v>1319.3515793368435</c:v>
                </c:pt>
                <c:pt idx="519">
                  <c:v>1319.7206731278304</c:v>
                </c:pt>
                <c:pt idx="520">
                  <c:v>1319.9912418352831</c:v>
                </c:pt>
                <c:pt idx="521">
                  <c:v>1320.1634006927657</c:v>
                </c:pt>
                <c:pt idx="522">
                  <c:v>1320.237263236472</c:v>
                </c:pt>
                <c:pt idx="523">
                  <c:v>1320.2129417817055</c:v>
                </c:pt>
                <c:pt idx="524">
                  <c:v>1320.0905479025639</c:v>
                </c:pt>
                <c:pt idx="525">
                  <c:v>1319.8701929116733</c:v>
                </c:pt>
                <c:pt idx="526">
                  <c:v>1319.5519883367128</c:v>
                </c:pt>
                <c:pt idx="527">
                  <c:v>1319.1360463904841</c:v>
                </c:pt>
                <c:pt idx="528">
                  <c:v>1318.6224804313656</c:v>
                </c:pt>
                <c:pt idx="529">
                  <c:v>1318.0114054111907</c:v>
                </c:pt>
                <c:pt idx="530">
                  <c:v>1317.3029383078526</c:v>
                </c:pt>
                <c:pt idx="531">
                  <c:v>1316.4971985402683</c:v>
                </c:pt>
                <c:pt idx="532">
                  <c:v>1315.5943083637164</c:v>
                </c:pt>
                <c:pt idx="533">
                  <c:v>1314.5943932439632</c:v>
                </c:pt>
                <c:pt idx="534">
                  <c:v>1313.4975822090043</c:v>
                </c:pt>
                <c:pt idx="535">
                  <c:v>1312.3040081776483</c:v>
                </c:pt>
                <c:pt idx="536">
                  <c:v>1311.0138082645458</c:v>
                </c:pt>
                <c:pt idx="537">
                  <c:v>1309.6271240616104</c:v>
                </c:pt>
                <c:pt idx="538">
                  <c:v>1308.1441018960766</c:v>
                </c:pt>
                <c:pt idx="539">
                  <c:v>1306.564893065691</c:v>
                </c:pt>
                <c:pt idx="540">
                  <c:v>1304.889654051743</c:v>
                </c:pt>
                <c:pt idx="541">
                  <c:v>1303.1185467107982</c:v>
                </c:pt>
                <c:pt idx="542">
                  <c:v>1301.2517384461125</c:v>
                </c:pt>
                <c:pt idx="543">
                  <c:v>1299.2894023597919</c:v>
                </c:pt>
                <c:pt idx="544">
                  <c:v>1297.2317173867962</c:v>
                </c:pt>
                <c:pt idx="545">
                  <c:v>1295.078868411915</c:v>
                </c:pt>
                <c:pt idx="546">
                  <c:v>1292.8310463708267</c:v>
                </c:pt>
                <c:pt idx="547">
                  <c:v>1290.4884483363373</c:v>
                </c:pt>
                <c:pt idx="548">
                  <c:v>1288.0512775908526</c:v>
                </c:pt>
                <c:pt idx="549">
                  <c:v>1285.5197436860915</c:v>
                </c:pt>
                <c:pt idx="550">
                  <c:v>1282.894062490996</c:v>
                </c:pt>
                <c:pt idx="551">
                  <c:v>1280.1744562287356</c:v>
                </c:pt>
                <c:pt idx="552">
                  <c:v>1277.3611535036405</c:v>
                </c:pt>
                <c:pt idx="553">
                  <c:v>1274.454389318845</c:v>
                </c:pt>
                <c:pt idx="554">
                  <c:v>1271.4544050853581</c:v>
                </c:pt>
                <c:pt idx="555">
                  <c:v>1268.3614486232268</c:v>
                </c:pt>
                <c:pt idx="556">
                  <c:v>1265.1757741553986</c:v>
                </c:pt>
                <c:pt idx="557">
                  <c:v>1261.8976422948456</c:v>
                </c:pt>
                <c:pt idx="558">
                  <c:v>1258.5273200254594</c:v>
                </c:pt>
                <c:pt idx="559">
                  <c:v>1255.0650806771871</c:v>
                </c:pt>
                <c:pt idx="560">
                  <c:v>1251.5112038958348</c:v>
                </c:pt>
                <c:pt idx="561">
                  <c:v>1247.8659756079307</c:v>
                </c:pt>
                <c:pt idx="562">
                  <c:v>1244.1296879810047</c:v>
                </c:pt>
                <c:pt idx="563">
                  <c:v>1240.3026393796104</c:v>
                </c:pt>
                <c:pt idx="564">
                  <c:v>1236.3851343173903</c:v>
                </c:pt>
                <c:pt idx="565">
                  <c:v>1232.3774834054564</c:v>
                </c:pt>
                <c:pt idx="566">
                  <c:v>1228.2800032973362</c:v>
                </c:pt>
                <c:pt idx="567">
                  <c:v>1224.0930166307187</c:v>
                </c:pt>
                <c:pt idx="568">
                  <c:v>1219.8168519662063</c:v>
                </c:pt>
                <c:pt idx="569">
                  <c:v>1215.4518437232739</c:v>
                </c:pt>
                <c:pt idx="570">
                  <c:v>1210.998332113611</c:v>
                </c:pt>
                <c:pt idx="571">
                  <c:v>1206.4566630720178</c:v>
                </c:pt>
                <c:pt idx="572">
                  <c:v>1201.8271881850067</c:v>
                </c:pt>
                <c:pt idx="573">
                  <c:v>1197.1102646172556</c:v>
                </c:pt>
                <c:pt idx="574">
                  <c:v>1192.3062550360476</c:v>
                </c:pt>
                <c:pt idx="575">
                  <c:v>1187.415527533821</c:v>
                </c:pt>
                <c:pt idx="576">
                  <c:v>1182.4384555489492</c:v>
                </c:pt>
                <c:pt idx="577">
                  <c:v>1177.3754177848596</c:v>
                </c:pt>
                <c:pt idx="578">
                  <c:v>1172.2267981275979</c:v>
                </c:pt>
                <c:pt idx="579">
                  <c:v>1166.992985561935</c:v>
                </c:pt>
                <c:pt idx="580">
                  <c:v>1161.6743740861091</c:v>
                </c:pt>
                <c:pt idx="581">
                  <c:v>1156.2713626252944</c:v>
                </c:pt>
                <c:pt idx="582">
                  <c:v>1150.7843549438783</c:v>
                </c:pt>
                <c:pt idx="583">
                  <c:v>1145.2137595566294</c:v>
                </c:pt>
                <c:pt idx="584">
                  <c:v>1139.5599896388323</c:v>
                </c:pt>
                <c:pt idx="585">
                  <c:v>1133.8234629354636</c:v>
                </c:pt>
                <c:pt idx="586">
                  <c:v>1128.0046016694803</c:v>
                </c:pt>
                <c:pt idx="587">
                  <c:v>1122.1038324492888</c:v>
                </c:pt>
                <c:pt idx="588">
                  <c:v>1116.1215861754604</c:v>
                </c:pt>
                <c:pt idx="589">
                  <c:v>1110.0582979467563</c:v>
                </c:pt>
                <c:pt idx="590">
                  <c:v>1103.9144069655254</c:v>
                </c:pt>
                <c:pt idx="591">
                  <c:v>1097.690356442532</c:v>
                </c:pt>
                <c:pt idx="592">
                  <c:v>1091.3865935012736</c:v>
                </c:pt>
                <c:pt idx="593">
                  <c:v>1085.0035690818434</c:v>
                </c:pt>
                <c:pt idx="594">
                  <c:v>1078.5417378443924</c:v>
                </c:pt>
                <c:pt idx="595">
                  <c:v>1072.0015580722459</c:v>
                </c:pt>
                <c:pt idx="596">
                  <c:v>1065.383491574722</c:v>
                </c:pt>
                <c:pt idx="597">
                  <c:v>1058.6880035897077</c:v>
                </c:pt>
                <c:pt idx="598">
                  <c:v>1051.915562686037</c:v>
                </c:pt>
                <c:pt idx="599">
                  <c:v>1045.0666406657222</c:v>
                </c:pt>
                <c:pt idx="600">
                  <c:v>1038.1417124660832</c:v>
                </c:pt>
                <c:pt idx="601">
                  <c:v>1031.1412560618223</c:v>
                </c:pt>
                <c:pt idx="602">
                  <c:v>1024.0657523670866</c:v>
                </c:pt>
                <c:pt idx="603">
                  <c:v>1016.9156851375631</c:v>
                </c:pt>
                <c:pt idx="604">
                  <c:v>1009.6915408726497</c:v>
                </c:pt>
                <c:pt idx="605">
                  <c:v>1002.3938087177424</c:v>
                </c:pt>
                <c:pt idx="606">
                  <c:v>995.02298036667867</c:v>
                </c:pt>
                <c:pt idx="607">
                  <c:v>987.57954996437832</c:v>
                </c:pt>
                <c:pt idx="608">
                  <c:v>980.06401400972015</c:v>
                </c:pt>
                <c:pt idx="609">
                  <c:v>972.47687125869118</c:v>
                </c:pt>
                <c:pt idx="610">
                  <c:v>964.81862262784591</c:v>
                </c:pt>
                <c:pt idx="611">
                  <c:v>957.08977109811235</c:v>
                </c:pt>
                <c:pt idx="612">
                  <c:v>949.29082161897873</c:v>
                </c:pt>
                <c:pt idx="613">
                  <c:v>941.42228101309604</c:v>
                </c:pt>
                <c:pt idx="614">
                  <c:v>933.48465788132899</c:v>
                </c:pt>
                <c:pt idx="615">
                  <c:v>925.47846250828911</c:v>
                </c:pt>
                <c:pt idx="616">
                  <c:v>917.40420676838028</c:v>
                </c:pt>
                <c:pt idx="617">
                  <c:v>909.26240403238842</c:v>
                </c:pt>
                <c:pt idx="618">
                  <c:v>901.05356907464534</c:v>
                </c:pt>
                <c:pt idx="619">
                  <c:v>892.77821798079526</c:v>
                </c:pt>
                <c:pt idx="620">
                  <c:v>884.43686805619302</c:v>
                </c:pt>
                <c:pt idx="621">
                  <c:v>876.03003773496141</c:v>
                </c:pt>
                <c:pt idx="622">
                  <c:v>867.55824648973328</c:v>
                </c:pt>
                <c:pt idx="623">
                  <c:v>859.02201474210619</c:v>
                </c:pt>
                <c:pt idx="624">
                  <c:v>850.42186377383246</c:v>
                </c:pt>
                <c:pt idx="625">
                  <c:v>841.75831563877045</c:v>
                </c:pt>
                <c:pt idx="626">
                  <c:v>833.03189307562002</c:v>
                </c:pt>
                <c:pt idx="627">
                  <c:v>824.24311942146414</c:v>
                </c:pt>
                <c:pt idx="628">
                  <c:v>815.39251852613938</c:v>
                </c:pt>
                <c:pt idx="629">
                  <c:v>806.4806146674556</c:v>
                </c:pt>
                <c:pt idx="630">
                  <c:v>797.50793246728517</c:v>
                </c:pt>
                <c:pt idx="631">
                  <c:v>788.47499680854162</c:v>
                </c:pt>
                <c:pt idx="632">
                  <c:v>779.3823327530655</c:v>
                </c:pt>
                <c:pt idx="633">
                  <c:v>770.23046546043577</c:v>
                </c:pt>
                <c:pt idx="634">
                  <c:v>761.01992010772392</c:v>
                </c:pt>
                <c:pt idx="635">
                  <c:v>751.75122181020663</c:v>
                </c:pt>
                <c:pt idx="636">
                  <c:v>742.4248955430528</c:v>
                </c:pt>
                <c:pt idx="637">
                  <c:v>733.04146606399991</c:v>
                </c:pt>
                <c:pt idx="638">
                  <c:v>723.60145783703319</c:v>
                </c:pt>
                <c:pt idx="639">
                  <c:v>714.10539495708099</c:v>
                </c:pt>
                <c:pt idx="640">
                  <c:v>704.55380107573967</c:v>
                </c:pt>
                <c:pt idx="641">
                  <c:v>694.9471993280381</c:v>
                </c:pt>
                <c:pt idx="642">
                  <c:v>685.28611226025521</c:v>
                </c:pt>
                <c:pt idx="643">
                  <c:v>675.57106175879846</c:v>
                </c:pt>
                <c:pt idx="644">
                  <c:v>665.80256898015466</c:v>
                </c:pt>
                <c:pt idx="645">
                  <c:v>655.98115428192136</c:v>
                </c:pt>
                <c:pt idx="646">
                  <c:v>646.10733715492745</c:v>
                </c:pt>
                <c:pt idx="647">
                  <c:v>636.18163615644949</c:v>
                </c:pt>
                <c:pt idx="648">
                  <c:v>626.20456884453267</c:v>
                </c:pt>
                <c:pt idx="649">
                  <c:v>616.17665171342037</c:v>
                </c:pt>
                <c:pt idx="650">
                  <c:v>606.09840013009989</c:v>
                </c:pt>
                <c:pt idx="651">
                  <c:v>595.97032827196779</c:v>
                </c:pt>
                <c:pt idx="652">
                  <c:v>585.79294906562029</c:v>
                </c:pt>
                <c:pt idx="653">
                  <c:v>575.56677412677186</c:v>
                </c:pt>
                <c:pt idx="654">
                  <c:v>565.29231370130515</c:v>
                </c:pt>
                <c:pt idx="655">
                  <c:v>554.97007660745453</c:v>
                </c:pt>
                <c:pt idx="656">
                  <c:v>544.60057017912629</c:v>
                </c:pt>
                <c:pt idx="657">
                  <c:v>534.18430021035533</c:v>
                </c:pt>
                <c:pt idx="658">
                  <c:v>523.72177090089986</c:v>
                </c:pt>
                <c:pt idx="659">
                  <c:v>513.21348480297468</c:v>
                </c:pt>
                <c:pt idx="660">
                  <c:v>502.6599427691217</c:v>
                </c:pt>
                <c:pt idx="661">
                  <c:v>492.06164390121825</c:v>
                </c:pt>
                <c:pt idx="662">
                  <c:v>481.41908550062038</c:v>
                </c:pt>
                <c:pt idx="663">
                  <c:v>470.73276301944031</c:v>
                </c:pt>
                <c:pt idx="664">
                  <c:v>460.0031700129552</c:v>
                </c:pt>
                <c:pt idx="665">
                  <c:v>449.23079809314447</c:v>
                </c:pt>
                <c:pt idx="666">
                  <c:v>438.41613688335275</c:v>
                </c:pt>
                <c:pt idx="667">
                  <c:v>427.55967397407369</c:v>
                </c:pt>
                <c:pt idx="668">
                  <c:v>416.66189487985179</c:v>
                </c:pt>
                <c:pt idx="669">
                  <c:v>405.72328299729645</c:v>
                </c:pt>
                <c:pt idx="670">
                  <c:v>394.74431956420392</c:v>
                </c:pt>
                <c:pt idx="671">
                  <c:v>383.72548361978119</c:v>
                </c:pt>
                <c:pt idx="672">
                  <c:v>372.66725196596633</c:v>
                </c:pt>
                <c:pt idx="673">
                  <c:v>361.57009912983887</c:v>
                </c:pt>
                <c:pt idx="674">
                  <c:v>350.43449732711355</c:v>
                </c:pt>
                <c:pt idx="675">
                  <c:v>339.26091642671065</c:v>
                </c:pt>
                <c:pt idx="676">
                  <c:v>328.04982391639561</c:v>
                </c:pt>
                <c:pt idx="677">
                  <c:v>316.80168486947986</c:v>
                </c:pt>
                <c:pt idx="678">
                  <c:v>305.51696191257548</c:v>
                </c:pt>
                <c:pt idx="679">
                  <c:v>294.19611519439513</c:v>
                </c:pt>
                <c:pt idx="680">
                  <c:v>282.83960235558845</c:v>
                </c:pt>
                <c:pt idx="681">
                  <c:v>271.44787849960682</c:v>
                </c:pt>
                <c:pt idx="682">
                  <c:v>260.02139616458629</c:v>
                </c:pt>
                <c:pt idx="683">
                  <c:v>248.56060529624028</c:v>
                </c:pt>
                <c:pt idx="684">
                  <c:v>237.06595322175184</c:v>
                </c:pt>
                <c:pt idx="685">
                  <c:v>225.53788462465559</c:v>
                </c:pt>
                <c:pt idx="686">
                  <c:v>213.97684152069965</c:v>
                </c:pt>
                <c:pt idx="687">
                  <c:v>202.38326323467678</c:v>
                </c:pt>
                <c:pt idx="688">
                  <c:v>190.75758637821437</c:v>
                </c:pt>
                <c:pt idx="689">
                  <c:v>179.1002448285127</c:v>
                </c:pt>
                <c:pt idx="690">
                  <c:v>167.41166970802036</c:v>
                </c:pt>
                <c:pt idx="691">
                  <c:v>155.69228936503575</c:v>
                </c:pt>
                <c:pt idx="692">
                  <c:v>143.94252935522363</c:v>
                </c:pt>
                <c:pt idx="693">
                  <c:v>132.16281242403505</c:v>
                </c:pt>
                <c:pt idx="694">
                  <c:v>120.35355849001941</c:v>
                </c:pt>
                <c:pt idx="695">
                  <c:v>108.51518462901662</c:v>
                </c:pt>
                <c:pt idx="696">
                  <c:v>96.648105059217926</c:v>
                </c:pt>
                <c:pt idx="697">
                  <c:v>84.75273112708328</c:v>
                </c:pt>
                <c:pt idx="698">
                  <c:v>72.829471294103314</c:v>
                </c:pt>
                <c:pt idx="699">
                  <c:v>60.878731124393774</c:v>
                </c:pt>
                <c:pt idx="700">
                  <c:v>48.900913273110248</c:v>
                </c:pt>
                <c:pt idx="701">
                  <c:v>36.896417475670944</c:v>
                </c:pt>
                <c:pt idx="702">
                  <c:v>24.865640537775135</c:v>
                </c:pt>
                <c:pt idx="703">
                  <c:v>12.808976326204872</c:v>
                </c:pt>
                <c:pt idx="704">
                  <c:v>0.72681576039756912</c:v>
                </c:pt>
                <c:pt idx="705">
                  <c:v>-11.380453195223096</c:v>
                </c:pt>
                <c:pt idx="706">
                  <c:v>-11.392572934018164</c:v>
                </c:pt>
                <c:pt idx="707">
                  <c:v>-11.404692697344668</c:v>
                </c:pt>
                <c:pt idx="708">
                  <c:v>-11.416812485202231</c:v>
                </c:pt>
                <c:pt idx="709">
                  <c:v>-11.428932297590471</c:v>
                </c:pt>
                <c:pt idx="710">
                  <c:v>-11.441052134509011</c:v>
                </c:pt>
                <c:pt idx="711">
                  <c:v>-11.453171995957469</c:v>
                </c:pt>
                <c:pt idx="712">
                  <c:v>-11.465291881935466</c:v>
                </c:pt>
                <c:pt idx="713">
                  <c:v>-11.477411792442622</c:v>
                </c:pt>
                <c:pt idx="714">
                  <c:v>-11.489531727478557</c:v>
                </c:pt>
                <c:pt idx="715">
                  <c:v>-11.501651687042893</c:v>
                </c:pt>
                <c:pt idx="716">
                  <c:v>-11.513771671135247</c:v>
                </c:pt>
                <c:pt idx="717">
                  <c:v>-11.525891679755242</c:v>
                </c:pt>
                <c:pt idx="718">
                  <c:v>-11.538011712902499</c:v>
                </c:pt>
                <c:pt idx="719">
                  <c:v>-11.550131770576636</c:v>
                </c:pt>
                <c:pt idx="720">
                  <c:v>-11.562251852777274</c:v>
                </c:pt>
                <c:pt idx="721">
                  <c:v>-11.574371959504035</c:v>
                </c:pt>
                <c:pt idx="722">
                  <c:v>-11.586492090756536</c:v>
                </c:pt>
                <c:pt idx="723">
                  <c:v>-11.598612246534399</c:v>
                </c:pt>
                <c:pt idx="724">
                  <c:v>-11.610732426837245</c:v>
                </c:pt>
                <c:pt idx="725">
                  <c:v>-11.622852631664694</c:v>
                </c:pt>
                <c:pt idx="726">
                  <c:v>-11.634972861016365</c:v>
                </c:pt>
                <c:pt idx="727">
                  <c:v>-11.647093114891881</c:v>
                </c:pt>
                <c:pt idx="728">
                  <c:v>-11.659213393290859</c:v>
                </c:pt>
                <c:pt idx="729">
                  <c:v>-11.671333696212921</c:v>
                </c:pt>
                <c:pt idx="730">
                  <c:v>-11.683454023657688</c:v>
                </c:pt>
                <c:pt idx="731">
                  <c:v>-11.69557437562478</c:v>
                </c:pt>
                <c:pt idx="732">
                  <c:v>-11.707694752113817</c:v>
                </c:pt>
                <c:pt idx="733">
                  <c:v>-11.719815153124419</c:v>
                </c:pt>
                <c:pt idx="734">
                  <c:v>-11.731935578656207</c:v>
                </c:pt>
                <c:pt idx="735">
                  <c:v>-11.744056028708801</c:v>
                </c:pt>
                <c:pt idx="736">
                  <c:v>-11.756176503281822</c:v>
                </c:pt>
                <c:pt idx="737">
                  <c:v>-11.768297002374888</c:v>
                </c:pt>
                <c:pt idx="738">
                  <c:v>-11.780417525987623</c:v>
                </c:pt>
                <c:pt idx="739">
                  <c:v>-11.792538074119644</c:v>
                </c:pt>
                <c:pt idx="740">
                  <c:v>-11.804658646770573</c:v>
                </c:pt>
                <c:pt idx="741">
                  <c:v>-11.816779243940031</c:v>
                </c:pt>
                <c:pt idx="742">
                  <c:v>-11.828899865627637</c:v>
                </c:pt>
                <c:pt idx="743">
                  <c:v>-11.841020511833012</c:v>
                </c:pt>
                <c:pt idx="744">
                  <c:v>-11.853141182555776</c:v>
                </c:pt>
                <c:pt idx="745">
                  <c:v>-11.86526187779555</c:v>
                </c:pt>
                <c:pt idx="746">
                  <c:v>-11.877382597551955</c:v>
                </c:pt>
                <c:pt idx="747">
                  <c:v>-11.889503341824611</c:v>
                </c:pt>
                <c:pt idx="748">
                  <c:v>-11.901624110613136</c:v>
                </c:pt>
                <c:pt idx="749">
                  <c:v>-11.913744903917154</c:v>
                </c:pt>
                <c:pt idx="750">
                  <c:v>-11.925865721736281</c:v>
                </c:pt>
                <c:pt idx="751">
                  <c:v>-11.937986564070142</c:v>
                </c:pt>
                <c:pt idx="752">
                  <c:v>-11.950107430918354</c:v>
                </c:pt>
                <c:pt idx="753">
                  <c:v>-11.96222832228054</c:v>
                </c:pt>
                <c:pt idx="754">
                  <c:v>-11.974349238156318</c:v>
                </c:pt>
                <c:pt idx="755">
                  <c:v>-11.986470178545311</c:v>
                </c:pt>
                <c:pt idx="756">
                  <c:v>-11.998591143447136</c:v>
                </c:pt>
                <c:pt idx="757">
                  <c:v>-12.010712132861416</c:v>
                </c:pt>
                <c:pt idx="758">
                  <c:v>-12.022833146787772</c:v>
                </c:pt>
                <c:pt idx="759">
                  <c:v>-12.034954185225821</c:v>
                </c:pt>
                <c:pt idx="760">
                  <c:v>-12.047075248175187</c:v>
                </c:pt>
                <c:pt idx="761">
                  <c:v>-12.059196335635489</c:v>
                </c:pt>
                <c:pt idx="762">
                  <c:v>-12.071317447606347</c:v>
                </c:pt>
                <c:pt idx="763">
                  <c:v>-12.083438584087382</c:v>
                </c:pt>
                <c:pt idx="764">
                  <c:v>-12.095559745078216</c:v>
                </c:pt>
                <c:pt idx="765">
                  <c:v>-12.107680930578466</c:v>
                </c:pt>
                <c:pt idx="766">
                  <c:v>-12.119802140587755</c:v>
                </c:pt>
                <c:pt idx="767">
                  <c:v>-12.131923375105702</c:v>
                </c:pt>
                <c:pt idx="768">
                  <c:v>-12.144044634131928</c:v>
                </c:pt>
                <c:pt idx="769">
                  <c:v>-12.156165917666055</c:v>
                </c:pt>
                <c:pt idx="770">
                  <c:v>-12.168287225707701</c:v>
                </c:pt>
                <c:pt idx="771">
                  <c:v>-12.180408558256486</c:v>
                </c:pt>
                <c:pt idx="772">
                  <c:v>-12.192529915312033</c:v>
                </c:pt>
                <c:pt idx="773">
                  <c:v>-12.204651296873962</c:v>
                </c:pt>
                <c:pt idx="774">
                  <c:v>-12.216772702941892</c:v>
                </c:pt>
                <c:pt idx="775">
                  <c:v>-12.228894133515444</c:v>
                </c:pt>
                <c:pt idx="776">
                  <c:v>-12.241015588594239</c:v>
                </c:pt>
                <c:pt idx="777">
                  <c:v>-12.253137068177898</c:v>
                </c:pt>
                <c:pt idx="778">
                  <c:v>-12.26525857226604</c:v>
                </c:pt>
                <c:pt idx="779">
                  <c:v>-12.277380100858286</c:v>
                </c:pt>
                <c:pt idx="780">
                  <c:v>-12.289501653954257</c:v>
                </c:pt>
                <c:pt idx="781">
                  <c:v>-12.301623231553574</c:v>
                </c:pt>
                <c:pt idx="782">
                  <c:v>-12.313744833655855</c:v>
                </c:pt>
                <c:pt idx="783">
                  <c:v>-12.325866460260723</c:v>
                </c:pt>
                <c:pt idx="784">
                  <c:v>-12.337988111367798</c:v>
                </c:pt>
                <c:pt idx="785">
                  <c:v>-12.350109786976699</c:v>
                </c:pt>
                <c:pt idx="786">
                  <c:v>-12.362231487087048</c:v>
                </c:pt>
                <c:pt idx="787">
                  <c:v>-12.374353211698464</c:v>
                </c:pt>
                <c:pt idx="788">
                  <c:v>-12.386474960810569</c:v>
                </c:pt>
                <c:pt idx="789">
                  <c:v>-12.398596734422982</c:v>
                </c:pt>
                <c:pt idx="790">
                  <c:v>-12.410718532535325</c:v>
                </c:pt>
                <c:pt idx="791">
                  <c:v>-12.422840355147219</c:v>
                </c:pt>
                <c:pt idx="792">
                  <c:v>-12.434962202258284</c:v>
                </c:pt>
                <c:pt idx="793">
                  <c:v>-12.447084073868139</c:v>
                </c:pt>
                <c:pt idx="794">
                  <c:v>-12.459205969976406</c:v>
                </c:pt>
                <c:pt idx="795">
                  <c:v>-12.471327890582705</c:v>
                </c:pt>
                <c:pt idx="796">
                  <c:v>-12.483449835686656</c:v>
                </c:pt>
                <c:pt idx="797">
                  <c:v>-12.495571805287881</c:v>
                </c:pt>
                <c:pt idx="798">
                  <c:v>-12.507693799385999</c:v>
                </c:pt>
                <c:pt idx="799">
                  <c:v>-12.519815817980632</c:v>
                </c:pt>
                <c:pt idx="800">
                  <c:v>-12.5319378610714</c:v>
                </c:pt>
                <c:pt idx="801">
                  <c:v>-12.544059928657923</c:v>
                </c:pt>
                <c:pt idx="802">
                  <c:v>-12.556182020739822</c:v>
                </c:pt>
                <c:pt idx="803">
                  <c:v>-12.568304137316717</c:v>
                </c:pt>
                <c:pt idx="804">
                  <c:v>-12.580426278388229</c:v>
                </c:pt>
                <c:pt idx="805">
                  <c:v>-12.592548443953978</c:v>
                </c:pt>
                <c:pt idx="806">
                  <c:v>-12.604670634013585</c:v>
                </c:pt>
                <c:pt idx="807">
                  <c:v>-12.616792848566671</c:v>
                </c:pt>
                <c:pt idx="808">
                  <c:v>-12.628915087612857</c:v>
                </c:pt>
                <c:pt idx="809">
                  <c:v>-12.641037351151761</c:v>
                </c:pt>
                <c:pt idx="810">
                  <c:v>-12.653159639183006</c:v>
                </c:pt>
                <c:pt idx="811">
                  <c:v>-12.665281951706211</c:v>
                </c:pt>
                <c:pt idx="812">
                  <c:v>-12.677404288720998</c:v>
                </c:pt>
                <c:pt idx="813">
                  <c:v>-12.689526650226988</c:v>
                </c:pt>
                <c:pt idx="814">
                  <c:v>-12.701649036223799</c:v>
                </c:pt>
                <c:pt idx="815">
                  <c:v>-12.713771446711053</c:v>
                </c:pt>
                <c:pt idx="816">
                  <c:v>-12.725893881688373</c:v>
                </c:pt>
                <c:pt idx="817">
                  <c:v>-12.738016341155376</c:v>
                </c:pt>
                <c:pt idx="818">
                  <c:v>-12.750138825111684</c:v>
                </c:pt>
                <c:pt idx="819">
                  <c:v>-12.762261333556918</c:v>
                </c:pt>
                <c:pt idx="820">
                  <c:v>-12.774383866490698</c:v>
                </c:pt>
                <c:pt idx="821">
                  <c:v>-12.786506423912645</c:v>
                </c:pt>
                <c:pt idx="822">
                  <c:v>-12.798629005822379</c:v>
                </c:pt>
                <c:pt idx="823">
                  <c:v>-12.810751612219521</c:v>
                </c:pt>
                <c:pt idx="824">
                  <c:v>-12.822874243103691</c:v>
                </c:pt>
                <c:pt idx="825">
                  <c:v>-12.834996898474509</c:v>
                </c:pt>
                <c:pt idx="826">
                  <c:v>-12.847119578331599</c:v>
                </c:pt>
                <c:pt idx="827">
                  <c:v>-12.859242282674579</c:v>
                </c:pt>
                <c:pt idx="828">
                  <c:v>-12.87136501150307</c:v>
                </c:pt>
                <c:pt idx="829">
                  <c:v>-12.883487764816691</c:v>
                </c:pt>
                <c:pt idx="830">
                  <c:v>-12.895610542615065</c:v>
                </c:pt>
                <c:pt idx="831">
                  <c:v>-12.907733344897812</c:v>
                </c:pt>
                <c:pt idx="832">
                  <c:v>-12.919856171664552</c:v>
                </c:pt>
                <c:pt idx="833">
                  <c:v>-12.931979022914906</c:v>
                </c:pt>
                <c:pt idx="834">
                  <c:v>-12.944101898648494</c:v>
                </c:pt>
                <c:pt idx="835">
                  <c:v>-12.956224798864939</c:v>
                </c:pt>
                <c:pt idx="836">
                  <c:v>-12.968347723563859</c:v>
                </c:pt>
                <c:pt idx="837">
                  <c:v>-12.980470672744877</c:v>
                </c:pt>
                <c:pt idx="838">
                  <c:v>-12.992593646407611</c:v>
                </c:pt>
                <c:pt idx="839">
                  <c:v>-13.004716644551683</c:v>
                </c:pt>
                <c:pt idx="840">
                  <c:v>-13.016839667176715</c:v>
                </c:pt>
                <c:pt idx="841">
                  <c:v>-13.028962714282326</c:v>
                </c:pt>
                <c:pt idx="842">
                  <c:v>-13.041085785868136</c:v>
                </c:pt>
                <c:pt idx="843">
                  <c:v>-13.053208881933767</c:v>
                </c:pt>
                <c:pt idx="844">
                  <c:v>-13.065332002478838</c:v>
                </c:pt>
                <c:pt idx="845">
                  <c:v>-13.077455147502972</c:v>
                </c:pt>
                <c:pt idx="846">
                  <c:v>-13.089578317005788</c:v>
                </c:pt>
                <c:pt idx="847">
                  <c:v>-13.101701510986908</c:v>
                </c:pt>
                <c:pt idx="848">
                  <c:v>-13.113824729445952</c:v>
                </c:pt>
                <c:pt idx="849">
                  <c:v>-13.125947972382541</c:v>
                </c:pt>
                <c:pt idx="850">
                  <c:v>-13.138071239796295</c:v>
                </c:pt>
                <c:pt idx="851">
                  <c:v>-13.150194531686834</c:v>
                </c:pt>
                <c:pt idx="852">
                  <c:v>-13.16231784805378</c:v>
                </c:pt>
                <c:pt idx="853">
                  <c:v>-13.174441188896754</c:v>
                </c:pt>
                <c:pt idx="854">
                  <c:v>-13.186564554215376</c:v>
                </c:pt>
                <c:pt idx="855">
                  <c:v>-13.198687944009267</c:v>
                </c:pt>
                <c:pt idx="856">
                  <c:v>-13.210811358278047</c:v>
                </c:pt>
                <c:pt idx="857">
                  <c:v>-13.222934797021336</c:v>
                </c:pt>
                <c:pt idx="858">
                  <c:v>-13.235058260238757</c:v>
                </c:pt>
                <c:pt idx="859">
                  <c:v>-13.247181747929929</c:v>
                </c:pt>
                <c:pt idx="860">
                  <c:v>-13.259305260094473</c:v>
                </c:pt>
                <c:pt idx="861">
                  <c:v>-13.27142879673201</c:v>
                </c:pt>
                <c:pt idx="862">
                  <c:v>-13.283552357842161</c:v>
                </c:pt>
                <c:pt idx="863">
                  <c:v>-13.295675943424547</c:v>
                </c:pt>
                <c:pt idx="864">
                  <c:v>-13.307799553478787</c:v>
                </c:pt>
                <c:pt idx="865">
                  <c:v>-13.319923188004504</c:v>
                </c:pt>
                <c:pt idx="866">
                  <c:v>-13.332046847001317</c:v>
                </c:pt>
                <c:pt idx="867">
                  <c:v>-13.344170530468848</c:v>
                </c:pt>
                <c:pt idx="868">
                  <c:v>-13.356294238406717</c:v>
                </c:pt>
                <c:pt idx="869">
                  <c:v>-13.368417970814544</c:v>
                </c:pt>
                <c:pt idx="870">
                  <c:v>-13.380541727691952</c:v>
                </c:pt>
                <c:pt idx="871">
                  <c:v>-13.39266550903856</c:v>
                </c:pt>
                <c:pt idx="872">
                  <c:v>-13.404789314853989</c:v>
                </c:pt>
                <c:pt idx="873">
                  <c:v>-13.41691314513786</c:v>
                </c:pt>
                <c:pt idx="874">
                  <c:v>-13.429036999889794</c:v>
                </c:pt>
                <c:pt idx="875">
                  <c:v>-13.441160879109411</c:v>
                </c:pt>
                <c:pt idx="876">
                  <c:v>-13.453284782796331</c:v>
                </c:pt>
                <c:pt idx="877">
                  <c:v>-13.465408710950177</c:v>
                </c:pt>
                <c:pt idx="878">
                  <c:v>-13.477532663570567</c:v>
                </c:pt>
                <c:pt idx="879">
                  <c:v>-13.489656640657126</c:v>
                </c:pt>
                <c:pt idx="880">
                  <c:v>-13.50178064220947</c:v>
                </c:pt>
                <c:pt idx="881">
                  <c:v>-13.513904668227223</c:v>
                </c:pt>
                <c:pt idx="882">
                  <c:v>-13.526028718710004</c:v>
                </c:pt>
                <c:pt idx="883">
                  <c:v>-13.538152793657435</c:v>
                </c:pt>
                <c:pt idx="884">
                  <c:v>-13.550276893069135</c:v>
                </c:pt>
                <c:pt idx="885">
                  <c:v>-13.562401016944728</c:v>
                </c:pt>
                <c:pt idx="886">
                  <c:v>-13.574525165283832</c:v>
                </c:pt>
                <c:pt idx="887">
                  <c:v>-13.586649338086069</c:v>
                </c:pt>
                <c:pt idx="888">
                  <c:v>-13.598773535351059</c:v>
                </c:pt>
                <c:pt idx="889">
                  <c:v>-13.610897757078423</c:v>
                </c:pt>
                <c:pt idx="890">
                  <c:v>-13.623022003267781</c:v>
                </c:pt>
                <c:pt idx="891">
                  <c:v>-13.635146273918757</c:v>
                </c:pt>
                <c:pt idx="892">
                  <c:v>-13.647270569030969</c:v>
                </c:pt>
                <c:pt idx="893">
                  <c:v>-13.659394888604037</c:v>
                </c:pt>
                <c:pt idx="894">
                  <c:v>-13.671519232637584</c:v>
                </c:pt>
                <c:pt idx="895">
                  <c:v>-13.68364360113123</c:v>
                </c:pt>
                <c:pt idx="896">
                  <c:v>-13.695767994084596</c:v>
                </c:pt>
                <c:pt idx="897">
                  <c:v>-13.707892411497303</c:v>
                </c:pt>
                <c:pt idx="898">
                  <c:v>-13.720016853368971</c:v>
                </c:pt>
                <c:pt idx="899">
                  <c:v>-13.732141319699222</c:v>
                </c:pt>
                <c:pt idx="900">
                  <c:v>-13.744265810487676</c:v>
                </c:pt>
                <c:pt idx="901">
                  <c:v>-13.756390325733953</c:v>
                </c:pt>
                <c:pt idx="902">
                  <c:v>-13.768514865437677</c:v>
                </c:pt>
                <c:pt idx="903">
                  <c:v>-13.780639429598466</c:v>
                </c:pt>
                <c:pt idx="904">
                  <c:v>-13.792764018215941</c:v>
                </c:pt>
                <c:pt idx="905">
                  <c:v>-13.804888631289723</c:v>
                </c:pt>
                <c:pt idx="906">
                  <c:v>-13.817013268819434</c:v>
                </c:pt>
                <c:pt idx="907">
                  <c:v>-13.829137930804693</c:v>
                </c:pt>
                <c:pt idx="908">
                  <c:v>-13.841262617245123</c:v>
                </c:pt>
                <c:pt idx="909">
                  <c:v>-13.853387328140343</c:v>
                </c:pt>
                <c:pt idx="910">
                  <c:v>-13.865512063489975</c:v>
                </c:pt>
                <c:pt idx="911">
                  <c:v>-13.87763682329364</c:v>
                </c:pt>
                <c:pt idx="912">
                  <c:v>-13.889761607550959</c:v>
                </c:pt>
                <c:pt idx="913">
                  <c:v>-13.901886416261551</c:v>
                </c:pt>
                <c:pt idx="914">
                  <c:v>-13.914011249425039</c:v>
                </c:pt>
                <c:pt idx="915">
                  <c:v>-13.926136107041042</c:v>
                </c:pt>
                <c:pt idx="916">
                  <c:v>-13.938260989109184</c:v>
                </c:pt>
                <c:pt idx="917">
                  <c:v>-13.950385895629083</c:v>
                </c:pt>
                <c:pt idx="918">
                  <c:v>-13.96251082660036</c:v>
                </c:pt>
                <c:pt idx="919">
                  <c:v>-13.974635782022636</c:v>
                </c:pt>
                <c:pt idx="920">
                  <c:v>-13.986760761895534</c:v>
                </c:pt>
                <c:pt idx="921">
                  <c:v>-13.998885766218672</c:v>
                </c:pt>
                <c:pt idx="922">
                  <c:v>-14.011010794991673</c:v>
                </c:pt>
                <c:pt idx="923">
                  <c:v>-14.023135848214157</c:v>
                </c:pt>
                <c:pt idx="924">
                  <c:v>-14.035260925885744</c:v>
                </c:pt>
                <c:pt idx="925">
                  <c:v>-14.047386028006056</c:v>
                </c:pt>
                <c:pt idx="926">
                  <c:v>-14.059511154574714</c:v>
                </c:pt>
                <c:pt idx="927">
                  <c:v>-14.071636305591339</c:v>
                </c:pt>
                <c:pt idx="928">
                  <c:v>-14.083761481055552</c:v>
                </c:pt>
                <c:pt idx="929">
                  <c:v>-14.095886680966974</c:v>
                </c:pt>
                <c:pt idx="930">
                  <c:v>-14.108011905325224</c:v>
                </c:pt>
                <c:pt idx="931">
                  <c:v>-14.120137154129925</c:v>
                </c:pt>
                <c:pt idx="932">
                  <c:v>-14.132262427380697</c:v>
                </c:pt>
                <c:pt idx="933">
                  <c:v>-14.144387725077161</c:v>
                </c:pt>
                <c:pt idx="934">
                  <c:v>-14.156513047218938</c:v>
                </c:pt>
                <c:pt idx="935">
                  <c:v>-14.168638393805651</c:v>
                </c:pt>
                <c:pt idx="936">
                  <c:v>-14.180763764836918</c:v>
                </c:pt>
                <c:pt idx="937">
                  <c:v>-14.19288916031236</c:v>
                </c:pt>
                <c:pt idx="938">
                  <c:v>-14.2050145802316</c:v>
                </c:pt>
                <c:pt idx="939">
                  <c:v>-14.217140024594258</c:v>
                </c:pt>
                <c:pt idx="940">
                  <c:v>-14.229265493399954</c:v>
                </c:pt>
                <c:pt idx="941">
                  <c:v>-14.241390986648309</c:v>
                </c:pt>
                <c:pt idx="942">
                  <c:v>-14.253516504338945</c:v>
                </c:pt>
                <c:pt idx="943">
                  <c:v>-14.265642046471484</c:v>
                </c:pt>
                <c:pt idx="944">
                  <c:v>-14.277767613045546</c:v>
                </c:pt>
                <c:pt idx="945">
                  <c:v>-14.28989320406075</c:v>
                </c:pt>
                <c:pt idx="946">
                  <c:v>-14.30201881951672</c:v>
                </c:pt>
                <c:pt idx="947">
                  <c:v>-14.314144459413075</c:v>
                </c:pt>
                <c:pt idx="948">
                  <c:v>-14.326270123749437</c:v>
                </c:pt>
                <c:pt idx="949">
                  <c:v>-14.338395812525425</c:v>
                </c:pt>
                <c:pt idx="950">
                  <c:v>-14.350521525740662</c:v>
                </c:pt>
                <c:pt idx="951">
                  <c:v>-14.362647263394768</c:v>
                </c:pt>
                <c:pt idx="952">
                  <c:v>-14.374773025487364</c:v>
                </c:pt>
                <c:pt idx="953">
                  <c:v>-14.386898812018073</c:v>
                </c:pt>
                <c:pt idx="954">
                  <c:v>-14.399024622986513</c:v>
                </c:pt>
                <c:pt idx="955">
                  <c:v>-14.411150458392306</c:v>
                </c:pt>
                <c:pt idx="956">
                  <c:v>-14.423276318235075</c:v>
                </c:pt>
                <c:pt idx="957">
                  <c:v>-14.435402202514439</c:v>
                </c:pt>
                <c:pt idx="958">
                  <c:v>-14.447528111230019</c:v>
                </c:pt>
                <c:pt idx="959">
                  <c:v>-14.459654044381438</c:v>
                </c:pt>
                <c:pt idx="960">
                  <c:v>-14.471780001968314</c:v>
                </c:pt>
                <c:pt idx="961">
                  <c:v>-14.483905983990269</c:v>
                </c:pt>
                <c:pt idx="962">
                  <c:v>-14.496031990446925</c:v>
                </c:pt>
                <c:pt idx="963">
                  <c:v>-14.508158021337902</c:v>
                </c:pt>
                <c:pt idx="964">
                  <c:v>-14.520284076662822</c:v>
                </c:pt>
                <c:pt idx="965">
                  <c:v>-14.532410156421305</c:v>
                </c:pt>
                <c:pt idx="966">
                  <c:v>-14.544536260612972</c:v>
                </c:pt>
                <c:pt idx="967">
                  <c:v>-14.556662389237445</c:v>
                </c:pt>
                <c:pt idx="968">
                  <c:v>-14.568788542294344</c:v>
                </c:pt>
                <c:pt idx="969">
                  <c:v>-14.580914719783291</c:v>
                </c:pt>
                <c:pt idx="970">
                  <c:v>-14.593040921703906</c:v>
                </c:pt>
                <c:pt idx="971">
                  <c:v>-14.605167148055811</c:v>
                </c:pt>
                <c:pt idx="972">
                  <c:v>-14.617293398838628</c:v>
                </c:pt>
                <c:pt idx="973">
                  <c:v>-14.629419674051976</c:v>
                </c:pt>
                <c:pt idx="974">
                  <c:v>-14.641545973695477</c:v>
                </c:pt>
                <c:pt idx="975">
                  <c:v>-14.653672297768752</c:v>
                </c:pt>
                <c:pt idx="976">
                  <c:v>-14.665798646271421</c:v>
                </c:pt>
                <c:pt idx="977">
                  <c:v>-14.677925019203107</c:v>
                </c:pt>
                <c:pt idx="978">
                  <c:v>-14.690051416563429</c:v>
                </c:pt>
                <c:pt idx="979">
                  <c:v>-14.702177838352011</c:v>
                </c:pt>
                <c:pt idx="980">
                  <c:v>-14.71430428456847</c:v>
                </c:pt>
                <c:pt idx="981">
                  <c:v>-14.72643075521243</c:v>
                </c:pt>
                <c:pt idx="982">
                  <c:v>-14.738557250283511</c:v>
                </c:pt>
                <c:pt idx="983">
                  <c:v>-14.750683769781334</c:v>
                </c:pt>
                <c:pt idx="984">
                  <c:v>-14.76281031370552</c:v>
                </c:pt>
                <c:pt idx="985">
                  <c:v>-14.774936882055691</c:v>
                </c:pt>
                <c:pt idx="986">
                  <c:v>-14.787063474831468</c:v>
                </c:pt>
                <c:pt idx="987">
                  <c:v>-14.799190092032472</c:v>
                </c:pt>
                <c:pt idx="988">
                  <c:v>-14.811316733658323</c:v>
                </c:pt>
                <c:pt idx="989">
                  <c:v>-14.823443399708644</c:v>
                </c:pt>
                <c:pt idx="990">
                  <c:v>-14.835570090183055</c:v>
                </c:pt>
                <c:pt idx="991">
                  <c:v>-14.847696805081176</c:v>
                </c:pt>
                <c:pt idx="992">
                  <c:v>-14.85982354440263</c:v>
                </c:pt>
                <c:pt idx="993">
                  <c:v>-14.871950308147037</c:v>
                </c:pt>
                <c:pt idx="994">
                  <c:v>-14.884077096314018</c:v>
                </c:pt>
                <c:pt idx="995">
                  <c:v>-14.896203908903194</c:v>
                </c:pt>
                <c:pt idx="996">
                  <c:v>-14.908330745914187</c:v>
                </c:pt>
                <c:pt idx="997">
                  <c:v>-14.920457607346618</c:v>
                </c:pt>
                <c:pt idx="998">
                  <c:v>-14.932584493200107</c:v>
                </c:pt>
                <c:pt idx="999">
                  <c:v>-14.944711403474276</c:v>
                </c:pt>
                <c:pt idx="1000">
                  <c:v>-14.956838338168746</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Calculs!$K$4:$K$1004</c:f>
              <c:numCache>
                <c:formatCode>0.00</c:formatCode>
                <c:ptCount val="1001"/>
                <c:pt idx="0">
                  <c:v>0</c:v>
                </c:pt>
                <c:pt idx="1">
                  <c:v>3.7787863175434927E-6</c:v>
                </c:pt>
                <c:pt idx="2">
                  <c:v>9.7430286809401792E-4</c:v>
                </c:pt>
                <c:pt idx="3">
                  <c:v>4.8304626638425606E-3</c:v>
                </c:pt>
                <c:pt idx="4">
                  <c:v>1.3492455547460976E-2</c:v>
                </c:pt>
                <c:pt idx="5">
                  <c:v>2.8882335691858652E-2</c:v>
                </c:pt>
                <c:pt idx="6">
                  <c:v>5.2438330844134518E-2</c:v>
                </c:pt>
                <c:pt idx="7">
                  <c:v>8.4627999028125303E-2</c:v>
                </c:pt>
                <c:pt idx="8">
                  <c:v>0.12543307209862209</c:v>
                </c:pt>
                <c:pt idx="9">
                  <c:v>0.17483518671082196</c:v>
                </c:pt>
                <c:pt idx="10">
                  <c:v>0.23281588467534353</c:v>
                </c:pt>
                <c:pt idx="11">
                  <c:v>0.29935661331694385</c:v>
                </c:pt>
                <c:pt idx="12">
                  <c:v>0.37443872583690696</c:v>
                </c:pt>
                <c:pt idx="13">
                  <c:v>0.45804348167907422</c:v>
                </c:pt>
                <c:pt idx="14">
                  <c:v>0.55015204689948516</c:v>
                </c:pt>
                <c:pt idx="15">
                  <c:v>0.65074549453959929</c:v>
                </c:pt>
                <c:pt idx="16">
                  <c:v>0.75980480500306613</c:v>
                </c:pt>
                <c:pt idx="17">
                  <c:v>0.87731086643601375</c:v>
                </c:pt>
                <c:pt idx="18">
                  <c:v>1.0032444751108227</c:v>
                </c:pt>
                <c:pt idx="19">
                  <c:v>1.1375863358133538</c:v>
                </c:pt>
                <c:pt idx="20">
                  <c:v>1.2803170622335978</c:v>
                </c:pt>
                <c:pt idx="21">
                  <c:v>1.4314171773597135</c:v>
                </c:pt>
                <c:pt idx="22">
                  <c:v>1.5908671138754222</c:v>
                </c:pt>
                <c:pt idx="23">
                  <c:v>1.7586472145607248</c:v>
                </c:pt>
                <c:pt idx="24">
                  <c:v>1.9347377326959072</c:v>
                </c:pt>
                <c:pt idx="25">
                  <c:v>2.1191188324688026</c:v>
                </c:pt>
                <c:pt idx="26">
                  <c:v>2.3117705893852749</c:v>
                </c:pt>
                <c:pt idx="27">
                  <c:v>2.5126729906828871</c:v>
                </c:pt>
                <c:pt idx="28">
                  <c:v>2.7218059357477258</c:v>
                </c:pt>
                <c:pt idx="29">
                  <c:v>2.9391492365343406</c:v>
                </c:pt>
                <c:pt idx="30">
                  <c:v>3.1646826179887673</c:v>
                </c:pt>
                <c:pt idx="31">
                  <c:v>3.3983857184745978</c:v>
                </c:pt>
                <c:pt idx="32">
                  <c:v>3.6402380902020628</c:v>
                </c:pt>
                <c:pt idx="33">
                  <c:v>3.890219199660089</c:v>
                </c:pt>
                <c:pt idx="34">
                  <c:v>4.1483084280512976</c:v>
                </c:pt>
                <c:pt idx="35">
                  <c:v>4.4144702745167566</c:v>
                </c:pt>
                <c:pt idx="36">
                  <c:v>4.6886686673246736</c:v>
                </c:pt>
                <c:pt idx="37">
                  <c:v>4.97088176732339</c:v>
                </c:pt>
                <c:pt idx="38">
                  <c:v>5.2610876701949847</c:v>
                </c:pt>
                <c:pt idx="39">
                  <c:v>5.5592644130745841</c:v>
                </c:pt>
                <c:pt idx="40">
                  <c:v>5.8653899738696778</c:v>
                </c:pt>
                <c:pt idx="41">
                  <c:v>6.1794422706673755</c:v>
                </c:pt>
                <c:pt idx="42">
                  <c:v>6.501399161221042</c:v>
                </c:pt>
                <c:pt idx="43">
                  <c:v>6.8312384425088073</c:v>
                </c:pt>
                <c:pt idx="44">
                  <c:v>7.168937850357322</c:v>
                </c:pt>
                <c:pt idx="45">
                  <c:v>7.5144750591249263</c:v>
                </c:pt>
                <c:pt idx="46">
                  <c:v>7.8678276814390493</c:v>
                </c:pt>
                <c:pt idx="47">
                  <c:v>8.2289732679832355</c:v>
                </c:pt>
                <c:pt idx="48">
                  <c:v>8.5978893073296838</c:v>
                </c:pt>
                <c:pt idx="49">
                  <c:v>8.9745532258136365</c:v>
                </c:pt>
                <c:pt idx="50">
                  <c:v>9.3589423874463211</c:v>
                </c:pt>
                <c:pt idx="51">
                  <c:v>9.7510366482234261</c:v>
                </c:pt>
                <c:pt idx="52">
                  <c:v>10.150820913449881</c:v>
                </c:pt>
                <c:pt idx="53">
                  <c:v>10.558282587435848</c:v>
                </c:pt>
                <c:pt idx="54">
                  <c:v>10.973409020130692</c:v>
                </c:pt>
                <c:pt idx="55">
                  <c:v>11.396187506974208</c:v>
                </c:pt>
                <c:pt idx="56">
                  <c:v>11.826605288769619</c:v>
                </c:pt>
                <c:pt idx="57">
                  <c:v>12.264649551576969</c:v>
                </c:pt>
                <c:pt idx="58">
                  <c:v>12.710307426625654</c:v>
                </c:pt>
                <c:pt idx="59">
                  <c:v>13.163565990244917</c:v>
                </c:pt>
                <c:pt idx="60">
                  <c:v>13.62441226381128</c:v>
                </c:pt>
                <c:pt idx="61">
                  <c:v>14.092833213711897</c:v>
                </c:pt>
                <c:pt idx="62">
                  <c:v>14.568815751322973</c:v>
                </c:pt>
                <c:pt idx="63">
                  <c:v>15.052346733002386</c:v>
                </c:pt>
                <c:pt idx="64">
                  <c:v>15.543412960095768</c:v>
                </c:pt>
                <c:pt idx="65">
                  <c:v>16.042001178955335</c:v>
                </c:pt>
                <c:pt idx="66">
                  <c:v>16.548098080970799</c:v>
                </c:pt>
                <c:pt idx="67">
                  <c:v>17.061690302611765</c:v>
                </c:pt>
                <c:pt idx="68">
                  <c:v>17.582764425481052</c:v>
                </c:pt>
                <c:pt idx="69">
                  <c:v>18.111306976378398</c:v>
                </c:pt>
                <c:pt idx="70">
                  <c:v>18.647304427374063</c:v>
                </c:pt>
                <c:pt idx="71">
                  <c:v>19.190743195891891</c:v>
                </c:pt>
                <c:pt idx="72">
                  <c:v>19.741609644801372</c:v>
                </c:pt>
                <c:pt idx="73">
                  <c:v>20.299890082518331</c:v>
                </c:pt>
                <c:pt idx="74">
                  <c:v>20.865570763113876</c:v>
                </c:pt>
                <c:pt idx="75">
                  <c:v>21.438637886431209</c:v>
                </c:pt>
                <c:pt idx="76">
                  <c:v>22.019077598210028</c:v>
                </c:pt>
                <c:pt idx="77">
                  <c:v>22.606875990218185</c:v>
                </c:pt>
                <c:pt idx="78">
                  <c:v>23.202019100390295</c:v>
                </c:pt>
                <c:pt idx="79">
                  <c:v>23.80449291297305</c:v>
                </c:pt>
                <c:pt idx="80">
                  <c:v>24.414283358676954</c:v>
                </c:pt>
                <c:pt idx="81">
                  <c:v>25.031376314834272</c:v>
                </c:pt>
                <c:pt idx="82">
                  <c:v>25.655757605562911</c:v>
                </c:pt>
                <c:pt idx="83">
                  <c:v>26.287413001936063</c:v>
                </c:pt>
                <c:pt idx="84">
                  <c:v>26.926328222157366</c:v>
                </c:pt>
                <c:pt idx="85">
                  <c:v>27.572488931741425</c:v>
                </c:pt>
                <c:pt idx="86">
                  <c:v>28.225880743699481</c:v>
                </c:pt>
                <c:pt idx="87">
                  <c:v>28.886489218730038</c:v>
                </c:pt>
                <c:pt idx="88">
                  <c:v>29.554299865414336</c:v>
                </c:pt>
                <c:pt idx="89">
                  <c:v>30.229298140416446</c:v>
                </c:pt>
                <c:pt idx="90">
                  <c:v>30.911469448687878</c:v>
                </c:pt>
                <c:pt idx="91">
                  <c:v>31.600799143676532</c:v>
                </c:pt>
                <c:pt idx="92">
                  <c:v>32.297272527539889</c:v>
                </c:pt>
                <c:pt idx="93">
                  <c:v>33.000874851362241</c:v>
                </c:pt>
                <c:pt idx="94">
                  <c:v>33.711591315375934</c:v>
                </c:pt>
                <c:pt idx="95">
                  <c:v>34.429407069186396</c:v>
                </c:pt>
                <c:pt idx="96">
                  <c:v>35.154307212000916</c:v>
                </c:pt>
                <c:pt idx="97">
                  <c:v>35.886276792861025</c:v>
                </c:pt>
                <c:pt idx="98">
                  <c:v>36.625300810878372</c:v>
                </c:pt>
                <c:pt idx="99">
                  <c:v>37.371364215474003</c:v>
                </c:pt>
                <c:pt idx="100">
                  <c:v>38.124451906620934</c:v>
                </c:pt>
                <c:pt idx="101">
                  <c:v>38.884547561353045</c:v>
                </c:pt>
                <c:pt idx="102">
                  <c:v>39.65163245933396</c:v>
                </c:pt>
                <c:pt idx="103">
                  <c:v>40.425686655865711</c:v>
                </c:pt>
                <c:pt idx="104">
                  <c:v>41.206690155897249</c:v>
                </c:pt>
                <c:pt idx="105">
                  <c:v>41.994622914389659</c:v>
                </c:pt>
                <c:pt idx="106">
                  <c:v>42.789464836684097</c:v>
                </c:pt>
                <c:pt idx="107">
                  <c:v>43.591195778872333</c:v>
                </c:pt>
                <c:pt idx="108">
                  <c:v>44.399795548169884</c:v>
                </c:pt>
                <c:pt idx="109">
                  <c:v>45.215243903291544</c:v>
                </c:pt>
                <c:pt idx="110">
                  <c:v>46.037520554829314</c:v>
                </c:pt>
                <c:pt idx="111">
                  <c:v>46.866605165632613</c:v>
                </c:pt>
                <c:pt idx="112">
                  <c:v>47.702477351190673</c:v>
                </c:pt>
                <c:pt idx="113">
                  <c:v>48.545116680017038</c:v>
                </c:pt>
                <c:pt idx="114">
                  <c:v>49.394502674036168</c:v>
                </c:pt>
                <c:pt idx="115">
                  <c:v>50.250614808971932</c:v>
                </c:pt>
                <c:pt idx="116">
                  <c:v>51.113432514738065</c:v>
                </c:pt>
                <c:pt idx="117">
                  <c:v>51.982935175830413</c:v>
                </c:pt>
                <c:pt idx="118">
                  <c:v>52.859102131720924</c:v>
                </c:pt>
                <c:pt idx="119">
                  <c:v>53.741912677253374</c:v>
                </c:pt>
                <c:pt idx="120">
                  <c:v>54.631346063040667</c:v>
                </c:pt>
                <c:pt idx="121">
                  <c:v>55.527381495863715</c:v>
                </c:pt>
                <c:pt idx="122">
                  <c:v>56.429998139071806</c:v>
                </c:pt>
                <c:pt idx="123">
                  <c:v>57.339175112984421</c:v>
                </c:pt>
                <c:pt idx="124">
                  <c:v>58.254891495294409</c:v>
                </c:pt>
                <c:pt idx="125">
                  <c:v>59.177126321472464</c:v>
                </c:pt>
                <c:pt idx="126">
                  <c:v>60.105858585172903</c:v>
                </c:pt>
                <c:pt idx="127">
                  <c:v>61.041067238640601</c:v>
                </c:pt>
                <c:pt idx="128">
                  <c:v>61.982731193119086</c:v>
                </c:pt>
                <c:pt idx="129">
                  <c:v>62.930829319259736</c:v>
                </c:pt>
                <c:pt idx="130">
                  <c:v>63.885340447532002</c:v>
                </c:pt>
                <c:pt idx="131">
                  <c:v>64.846243368634632</c:v>
                </c:pt>
                <c:pt idx="132">
                  <c:v>65.813516833907784</c:v>
                </c:pt>
                <c:pt idx="133">
                  <c:v>66.787139555746108</c:v>
                </c:pt>
                <c:pt idx="134">
                  <c:v>67.76709020801259</c:v>
                </c:pt>
                <c:pt idx="135">
                  <c:v>68.753347426453189</c:v>
                </c:pt>
                <c:pt idx="136">
                  <c:v>69.745889809112271</c:v>
                </c:pt>
                <c:pt idx="137">
                  <c:v>70.744695916748668</c:v>
                </c:pt>
                <c:pt idx="138">
                  <c:v>71.749744273252432</c:v>
                </c:pt>
                <c:pt idx="139">
                  <c:v>72.761013366062144</c:v>
                </c:pt>
                <c:pt idx="140">
                  <c:v>73.778481646582833</c:v>
                </c:pt>
                <c:pt idx="141">
                  <c:v>74.802127530604366</c:v>
                </c:pt>
                <c:pt idx="142">
                  <c:v>75.831929398720348</c:v>
                </c:pt>
                <c:pt idx="143">
                  <c:v>76.867865596747379</c:v>
                </c:pt>
                <c:pt idx="144">
                  <c:v>77.909914436144774</c:v>
                </c:pt>
                <c:pt idx="145">
                  <c:v>78.958054194434595</c:v>
                </c:pt>
                <c:pt idx="146">
                  <c:v>80.012263115621977</c:v>
                </c:pt>
                <c:pt idx="147">
                  <c:v>81.072519410615726</c:v>
                </c:pt>
                <c:pt idx="148">
                  <c:v>82.138801257649149</c:v>
                </c:pt>
                <c:pt idx="149">
                  <c:v>83.211086802701061</c:v>
                </c:pt>
                <c:pt idx="150">
                  <c:v>84.289354159916925</c:v>
                </c:pt>
                <c:pt idx="151">
                  <c:v>85.373581810338379</c:v>
                </c:pt>
                <c:pt idx="152">
                  <c:v>86.463749000770918</c:v>
                </c:pt>
                <c:pt idx="153">
                  <c:v>87.559835345887578</c:v>
                </c:pt>
                <c:pt idx="154">
                  <c:v>88.661820430177187</c:v>
                </c:pt>
                <c:pt idx="155">
                  <c:v>89.769683808330981</c:v>
                </c:pt>
                <c:pt idx="156">
                  <c:v>90.8834050056292</c:v>
                </c:pt>
                <c:pt idx="157">
                  <c:v>92.002963518327832</c:v>
                </c:pt>
                <c:pt idx="158">
                  <c:v>93.128338814045293</c:v>
                </c:pt>
                <c:pt idx="159">
                  <c:v>94.259510332149176</c:v>
                </c:pt>
                <c:pt idx="160">
                  <c:v>95.396457484142886</c:v>
                </c:pt>
                <c:pt idx="161">
                  <c:v>96.539159654052256</c:v>
                </c:pt>
                <c:pt idx="162">
                  <c:v>97.687596198812059</c:v>
                </c:pt>
                <c:pt idx="163">
                  <c:v>98.84174644865233</c:v>
                </c:pt>
                <c:pt idx="164">
                  <c:v>100.00158970748461</c:v>
                </c:pt>
                <c:pt idx="165">
                  <c:v>101.16710525328796</c:v>
                </c:pt>
                <c:pt idx="166">
                  <c:v>102.3382723384947</c:v>
                </c:pt>
                <c:pt idx="167">
                  <c:v>103.51507019037608</c:v>
                </c:pt>
                <c:pt idx="168">
                  <c:v>104.69747801142742</c:v>
                </c:pt>
                <c:pt idx="169">
                  <c:v>105.88547497975317</c:v>
                </c:pt>
                <c:pt idx="170">
                  <c:v>107.07904024945152</c:v>
                </c:pt>
                <c:pt idx="171">
                  <c:v>108.27815295099873</c:v>
                </c:pt>
                <c:pt idx="172">
                  <c:v>109.48279219163297</c:v>
                </c:pt>
                <c:pt idx="173">
                  <c:v>110.69293705573784</c:v>
                </c:pt>
                <c:pt idx="174">
                  <c:v>111.90856660522547</c:v>
                </c:pt>
                <c:pt idx="175">
                  <c:v>113.12965987991907</c:v>
                </c:pt>
                <c:pt idx="176">
                  <c:v>114.35619589793505</c:v>
                </c:pt>
                <c:pt idx="177">
                  <c:v>115.58815365606465</c:v>
                </c:pt>
                <c:pt idx="178">
                  <c:v>116.82551213015493</c:v>
                </c:pt>
                <c:pt idx="179">
                  <c:v>118.06825027548938</c:v>
                </c:pt>
                <c:pt idx="180">
                  <c:v>119.31634702716772</c:v>
                </c:pt>
                <c:pt idx="181">
                  <c:v>120.56978130048529</c:v>
                </c:pt>
                <c:pt idx="182">
                  <c:v>121.82853199131168</c:v>
                </c:pt>
                <c:pt idx="183">
                  <c:v>123.09257797646873</c:v>
                </c:pt>
                <c:pt idx="184">
                  <c:v>124.3618981141079</c:v>
                </c:pt>
                <c:pt idx="185">
                  <c:v>125.63647124408688</c:v>
                </c:pt>
                <c:pt idx="186">
                  <c:v>126.91627618834549</c:v>
                </c:pt>
                <c:pt idx="187">
                  <c:v>128.20129175128088</c:v>
                </c:pt>
                <c:pt idx="188">
                  <c:v>129.4914967201218</c:v>
                </c:pt>
                <c:pt idx="189">
                  <c:v>130.78686986530235</c:v>
                </c:pt>
                <c:pt idx="190">
                  <c:v>132.08738994083461</c:v>
                </c:pt>
                <c:pt idx="191">
                  <c:v>133.39303568468071</c:v>
                </c:pt>
                <c:pt idx="192">
                  <c:v>134.70378581912382</c:v>
                </c:pt>
                <c:pt idx="193">
                  <c:v>136.01961905113839</c:v>
                </c:pt>
                <c:pt idx="194">
                  <c:v>137.3405140727595</c:v>
                </c:pt>
                <c:pt idx="195">
                  <c:v>138.66644956145123</c:v>
                </c:pt>
                <c:pt idx="196">
                  <c:v>139.99740418047406</c:v>
                </c:pt>
                <c:pt idx="197">
                  <c:v>141.33335657925147</c:v>
                </c:pt>
                <c:pt idx="198">
                  <c:v>142.6742853937354</c:v>
                </c:pt>
                <c:pt idx="199">
                  <c:v>144.02016924677076</c:v>
                </c:pt>
                <c:pt idx="200">
                  <c:v>145.37098674845902</c:v>
                </c:pt>
                <c:pt idx="201">
                  <c:v>146.72671649652057</c:v>
                </c:pt>
                <c:pt idx="202">
                  <c:v>148.08733707665621</c:v>
                </c:pt>
                <c:pt idx="203">
                  <c:v>149.45282706290755</c:v>
                </c:pt>
                <c:pt idx="204">
                  <c:v>150.82316501801617</c:v>
                </c:pt>
                <c:pt idx="205">
                  <c:v>152.19832949378184</c:v>
                </c:pt>
                <c:pt idx="206">
                  <c:v>153.5782990314195</c:v>
                </c:pt>
                <c:pt idx="207">
                  <c:v>154.96305216191521</c:v>
                </c:pt>
                <c:pt idx="208">
                  <c:v>156.35256740638087</c:v>
                </c:pt>
                <c:pt idx="209">
                  <c:v>157.7468232764077</c:v>
                </c:pt>
                <c:pt idx="210">
                  <c:v>159.14579827441867</c:v>
                </c:pt>
                <c:pt idx="211">
                  <c:v>160.54947089401969</c:v>
                </c:pt>
                <c:pt idx="212">
                  <c:v>161.95781962034943</c:v>
                </c:pt>
                <c:pt idx="213">
                  <c:v>163.37082293042806</c:v>
                </c:pt>
                <c:pt idx="214">
                  <c:v>164.78845929350473</c:v>
                </c:pt>
                <c:pt idx="215">
                  <c:v>166.21070717140361</c:v>
                </c:pt>
                <c:pt idx="216">
                  <c:v>167.63754501886891</c:v>
                </c:pt>
                <c:pt idx="217">
                  <c:v>169.06895128390832</c:v>
                </c:pt>
                <c:pt idx="218">
                  <c:v>170.50490440813533</c:v>
                </c:pt>
                <c:pt idx="219">
                  <c:v>171.94538282711014</c:v>
                </c:pt>
                <c:pt idx="220">
                  <c:v>173.39036497067923</c:v>
                </c:pt>
                <c:pt idx="221">
                  <c:v>174.83982926331356</c:v>
                </c:pt>
                <c:pt idx="222">
                  <c:v>176.29375412444546</c:v>
                </c:pt>
                <c:pt idx="223">
                  <c:v>177.75211796880401</c:v>
                </c:pt>
                <c:pt idx="224">
                  <c:v>179.21489920674921</c:v>
                </c:pt>
                <c:pt idx="225">
                  <c:v>180.68207624460447</c:v>
                </c:pt>
                <c:pt idx="226">
                  <c:v>182.15362748498794</c:v>
                </c:pt>
                <c:pt idx="227">
                  <c:v>183.62953132714225</c:v>
                </c:pt>
                <c:pt idx="228">
                  <c:v>185.10976616726285</c:v>
                </c:pt>
                <c:pt idx="229">
                  <c:v>186.5943103988248</c:v>
                </c:pt>
                <c:pt idx="230">
                  <c:v>188.08314241290827</c:v>
                </c:pt>
                <c:pt idx="231">
                  <c:v>189.5762405985223</c:v>
                </c:pt>
                <c:pt idx="232">
                  <c:v>191.07358334292732</c:v>
                </c:pt>
                <c:pt idx="233">
                  <c:v>192.57514903195593</c:v>
                </c:pt>
                <c:pt idx="234">
                  <c:v>194.08091605033232</c:v>
                </c:pt>
                <c:pt idx="235">
                  <c:v>195.5908627819901</c:v>
                </c:pt>
                <c:pt idx="236">
                  <c:v>197.10496761038854</c:v>
                </c:pt>
                <c:pt idx="237">
                  <c:v>198.62320891882737</c:v>
                </c:pt>
                <c:pt idx="238">
                  <c:v>200.1455650907599</c:v>
                </c:pt>
                <c:pt idx="239">
                  <c:v>201.67201451010456</c:v>
                </c:pt>
                <c:pt idx="240">
                  <c:v>203.20253556155498</c:v>
                </c:pt>
                <c:pt idx="241">
                  <c:v>204.73710663088838</c:v>
                </c:pt>
                <c:pt idx="242">
                  <c:v>206.27570610527238</c:v>
                </c:pt>
                <c:pt idx="243">
                  <c:v>207.81831237357014</c:v>
                </c:pt>
                <c:pt idx="244">
                  <c:v>209.36490382664402</c:v>
                </c:pt>
                <c:pt idx="245">
                  <c:v>210.9154588576574</c:v>
                </c:pt>
                <c:pt idx="246">
                  <c:v>212.46995586237509</c:v>
                </c:pt>
                <c:pt idx="247">
                  <c:v>214.02837323946187</c:v>
                </c:pt>
                <c:pt idx="248">
                  <c:v>215.59068939077957</c:v>
                </c:pt>
                <c:pt idx="249">
                  <c:v>217.15688272168236</c:v>
                </c:pt>
                <c:pt idx="250">
                  <c:v>218.72693164131039</c:v>
                </c:pt>
                <c:pt idx="251">
                  <c:v>220.30081285299997</c:v>
                </c:pt>
                <c:pt idx="252">
                  <c:v>221.87849964549096</c:v>
                </c:pt>
                <c:pt idx="253">
                  <c:v>223.4599636056802</c:v>
                </c:pt>
                <c:pt idx="254">
                  <c:v>225.04517633063145</c:v>
                </c:pt>
                <c:pt idx="255">
                  <c:v>226.63410942797353</c:v>
                </c:pt>
                <c:pt idx="256">
                  <c:v>228.22673451629583</c:v>
                </c:pt>
                <c:pt idx="257">
                  <c:v>229.82302322554065</c:v>
                </c:pt>
                <c:pt idx="258">
                  <c:v>231.42294719739274</c:v>
                </c:pt>
                <c:pt idx="259">
                  <c:v>233.02647808566584</c:v>
                </c:pt>
                <c:pt idx="260">
                  <c:v>234.63358755668619</c:v>
                </c:pt>
                <c:pt idx="261">
                  <c:v>236.24424728967327</c:v>
                </c:pt>
                <c:pt idx="262">
                  <c:v>237.85842897711737</c:v>
                </c:pt>
                <c:pt idx="263">
                  <c:v>239.47610432515427</c:v>
                </c:pt>
                <c:pt idx="264">
                  <c:v>241.09724505393692</c:v>
                </c:pt>
                <c:pt idx="265">
                  <c:v>242.72182289800421</c:v>
                </c:pt>
                <c:pt idx="266">
                  <c:v>244.3498096066466</c:v>
                </c:pt>
                <c:pt idx="267">
                  <c:v>245.9811769442689</c:v>
                </c:pt>
                <c:pt idx="268">
                  <c:v>247.61589669074982</c:v>
                </c:pt>
                <c:pt idx="269">
                  <c:v>249.25394064179886</c:v>
                </c:pt>
                <c:pt idx="270">
                  <c:v>250.89528060930982</c:v>
                </c:pt>
                <c:pt idx="271">
                  <c:v>252.53988842171159</c:v>
                </c:pt>
                <c:pt idx="272">
                  <c:v>254.18773592431569</c:v>
                </c:pt>
                <c:pt idx="273">
                  <c:v>255.83879497966092</c:v>
                </c:pt>
                <c:pt idx="274">
                  <c:v>257.49303746785495</c:v>
                </c:pt>
                <c:pt idx="275">
                  <c:v>259.15043528691297</c:v>
                </c:pt>
                <c:pt idx="276">
                  <c:v>260.81096035309298</c:v>
                </c:pt>
                <c:pt idx="277">
                  <c:v>262.47458460122846</c:v>
                </c:pt>
                <c:pt idx="278">
                  <c:v>264.14127998505785</c:v>
                </c:pt>
                <c:pt idx="279">
                  <c:v>265.81101847755087</c:v>
                </c:pt>
                <c:pt idx="280">
                  <c:v>267.48377207123195</c:v>
                </c:pt>
                <c:pt idx="281">
                  <c:v>269.15951277850047</c:v>
                </c:pt>
                <c:pt idx="282">
                  <c:v>270.83821263194818</c:v>
                </c:pt>
                <c:pt idx="283">
                  <c:v>272.51984368467339</c:v>
                </c:pt>
                <c:pt idx="284">
                  <c:v>274.20437801059222</c:v>
                </c:pt>
                <c:pt idx="285">
                  <c:v>275.89178770474672</c:v>
                </c:pt>
                <c:pt idx="286">
                  <c:v>277.58204488361008</c:v>
                </c:pt>
                <c:pt idx="287">
                  <c:v>279.27512168538863</c:v>
                </c:pt>
                <c:pt idx="288">
                  <c:v>280.97099027032095</c:v>
                </c:pt>
                <c:pt idx="289">
                  <c:v>282.66962282097387</c:v>
                </c:pt>
                <c:pt idx="290">
                  <c:v>284.37099154253542</c:v>
                </c:pt>
                <c:pt idx="291">
                  <c:v>286.07506866310484</c:v>
                </c:pt>
                <c:pt idx="292">
                  <c:v>287.78182643397946</c:v>
                </c:pt>
                <c:pt idx="293">
                  <c:v>289.4912371299385</c:v>
                </c:pt>
                <c:pt idx="294">
                  <c:v>291.20327304952406</c:v>
                </c:pt>
                <c:pt idx="295">
                  <c:v>292.91790651531886</c:v>
                </c:pt>
                <c:pt idx="296">
                  <c:v>294.63510987422109</c:v>
                </c:pt>
                <c:pt idx="297">
                  <c:v>296.35485549771619</c:v>
                </c:pt>
                <c:pt idx="298">
                  <c:v>298.07709705674057</c:v>
                </c:pt>
                <c:pt idx="299">
                  <c:v>299.8017508128433</c:v>
                </c:pt>
                <c:pt idx="300">
                  <c:v>301.52871438528666</c:v>
                </c:pt>
                <c:pt idx="301">
                  <c:v>303.25788550275541</c:v>
                </c:pt>
                <c:pt idx="302">
                  <c:v>304.98916200541987</c:v>
                </c:pt>
                <c:pt idx="303">
                  <c:v>306.72244184696257</c:v>
                </c:pt>
                <c:pt idx="304">
                  <c:v>308.45762309656772</c:v>
                </c:pt>
                <c:pt idx="305">
                  <c:v>310.19460394087452</c:v>
                </c:pt>
                <c:pt idx="306">
                  <c:v>311.93328268589335</c:v>
                </c:pt>
                <c:pt idx="307">
                  <c:v>313.67355775888564</c:v>
                </c:pt>
                <c:pt idx="308">
                  <c:v>315.41532771020724</c:v>
                </c:pt>
                <c:pt idx="309">
                  <c:v>317.15849121511525</c:v>
                </c:pt>
                <c:pt idx="310">
                  <c:v>318.90294707553852</c:v>
                </c:pt>
                <c:pt idx="311">
                  <c:v>320.64859422181195</c:v>
                </c:pt>
                <c:pt idx="312">
                  <c:v>322.39533171437466</c:v>
                </c:pt>
                <c:pt idx="313">
                  <c:v>324.14305874543197</c:v>
                </c:pt>
                <c:pt idx="314">
                  <c:v>325.89167464058141</c:v>
                </c:pt>
                <c:pt idx="315">
                  <c:v>327.64107886040313</c:v>
                </c:pt>
                <c:pt idx="316">
                  <c:v>329.39117100201418</c:v>
                </c:pt>
                <c:pt idx="317">
                  <c:v>331.14185080058741</c:v>
                </c:pt>
                <c:pt idx="318">
                  <c:v>332.89301813083506</c:v>
                </c:pt>
                <c:pt idx="319">
                  <c:v>334.64457300845652</c:v>
                </c:pt>
                <c:pt idx="320">
                  <c:v>336.39641559155115</c:v>
                </c:pt>
                <c:pt idx="321">
                  <c:v>338.14845362128852</c:v>
                </c:pt>
                <c:pt idx="322">
                  <c:v>339.90060985226188</c:v>
                </c:pt>
                <c:pt idx="323">
                  <c:v>341.65281459222058</c:v>
                </c:pt>
                <c:pt idx="324">
                  <c:v>343.40499825170627</c:v>
                </c:pt>
                <c:pt idx="325">
                  <c:v>345.15709134461525</c:v>
                </c:pt>
                <c:pt idx="326">
                  <c:v>346.9090244887438</c:v>
                </c:pt>
                <c:pt idx="327">
                  <c:v>348.66072840631682</c:v>
                </c:pt>
                <c:pt idx="328">
                  <c:v>350.41213392450032</c:v>
                </c:pt>
                <c:pt idx="329">
                  <c:v>352.16317197589677</c:v>
                </c:pt>
                <c:pt idx="330">
                  <c:v>353.91377359902452</c:v>
                </c:pt>
                <c:pt idx="331">
                  <c:v>355.66386993878092</c:v>
                </c:pt>
                <c:pt idx="332">
                  <c:v>357.41339224688892</c:v>
                </c:pt>
                <c:pt idx="333">
                  <c:v>359.16227188232779</c:v>
                </c:pt>
                <c:pt idx="334">
                  <c:v>360.91044031174783</c:v>
                </c:pt>
                <c:pt idx="335">
                  <c:v>362.65782910986923</c:v>
                </c:pt>
                <c:pt idx="336">
                  <c:v>364.40436995986482</c:v>
                </c:pt>
                <c:pt idx="337">
                  <c:v>366.14999465372756</c:v>
                </c:pt>
                <c:pt idx="338">
                  <c:v>367.89463509262197</c:v>
                </c:pt>
                <c:pt idx="339">
                  <c:v>369.63822328722046</c:v>
                </c:pt>
                <c:pt idx="340">
                  <c:v>371.38069135802397</c:v>
                </c:pt>
                <c:pt idx="341">
                  <c:v>373.12197153566751</c:v>
                </c:pt>
                <c:pt idx="342">
                  <c:v>374.86199616121041</c:v>
                </c:pt>
                <c:pt idx="343">
                  <c:v>376.60069768641154</c:v>
                </c:pt>
                <c:pt idx="344">
                  <c:v>378.33800867398946</c:v>
                </c:pt>
                <c:pt idx="345">
                  <c:v>380.07386179786795</c:v>
                </c:pt>
                <c:pt idx="346">
                  <c:v>381.8081898434063</c:v>
                </c:pt>
                <c:pt idx="347">
                  <c:v>383.5409257076156</c:v>
                </c:pt>
                <c:pt idx="348">
                  <c:v>385.27200320080902</c:v>
                </c:pt>
                <c:pt idx="349">
                  <c:v>387.00135784684369</c:v>
                </c:pt>
                <c:pt idx="350">
                  <c:v>388.72892607903674</c:v>
                </c:pt>
                <c:pt idx="351">
                  <c:v>390.45464443744345</c:v>
                </c:pt>
                <c:pt idx="352">
                  <c:v>392.17844956896499</c:v>
                </c:pt>
                <c:pt idx="353">
                  <c:v>393.90027822744361</c:v>
                </c:pt>
                <c:pt idx="354">
                  <c:v>395.62006727374535</c:v>
                </c:pt>
                <c:pt idx="355">
                  <c:v>397.33775367583041</c:v>
                </c:pt>
                <c:pt idx="356">
                  <c:v>399.05327450881117</c:v>
                </c:pt>
                <c:pt idx="357">
                  <c:v>400.7665669549981</c:v>
                </c:pt>
                <c:pt idx="358">
                  <c:v>402.47756830393365</c:v>
                </c:pt>
                <c:pt idx="359">
                  <c:v>404.18621595241393</c:v>
                </c:pt>
                <c:pt idx="360">
                  <c:v>405.89246406555554</c:v>
                </c:pt>
                <c:pt idx="361">
                  <c:v>407.5963002068317</c:v>
                </c:pt>
                <c:pt idx="362">
                  <c:v>409.2977286161622</c:v>
                </c:pt>
                <c:pt idx="363">
                  <c:v>410.99675351905807</c:v>
                </c:pt>
                <c:pt idx="364">
                  <c:v>412.69337912668556</c:v>
                </c:pt>
                <c:pt idx="365">
                  <c:v>414.38760963592989</c:v>
                </c:pt>
                <c:pt idx="366">
                  <c:v>416.07944922945836</c:v>
                </c:pt>
                <c:pt idx="367">
                  <c:v>417.76890207578356</c:v>
                </c:pt>
                <c:pt idx="368">
                  <c:v>419.45597232932573</c:v>
                </c:pt>
                <c:pt idx="369">
                  <c:v>421.14066413047516</c:v>
                </c:pt>
                <c:pt idx="370">
                  <c:v>422.82298160565404</c:v>
                </c:pt>
                <c:pt idx="371">
                  <c:v>424.50292886737793</c:v>
                </c:pt>
                <c:pt idx="372">
                  <c:v>426.18051001431706</c:v>
                </c:pt>
                <c:pt idx="373">
                  <c:v>427.85572913135724</c:v>
                </c:pt>
                <c:pt idx="374">
                  <c:v>429.52859028966026</c:v>
                </c:pt>
                <c:pt idx="375">
                  <c:v>431.1990975467242</c:v>
                </c:pt>
                <c:pt idx="376">
                  <c:v>432.8672549464431</c:v>
                </c:pt>
                <c:pt idx="377">
                  <c:v>434.53306651916671</c:v>
                </c:pt>
                <c:pt idx="378">
                  <c:v>436.19653628175956</c:v>
                </c:pt>
                <c:pt idx="379">
                  <c:v>437.85766823765977</c:v>
                </c:pt>
                <c:pt idx="380">
                  <c:v>439.51646637693773</c:v>
                </c:pt>
                <c:pt idx="381">
                  <c:v>441.1729346763542</c:v>
                </c:pt>
                <c:pt idx="382">
                  <c:v>442.8270770994182</c:v>
                </c:pt>
                <c:pt idx="383">
                  <c:v>444.47889759644465</c:v>
                </c:pt>
                <c:pt idx="384">
                  <c:v>446.12840010461161</c:v>
                </c:pt>
                <c:pt idx="385">
                  <c:v>447.7755885480172</c:v>
                </c:pt>
                <c:pt idx="386">
                  <c:v>449.42046683773617</c:v>
                </c:pt>
                <c:pt idx="387">
                  <c:v>451.0630388718763</c:v>
                </c:pt>
                <c:pt idx="388">
                  <c:v>452.70330853563439</c:v>
                </c:pt>
                <c:pt idx="389">
                  <c:v>454.34127970135194</c:v>
                </c:pt>
                <c:pt idx="390">
                  <c:v>455.97695622857054</c:v>
                </c:pt>
                <c:pt idx="391">
                  <c:v>457.61034196408701</c:v>
                </c:pt>
                <c:pt idx="392">
                  <c:v>459.24144074200802</c:v>
                </c:pt>
                <c:pt idx="393">
                  <c:v>460.87025638380487</c:v>
                </c:pt>
                <c:pt idx="394">
                  <c:v>462.49679269836736</c:v>
                </c:pt>
                <c:pt idx="395">
                  <c:v>464.12105348205802</c:v>
                </c:pt>
                <c:pt idx="396">
                  <c:v>465.74304251876538</c:v>
                </c:pt>
                <c:pt idx="397">
                  <c:v>467.36276357995757</c:v>
                </c:pt>
                <c:pt idx="398">
                  <c:v>468.98022042473514</c:v>
                </c:pt>
                <c:pt idx="399">
                  <c:v>470.59541679988388</c:v>
                </c:pt>
                <c:pt idx="400">
                  <c:v>472.20835643992734</c:v>
                </c:pt>
                <c:pt idx="401">
                  <c:v>488.21392075178619</c:v>
                </c:pt>
                <c:pt idx="402">
                  <c:v>503.9962075022442</c:v>
                </c:pt>
                <c:pt idx="403">
                  <c:v>519.55883335046735</c:v>
                </c:pt>
                <c:pt idx="404">
                  <c:v>534.90529909920122</c:v>
                </c:pt>
                <c:pt idx="405">
                  <c:v>550.03899447088156</c:v>
                </c:pt>
                <c:pt idx="406">
                  <c:v>564.96320263534824</c:v>
                </c:pt>
                <c:pt idx="407">
                  <c:v>579.68110450454753</c:v>
                </c:pt>
                <c:pt idx="408">
                  <c:v>594.1957828085018</c:v>
                </c:pt>
                <c:pt idx="409">
                  <c:v>608.51022596581072</c:v>
                </c:pt>
                <c:pt idx="410">
                  <c:v>622.62733176101403</c:v>
                </c:pt>
                <c:pt idx="411">
                  <c:v>636.54991084028757</c:v>
                </c:pt>
                <c:pt idx="412">
                  <c:v>650.28069003615144</c:v>
                </c:pt>
                <c:pt idx="413">
                  <c:v>663.8223155311432</c:v>
                </c:pt>
                <c:pt idx="414">
                  <c:v>677.17735586973197</c:v>
                </c:pt>
                <c:pt idx="415">
                  <c:v>690.34830482713278</c:v>
                </c:pt>
                <c:pt idx="416">
                  <c:v>703.33758414310284</c:v>
                </c:pt>
                <c:pt idx="417">
                  <c:v>716.14754612827358</c:v>
                </c:pt>
                <c:pt idx="418">
                  <c:v>728.78047615007927</c:v>
                </c:pt>
                <c:pt idx="419">
                  <c:v>741.23859500488913</c:v>
                </c:pt>
                <c:pt idx="420">
                  <c:v>753.52406118252827</c:v>
                </c:pt>
                <c:pt idx="421">
                  <c:v>765.63897302898113</c:v>
                </c:pt>
                <c:pt idx="422">
                  <c:v>777.5853708127089</c:v>
                </c:pt>
                <c:pt idx="423">
                  <c:v>789.36523869967493</c:v>
                </c:pt>
                <c:pt idx="424">
                  <c:v>800.98050664185814</c:v>
                </c:pt>
                <c:pt idx="425">
                  <c:v>812.43305218374508</c:v>
                </c:pt>
                <c:pt idx="426">
                  <c:v>823.72470219101695</c:v>
                </c:pt>
                <c:pt idx="427">
                  <c:v>834.85723450539786</c:v>
                </c:pt>
                <c:pt idx="428">
                  <c:v>845.83237952939407</c:v>
                </c:pt>
                <c:pt idx="429">
                  <c:v>856.65182174443441</c:v>
                </c:pt>
                <c:pt idx="430">
                  <c:v>867.31720116571717</c:v>
                </c:pt>
                <c:pt idx="431">
                  <c:v>877.83011473687839</c:v>
                </c:pt>
                <c:pt idx="432">
                  <c:v>888.1921176674158</c:v>
                </c:pt>
                <c:pt idx="433">
                  <c:v>898.40472471563851</c:v>
                </c:pt>
                <c:pt idx="434">
                  <c:v>908.46941141975321</c:v>
                </c:pt>
                <c:pt idx="435">
                  <c:v>918.38761527955444</c:v>
                </c:pt>
                <c:pt idx="436">
                  <c:v>928.16073689104678</c:v>
                </c:pt>
                <c:pt idx="437">
                  <c:v>937.7901410362017</c:v>
                </c:pt>
                <c:pt idx="438">
                  <c:v>947.27715772992849</c:v>
                </c:pt>
                <c:pt idx="439">
                  <c:v>956.62308322622846</c:v>
                </c:pt>
                <c:pt idx="440">
                  <c:v>965.82918098539483</c:v>
                </c:pt>
                <c:pt idx="441">
                  <c:v>974.89668260402118</c:v>
                </c:pt>
                <c:pt idx="442">
                  <c:v>983.82678870948928</c:v>
                </c:pt>
                <c:pt idx="443">
                  <c:v>992.62066982051874</c:v>
                </c:pt>
                <c:pt idx="444">
                  <c:v>1001.2794671752787</c:v>
                </c:pt>
                <c:pt idx="445">
                  <c:v>1009.8042935284845</c:v>
                </c:pt>
                <c:pt idx="446">
                  <c:v>1018.1962339188302</c:v>
                </c:pt>
                <c:pt idx="447">
                  <c:v>1026.4563464080379</c:v>
                </c:pt>
                <c:pt idx="448">
                  <c:v>1034.5856627927419</c:v>
                </c:pt>
                <c:pt idx="449">
                  <c:v>1042.585189290365</c:v>
                </c:pt>
                <c:pt idx="450">
                  <c:v>1050.4559072000839</c:v>
                </c:pt>
                <c:pt idx="451">
                  <c:v>1058.1987735399327</c:v>
                </c:pt>
                <c:pt idx="452">
                  <c:v>1065.8147216610382</c:v>
                </c:pt>
                <c:pt idx="453">
                  <c:v>1073.3046618399326</c:v>
                </c:pt>
                <c:pt idx="454">
                  <c:v>1080.6694818498484</c:v>
                </c:pt>
                <c:pt idx="455">
                  <c:v>1087.9100475118535</c:v>
                </c:pt>
                <c:pt idx="456">
                  <c:v>1095.0272032266471</c:v>
                </c:pt>
                <c:pt idx="457">
                  <c:v>1102.0217724877971</c:v>
                </c:pt>
                <c:pt idx="458">
                  <c:v>1108.8945583771665</c:v>
                </c:pt>
                <c:pt idx="459">
                  <c:v>1115.6463440432422</c:v>
                </c:pt>
                <c:pt idx="460">
                  <c:v>1122.2778931630451</c:v>
                </c:pt>
                <c:pt idx="461">
                  <c:v>1128.7899503882766</c:v>
                </c:pt>
                <c:pt idx="462">
                  <c:v>1135.1832417763228</c:v>
                </c:pt>
                <c:pt idx="463">
                  <c:v>1141.4584752067151</c:v>
                </c:pt>
                <c:pt idx="464">
                  <c:v>1147.6163407836204</c:v>
                </c:pt>
                <c:pt idx="465">
                  <c:v>1153.6575112249111</c:v>
                </c:pt>
                <c:pt idx="466">
                  <c:v>1159.582642238342</c:v>
                </c:pt>
                <c:pt idx="467">
                  <c:v>1165.3923728853449</c:v>
                </c:pt>
                <c:pt idx="468">
                  <c:v>1171.0873259329292</c:v>
                </c:pt>
                <c:pt idx="469">
                  <c:v>1176.668108194162</c:v>
                </c:pt>
                <c:pt idx="470">
                  <c:v>1182.1353108576832</c:v>
                </c:pt>
                <c:pt idx="471">
                  <c:v>1187.4895098066997</c:v>
                </c:pt>
                <c:pt idx="472">
                  <c:v>1192.7312659278855</c:v>
                </c:pt>
                <c:pt idx="473">
                  <c:v>1197.8611254106061</c:v>
                </c:pt>
                <c:pt idx="474">
                  <c:v>1202.8796200368736</c:v>
                </c:pt>
                <c:pt idx="475">
                  <c:v>1207.7872674624291</c:v>
                </c:pt>
                <c:pt idx="476">
                  <c:v>1212.5845714893421</c:v>
                </c:pt>
                <c:pt idx="477">
                  <c:v>1217.2720223305091</c:v>
                </c:pt>
                <c:pt idx="478">
                  <c:v>1221.8500968664316</c:v>
                </c:pt>
                <c:pt idx="479">
                  <c:v>1226.3192588946447</c:v>
                </c:pt>
                <c:pt idx="480">
                  <c:v>1230.6799593721721</c:v>
                </c:pt>
                <c:pt idx="481">
                  <c:v>1234.9326366513778</c:v>
                </c:pt>
                <c:pt idx="482">
                  <c:v>1239.0777167095894</c:v>
                </c:pt>
                <c:pt idx="483">
                  <c:v>1243.11561337287</c:v>
                </c:pt>
                <c:pt idx="484">
                  <c:v>1247.0467285343223</c:v>
                </c:pt>
                <c:pt idx="485">
                  <c:v>1250.8714523673139</c:v>
                </c:pt>
                <c:pt idx="486">
                  <c:v>1254.5901635340258</c:v>
                </c:pt>
                <c:pt idx="487">
                  <c:v>1258.2032293897346</c:v>
                </c:pt>
                <c:pt idx="488">
                  <c:v>1261.7110061832559</c:v>
                </c:pt>
                <c:pt idx="489">
                  <c:v>1265.1138392539949</c:v>
                </c:pt>
                <c:pt idx="490">
                  <c:v>1268.4120632260685</c:v>
                </c:pt>
                <c:pt idx="491">
                  <c:v>1271.6060021999865</c:v>
                </c:pt>
                <c:pt idx="492">
                  <c:v>1274.6959699424087</c:v>
                </c:pt>
                <c:pt idx="493">
                  <c:v>1277.682270074524</c:v>
                </c:pt>
                <c:pt idx="494">
                  <c:v>1280.5651962596296</c:v>
                </c:pt>
                <c:pt idx="495">
                  <c:v>1283.3450323905274</c:v>
                </c:pt>
                <c:pt idx="496">
                  <c:v>1286.0220527773956</c:v>
                </c:pt>
                <c:pt idx="497">
                  <c:v>1288.5965223368362</c:v>
                </c:pt>
                <c:pt idx="498">
                  <c:v>1291.0686967828467</c:v>
                </c:pt>
                <c:pt idx="499">
                  <c:v>1293.4388228205157</c:v>
                </c:pt>
                <c:pt idx="500">
                  <c:v>1295.7071383432917</c:v>
                </c:pt>
                <c:pt idx="501">
                  <c:v>1297.8738726347278</c:v>
                </c:pt>
                <c:pt idx="502">
                  <c:v>1299.9392465756589</c:v>
                </c:pt>
                <c:pt idx="503">
                  <c:v>1301.9034728578172</c:v>
                </c:pt>
                <c:pt idx="504">
                  <c:v>1303.7667562049376</c:v>
                </c:pt>
                <c:pt idx="505">
                  <c:v>1305.5292936024475</c:v>
                </c:pt>
                <c:pt idx="506">
                  <c:v>1307.191274536862</c:v>
                </c:pt>
                <c:pt idx="507">
                  <c:v>1308.7528812460223</c:v>
                </c:pt>
                <c:pt idx="508">
                  <c:v>1310.2142889813167</c:v>
                </c:pt>
                <c:pt idx="509">
                  <c:v>1311.5756662829938</c:v>
                </c:pt>
                <c:pt idx="510">
                  <c:v>1312.8371752696298</c:v>
                </c:pt>
                <c:pt idx="511">
                  <c:v>1313.9989719427256</c:v>
                </c:pt>
                <c:pt idx="512">
                  <c:v>1315.0612065072837</c:v>
                </c:pt>
                <c:pt idx="513">
                  <c:v>1316.0240237090568</c:v>
                </c:pt>
                <c:pt idx="514">
                  <c:v>1316.8875631889418</c:v>
                </c:pt>
                <c:pt idx="515">
                  <c:v>1317.6519598547452</c:v>
                </c:pt>
                <c:pt idx="516">
                  <c:v>1318.3173442702391</c:v>
                </c:pt>
                <c:pt idx="517">
                  <c:v>1318.883843061087</c:v>
                </c:pt>
                <c:pt idx="518">
                  <c:v>1319.3515793368435</c:v>
                </c:pt>
                <c:pt idx="519">
                  <c:v>1319.7206731278304</c:v>
                </c:pt>
                <c:pt idx="520">
                  <c:v>1319.9912418352831</c:v>
                </c:pt>
                <c:pt idx="521">
                  <c:v>1320.1634006927657</c:v>
                </c:pt>
                <c:pt idx="522">
                  <c:v>1320.237263236472</c:v>
                </c:pt>
                <c:pt idx="523">
                  <c:v>1320.2129417817055</c:v>
                </c:pt>
                <c:pt idx="524">
                  <c:v>1320.0905479025639</c:v>
                </c:pt>
                <c:pt idx="525">
                  <c:v>1319.8701929116733</c:v>
                </c:pt>
                <c:pt idx="526">
                  <c:v>1319.5519883367128</c:v>
                </c:pt>
                <c:pt idx="527">
                  <c:v>1319.1360463904841</c:v>
                </c:pt>
                <c:pt idx="528">
                  <c:v>1318.6224804313656</c:v>
                </c:pt>
                <c:pt idx="529">
                  <c:v>1318.0114054111907</c:v>
                </c:pt>
                <c:pt idx="530">
                  <c:v>1317.3029383078526</c:v>
                </c:pt>
                <c:pt idx="531">
                  <c:v>1316.4971985402683</c:v>
                </c:pt>
                <c:pt idx="532">
                  <c:v>1315.5943083637164</c:v>
                </c:pt>
                <c:pt idx="533">
                  <c:v>1314.5943932439632</c:v>
                </c:pt>
                <c:pt idx="534">
                  <c:v>1313.4975822090043</c:v>
                </c:pt>
                <c:pt idx="535">
                  <c:v>1312.3040081776483</c:v>
                </c:pt>
                <c:pt idx="536">
                  <c:v>1311.0138082645458</c:v>
                </c:pt>
                <c:pt idx="537">
                  <c:v>1309.6271240616104</c:v>
                </c:pt>
                <c:pt idx="538">
                  <c:v>1308.1441018960766</c:v>
                </c:pt>
                <c:pt idx="539">
                  <c:v>1306.564893065691</c:v>
                </c:pt>
                <c:pt idx="540">
                  <c:v>1304.889654051743</c:v>
                </c:pt>
                <c:pt idx="541">
                  <c:v>1303.1185467107982</c:v>
                </c:pt>
                <c:pt idx="542">
                  <c:v>1301.2517384461125</c:v>
                </c:pt>
                <c:pt idx="543">
                  <c:v>1299.2894023597919</c:v>
                </c:pt>
                <c:pt idx="544">
                  <c:v>1297.2317173867962</c:v>
                </c:pt>
                <c:pt idx="545">
                  <c:v>1295.078868411915</c:v>
                </c:pt>
                <c:pt idx="546">
                  <c:v>1292.8310463708267</c:v>
                </c:pt>
                <c:pt idx="547">
                  <c:v>1290.4884483363373</c:v>
                </c:pt>
                <c:pt idx="548">
                  <c:v>1288.0512775908526</c:v>
                </c:pt>
                <c:pt idx="549">
                  <c:v>1285.5197436860915</c:v>
                </c:pt>
                <c:pt idx="550">
                  <c:v>1282.894062490996</c:v>
                </c:pt>
                <c:pt idx="551">
                  <c:v>1280.1744562287356</c:v>
                </c:pt>
                <c:pt idx="552">
                  <c:v>1277.3611535036405</c:v>
                </c:pt>
                <c:pt idx="553">
                  <c:v>1274.454389318845</c:v>
                </c:pt>
                <c:pt idx="554">
                  <c:v>1271.4544050853581</c:v>
                </c:pt>
                <c:pt idx="555">
                  <c:v>1268.3614486232268</c:v>
                </c:pt>
                <c:pt idx="556">
                  <c:v>1265.1757741553986</c:v>
                </c:pt>
                <c:pt idx="557">
                  <c:v>1261.8976422948456</c:v>
                </c:pt>
                <c:pt idx="558">
                  <c:v>1258.5273200254594</c:v>
                </c:pt>
                <c:pt idx="559">
                  <c:v>1255.0650806771871</c:v>
                </c:pt>
                <c:pt idx="560">
                  <c:v>1251.5112038958348</c:v>
                </c:pt>
                <c:pt idx="561">
                  <c:v>1247.8659756079307</c:v>
                </c:pt>
                <c:pt idx="562">
                  <c:v>1244.1296879810047</c:v>
                </c:pt>
                <c:pt idx="563">
                  <c:v>1240.3026393796104</c:v>
                </c:pt>
                <c:pt idx="564">
                  <c:v>1236.3851343173903</c:v>
                </c:pt>
                <c:pt idx="565">
                  <c:v>1232.3774834054564</c:v>
                </c:pt>
                <c:pt idx="566">
                  <c:v>1228.2800032973362</c:v>
                </c:pt>
                <c:pt idx="567">
                  <c:v>1224.0930166307187</c:v>
                </c:pt>
                <c:pt idx="568">
                  <c:v>1219.8168519662063</c:v>
                </c:pt>
                <c:pt idx="569">
                  <c:v>1215.4518437232739</c:v>
                </c:pt>
                <c:pt idx="570">
                  <c:v>1210.998332113611</c:v>
                </c:pt>
                <c:pt idx="571">
                  <c:v>1206.4566630720178</c:v>
                </c:pt>
                <c:pt idx="572">
                  <c:v>1201.8271881850067</c:v>
                </c:pt>
                <c:pt idx="573">
                  <c:v>1197.1102646172556</c:v>
                </c:pt>
                <c:pt idx="574">
                  <c:v>1192.3062550360476</c:v>
                </c:pt>
                <c:pt idx="575">
                  <c:v>1187.415527533821</c:v>
                </c:pt>
                <c:pt idx="576">
                  <c:v>1182.4384555489492</c:v>
                </c:pt>
                <c:pt idx="577">
                  <c:v>1177.3754177848596</c:v>
                </c:pt>
                <c:pt idx="578">
                  <c:v>1172.2267981275979</c:v>
                </c:pt>
                <c:pt idx="579">
                  <c:v>1166.992985561935</c:v>
                </c:pt>
                <c:pt idx="580">
                  <c:v>1161.6743740861091</c:v>
                </c:pt>
                <c:pt idx="581">
                  <c:v>1156.2713626252944</c:v>
                </c:pt>
                <c:pt idx="582">
                  <c:v>1150.7843549438783</c:v>
                </c:pt>
                <c:pt idx="583">
                  <c:v>1145.2137595566294</c:v>
                </c:pt>
                <c:pt idx="584">
                  <c:v>1139.5599896388323</c:v>
                </c:pt>
                <c:pt idx="585">
                  <c:v>1133.8234629354636</c:v>
                </c:pt>
                <c:pt idx="586">
                  <c:v>1128.0046016694803</c:v>
                </c:pt>
                <c:pt idx="587">
                  <c:v>1122.1038324492888</c:v>
                </c:pt>
                <c:pt idx="588">
                  <c:v>1116.1215861754604</c:v>
                </c:pt>
                <c:pt idx="589">
                  <c:v>1110.0582979467563</c:v>
                </c:pt>
                <c:pt idx="590">
                  <c:v>1103.9144069655254</c:v>
                </c:pt>
                <c:pt idx="591">
                  <c:v>1097.690356442532</c:v>
                </c:pt>
                <c:pt idx="592">
                  <c:v>1091.3865935012736</c:v>
                </c:pt>
                <c:pt idx="593">
                  <c:v>1085.0035690818434</c:v>
                </c:pt>
                <c:pt idx="594">
                  <c:v>1078.5417378443924</c:v>
                </c:pt>
                <c:pt idx="595">
                  <c:v>1072.0015580722459</c:v>
                </c:pt>
                <c:pt idx="596">
                  <c:v>1065.383491574722</c:v>
                </c:pt>
                <c:pt idx="597">
                  <c:v>1058.6880035897077</c:v>
                </c:pt>
                <c:pt idx="598">
                  <c:v>1051.915562686037</c:v>
                </c:pt>
                <c:pt idx="599">
                  <c:v>1045.0666406657222</c:v>
                </c:pt>
                <c:pt idx="600">
                  <c:v>1038.1417124660832</c:v>
                </c:pt>
                <c:pt idx="601">
                  <c:v>1031.1412560618223</c:v>
                </c:pt>
                <c:pt idx="602">
                  <c:v>1024.0657523670866</c:v>
                </c:pt>
                <c:pt idx="603">
                  <c:v>1016.9156851375631</c:v>
                </c:pt>
                <c:pt idx="604">
                  <c:v>1009.6915408726497</c:v>
                </c:pt>
                <c:pt idx="605">
                  <c:v>1002.3938087177424</c:v>
                </c:pt>
                <c:pt idx="606">
                  <c:v>995.02298036667867</c:v>
                </c:pt>
                <c:pt idx="607">
                  <c:v>987.57954996437832</c:v>
                </c:pt>
                <c:pt idx="608">
                  <c:v>980.06401400972015</c:v>
                </c:pt>
                <c:pt idx="609">
                  <c:v>972.47687125869118</c:v>
                </c:pt>
                <c:pt idx="610">
                  <c:v>964.81862262784591</c:v>
                </c:pt>
                <c:pt idx="611">
                  <c:v>957.08977109811235</c:v>
                </c:pt>
                <c:pt idx="612">
                  <c:v>949.29082161897873</c:v>
                </c:pt>
                <c:pt idx="613">
                  <c:v>941.42228101309604</c:v>
                </c:pt>
                <c:pt idx="614">
                  <c:v>933.48465788132899</c:v>
                </c:pt>
                <c:pt idx="615">
                  <c:v>925.47846250828911</c:v>
                </c:pt>
                <c:pt idx="616">
                  <c:v>917.40420676838028</c:v>
                </c:pt>
                <c:pt idx="617">
                  <c:v>909.26240403238842</c:v>
                </c:pt>
                <c:pt idx="618">
                  <c:v>901.05356907464534</c:v>
                </c:pt>
                <c:pt idx="619">
                  <c:v>892.77821798079526</c:v>
                </c:pt>
                <c:pt idx="620">
                  <c:v>884.43686805619302</c:v>
                </c:pt>
                <c:pt idx="621">
                  <c:v>876.03003773496141</c:v>
                </c:pt>
                <c:pt idx="622">
                  <c:v>867.55824648973328</c:v>
                </c:pt>
                <c:pt idx="623">
                  <c:v>859.02201474210619</c:v>
                </c:pt>
                <c:pt idx="624">
                  <c:v>850.42186377383246</c:v>
                </c:pt>
                <c:pt idx="625">
                  <c:v>841.75831563877045</c:v>
                </c:pt>
                <c:pt idx="626">
                  <c:v>833.03189307562002</c:v>
                </c:pt>
                <c:pt idx="627">
                  <c:v>824.24311942146414</c:v>
                </c:pt>
                <c:pt idx="628">
                  <c:v>815.39251852613938</c:v>
                </c:pt>
                <c:pt idx="629">
                  <c:v>806.4806146674556</c:v>
                </c:pt>
                <c:pt idx="630">
                  <c:v>797.50793246728517</c:v>
                </c:pt>
                <c:pt idx="631">
                  <c:v>788.47499680854162</c:v>
                </c:pt>
                <c:pt idx="632">
                  <c:v>779.3823327530655</c:v>
                </c:pt>
                <c:pt idx="633">
                  <c:v>770.23046546043577</c:v>
                </c:pt>
                <c:pt idx="634">
                  <c:v>761.01992010772392</c:v>
                </c:pt>
                <c:pt idx="635">
                  <c:v>751.75122181020663</c:v>
                </c:pt>
                <c:pt idx="636">
                  <c:v>742.4248955430528</c:v>
                </c:pt>
                <c:pt idx="637">
                  <c:v>733.04146606399991</c:v>
                </c:pt>
                <c:pt idx="638">
                  <c:v>723.60145783703319</c:v>
                </c:pt>
                <c:pt idx="639">
                  <c:v>714.10539495708099</c:v>
                </c:pt>
                <c:pt idx="640">
                  <c:v>704.55380107573967</c:v>
                </c:pt>
                <c:pt idx="641">
                  <c:v>694.9471993280381</c:v>
                </c:pt>
                <c:pt idx="642">
                  <c:v>685.28611226025521</c:v>
                </c:pt>
                <c:pt idx="643">
                  <c:v>675.57106175879846</c:v>
                </c:pt>
                <c:pt idx="644">
                  <c:v>665.80256898015466</c:v>
                </c:pt>
                <c:pt idx="645">
                  <c:v>655.98115428192136</c:v>
                </c:pt>
                <c:pt idx="646">
                  <c:v>646.10733715492745</c:v>
                </c:pt>
                <c:pt idx="647">
                  <c:v>636.18163615644949</c:v>
                </c:pt>
                <c:pt idx="648">
                  <c:v>626.20456884453267</c:v>
                </c:pt>
                <c:pt idx="649">
                  <c:v>616.17665171342037</c:v>
                </c:pt>
                <c:pt idx="650">
                  <c:v>606.09840013009989</c:v>
                </c:pt>
                <c:pt idx="651">
                  <c:v>595.97032827196779</c:v>
                </c:pt>
                <c:pt idx="652">
                  <c:v>585.79294906562029</c:v>
                </c:pt>
                <c:pt idx="653">
                  <c:v>575.56677412677186</c:v>
                </c:pt>
                <c:pt idx="654">
                  <c:v>565.29231370130515</c:v>
                </c:pt>
                <c:pt idx="655">
                  <c:v>554.97007660745453</c:v>
                </c:pt>
                <c:pt idx="656">
                  <c:v>544.60057017912629</c:v>
                </c:pt>
                <c:pt idx="657">
                  <c:v>534.18430021035533</c:v>
                </c:pt>
                <c:pt idx="658">
                  <c:v>523.72177090089986</c:v>
                </c:pt>
                <c:pt idx="659">
                  <c:v>513.21348480297468</c:v>
                </c:pt>
                <c:pt idx="660">
                  <c:v>502.6599427691217</c:v>
                </c:pt>
                <c:pt idx="661">
                  <c:v>492.06164390121825</c:v>
                </c:pt>
                <c:pt idx="662">
                  <c:v>481.41908550062038</c:v>
                </c:pt>
                <c:pt idx="663">
                  <c:v>470.73276301944031</c:v>
                </c:pt>
                <c:pt idx="664">
                  <c:v>460.0031700129552</c:v>
                </c:pt>
                <c:pt idx="665">
                  <c:v>449.23079809314447</c:v>
                </c:pt>
                <c:pt idx="666">
                  <c:v>438.41613688335275</c:v>
                </c:pt>
                <c:pt idx="667">
                  <c:v>427.55967397407369</c:v>
                </c:pt>
                <c:pt idx="668">
                  <c:v>416.66189487985179</c:v>
                </c:pt>
                <c:pt idx="669">
                  <c:v>405.72328299729645</c:v>
                </c:pt>
                <c:pt idx="670">
                  <c:v>394.74431956420392</c:v>
                </c:pt>
                <c:pt idx="671">
                  <c:v>383.72548361978119</c:v>
                </c:pt>
                <c:pt idx="672">
                  <c:v>372.66725196596633</c:v>
                </c:pt>
                <c:pt idx="673">
                  <c:v>361.57009912983887</c:v>
                </c:pt>
                <c:pt idx="674">
                  <c:v>350.43449732711355</c:v>
                </c:pt>
                <c:pt idx="675">
                  <c:v>339.26091642671065</c:v>
                </c:pt>
                <c:pt idx="676">
                  <c:v>328.04982391639561</c:v>
                </c:pt>
                <c:pt idx="677">
                  <c:v>316.80168486947986</c:v>
                </c:pt>
                <c:pt idx="678">
                  <c:v>305.51696191257548</c:v>
                </c:pt>
                <c:pt idx="679">
                  <c:v>294.19611519439513</c:v>
                </c:pt>
                <c:pt idx="680">
                  <c:v>282.83960235558845</c:v>
                </c:pt>
                <c:pt idx="681">
                  <c:v>271.44787849960682</c:v>
                </c:pt>
                <c:pt idx="682">
                  <c:v>260.02139616458629</c:v>
                </c:pt>
                <c:pt idx="683">
                  <c:v>248.56060529624028</c:v>
                </c:pt>
                <c:pt idx="684">
                  <c:v>237.06595322175184</c:v>
                </c:pt>
                <c:pt idx="685">
                  <c:v>225.53788462465559</c:v>
                </c:pt>
                <c:pt idx="686">
                  <c:v>213.97684152069965</c:v>
                </c:pt>
                <c:pt idx="687">
                  <c:v>202.38326323467678</c:v>
                </c:pt>
                <c:pt idx="688">
                  <c:v>190.75758637821437</c:v>
                </c:pt>
                <c:pt idx="689">
                  <c:v>179.1002448285127</c:v>
                </c:pt>
                <c:pt idx="690">
                  <c:v>167.41166970802036</c:v>
                </c:pt>
                <c:pt idx="691">
                  <c:v>155.69228936503575</c:v>
                </c:pt>
                <c:pt idx="692">
                  <c:v>143.94252935522363</c:v>
                </c:pt>
                <c:pt idx="693">
                  <c:v>132.16281242403505</c:v>
                </c:pt>
                <c:pt idx="694">
                  <c:v>120.35355849001941</c:v>
                </c:pt>
                <c:pt idx="695">
                  <c:v>108.51518462901662</c:v>
                </c:pt>
                <c:pt idx="696">
                  <c:v>96.648105059217926</c:v>
                </c:pt>
                <c:pt idx="697">
                  <c:v>84.75273112708328</c:v>
                </c:pt>
                <c:pt idx="698">
                  <c:v>72.829471294103314</c:v>
                </c:pt>
                <c:pt idx="699">
                  <c:v>60.878731124393774</c:v>
                </c:pt>
                <c:pt idx="700">
                  <c:v>48.900913273110248</c:v>
                </c:pt>
                <c:pt idx="701">
                  <c:v>36.896417475670944</c:v>
                </c:pt>
                <c:pt idx="702">
                  <c:v>24.865640537775135</c:v>
                </c:pt>
                <c:pt idx="703">
                  <c:v>12.808976326204872</c:v>
                </c:pt>
                <c:pt idx="704">
                  <c:v>0.72681576039756912</c:v>
                </c:pt>
                <c:pt idx="705">
                  <c:v>-11.380453195223096</c:v>
                </c:pt>
                <c:pt idx="706">
                  <c:v>-11.392572934018164</c:v>
                </c:pt>
                <c:pt idx="707">
                  <c:v>-11.404692697344668</c:v>
                </c:pt>
                <c:pt idx="708">
                  <c:v>-11.416812485202231</c:v>
                </c:pt>
                <c:pt idx="709">
                  <c:v>-11.428932297590471</c:v>
                </c:pt>
                <c:pt idx="710">
                  <c:v>-11.441052134509011</c:v>
                </c:pt>
                <c:pt idx="711">
                  <c:v>-11.453171995957469</c:v>
                </c:pt>
                <c:pt idx="712">
                  <c:v>-11.465291881935466</c:v>
                </c:pt>
                <c:pt idx="713">
                  <c:v>-11.477411792442622</c:v>
                </c:pt>
                <c:pt idx="714">
                  <c:v>-11.489531727478557</c:v>
                </c:pt>
                <c:pt idx="715">
                  <c:v>-11.501651687042893</c:v>
                </c:pt>
                <c:pt idx="716">
                  <c:v>-11.513771671135247</c:v>
                </c:pt>
                <c:pt idx="717">
                  <c:v>-11.525891679755242</c:v>
                </c:pt>
                <c:pt idx="718">
                  <c:v>-11.538011712902499</c:v>
                </c:pt>
                <c:pt idx="719">
                  <c:v>-11.550131770576636</c:v>
                </c:pt>
                <c:pt idx="720">
                  <c:v>-11.562251852777274</c:v>
                </c:pt>
                <c:pt idx="721">
                  <c:v>-11.574371959504035</c:v>
                </c:pt>
                <c:pt idx="722">
                  <c:v>-11.586492090756536</c:v>
                </c:pt>
                <c:pt idx="723">
                  <c:v>-11.598612246534399</c:v>
                </c:pt>
                <c:pt idx="724">
                  <c:v>-11.610732426837245</c:v>
                </c:pt>
                <c:pt idx="725">
                  <c:v>-11.622852631664694</c:v>
                </c:pt>
                <c:pt idx="726">
                  <c:v>-11.634972861016365</c:v>
                </c:pt>
                <c:pt idx="727">
                  <c:v>-11.647093114891881</c:v>
                </c:pt>
                <c:pt idx="728">
                  <c:v>-11.659213393290859</c:v>
                </c:pt>
                <c:pt idx="729">
                  <c:v>-11.671333696212921</c:v>
                </c:pt>
                <c:pt idx="730">
                  <c:v>-11.683454023657688</c:v>
                </c:pt>
                <c:pt idx="731">
                  <c:v>-11.69557437562478</c:v>
                </c:pt>
                <c:pt idx="732">
                  <c:v>-11.707694752113817</c:v>
                </c:pt>
                <c:pt idx="733">
                  <c:v>-11.719815153124419</c:v>
                </c:pt>
                <c:pt idx="734">
                  <c:v>-11.731935578656207</c:v>
                </c:pt>
                <c:pt idx="735">
                  <c:v>-11.744056028708801</c:v>
                </c:pt>
                <c:pt idx="736">
                  <c:v>-11.756176503281822</c:v>
                </c:pt>
                <c:pt idx="737">
                  <c:v>-11.768297002374888</c:v>
                </c:pt>
                <c:pt idx="738">
                  <c:v>-11.780417525987623</c:v>
                </c:pt>
                <c:pt idx="739">
                  <c:v>-11.792538074119644</c:v>
                </c:pt>
                <c:pt idx="740">
                  <c:v>-11.804658646770573</c:v>
                </c:pt>
                <c:pt idx="741">
                  <c:v>-11.816779243940031</c:v>
                </c:pt>
                <c:pt idx="742">
                  <c:v>-11.828899865627637</c:v>
                </c:pt>
                <c:pt idx="743">
                  <c:v>-11.841020511833012</c:v>
                </c:pt>
                <c:pt idx="744">
                  <c:v>-11.853141182555776</c:v>
                </c:pt>
                <c:pt idx="745">
                  <c:v>-11.86526187779555</c:v>
                </c:pt>
                <c:pt idx="746">
                  <c:v>-11.877382597551955</c:v>
                </c:pt>
                <c:pt idx="747">
                  <c:v>-11.889503341824611</c:v>
                </c:pt>
                <c:pt idx="748">
                  <c:v>-11.901624110613136</c:v>
                </c:pt>
                <c:pt idx="749">
                  <c:v>-11.913744903917154</c:v>
                </c:pt>
                <c:pt idx="750">
                  <c:v>-11.925865721736281</c:v>
                </c:pt>
                <c:pt idx="751">
                  <c:v>-11.937986564070142</c:v>
                </c:pt>
                <c:pt idx="752">
                  <c:v>-11.950107430918354</c:v>
                </c:pt>
                <c:pt idx="753">
                  <c:v>-11.96222832228054</c:v>
                </c:pt>
                <c:pt idx="754">
                  <c:v>-11.974349238156318</c:v>
                </c:pt>
                <c:pt idx="755">
                  <c:v>-11.986470178545311</c:v>
                </c:pt>
                <c:pt idx="756">
                  <c:v>-11.998591143447136</c:v>
                </c:pt>
                <c:pt idx="757">
                  <c:v>-12.010712132861416</c:v>
                </c:pt>
                <c:pt idx="758">
                  <c:v>-12.022833146787772</c:v>
                </c:pt>
                <c:pt idx="759">
                  <c:v>-12.034954185225821</c:v>
                </c:pt>
                <c:pt idx="760">
                  <c:v>-12.047075248175187</c:v>
                </c:pt>
                <c:pt idx="761">
                  <c:v>-12.059196335635489</c:v>
                </c:pt>
                <c:pt idx="762">
                  <c:v>-12.071317447606347</c:v>
                </c:pt>
                <c:pt idx="763">
                  <c:v>-12.083438584087382</c:v>
                </c:pt>
                <c:pt idx="764">
                  <c:v>-12.095559745078216</c:v>
                </c:pt>
                <c:pt idx="765">
                  <c:v>-12.107680930578466</c:v>
                </c:pt>
                <c:pt idx="766">
                  <c:v>-12.119802140587755</c:v>
                </c:pt>
                <c:pt idx="767">
                  <c:v>-12.131923375105702</c:v>
                </c:pt>
                <c:pt idx="768">
                  <c:v>-12.144044634131928</c:v>
                </c:pt>
                <c:pt idx="769">
                  <c:v>-12.156165917666055</c:v>
                </c:pt>
                <c:pt idx="770">
                  <c:v>-12.168287225707701</c:v>
                </c:pt>
                <c:pt idx="771">
                  <c:v>-12.180408558256486</c:v>
                </c:pt>
                <c:pt idx="772">
                  <c:v>-12.192529915312033</c:v>
                </c:pt>
                <c:pt idx="773">
                  <c:v>-12.204651296873962</c:v>
                </c:pt>
                <c:pt idx="774">
                  <c:v>-12.216772702941892</c:v>
                </c:pt>
                <c:pt idx="775">
                  <c:v>-12.228894133515444</c:v>
                </c:pt>
                <c:pt idx="776">
                  <c:v>-12.241015588594239</c:v>
                </c:pt>
                <c:pt idx="777">
                  <c:v>-12.253137068177898</c:v>
                </c:pt>
                <c:pt idx="778">
                  <c:v>-12.26525857226604</c:v>
                </c:pt>
                <c:pt idx="779">
                  <c:v>-12.277380100858286</c:v>
                </c:pt>
                <c:pt idx="780">
                  <c:v>-12.289501653954257</c:v>
                </c:pt>
                <c:pt idx="781">
                  <c:v>-12.301623231553574</c:v>
                </c:pt>
                <c:pt idx="782">
                  <c:v>-12.313744833655855</c:v>
                </c:pt>
                <c:pt idx="783">
                  <c:v>-12.325866460260723</c:v>
                </c:pt>
                <c:pt idx="784">
                  <c:v>-12.337988111367798</c:v>
                </c:pt>
                <c:pt idx="785">
                  <c:v>-12.350109786976699</c:v>
                </c:pt>
                <c:pt idx="786">
                  <c:v>-12.362231487087048</c:v>
                </c:pt>
                <c:pt idx="787">
                  <c:v>-12.374353211698464</c:v>
                </c:pt>
                <c:pt idx="788">
                  <c:v>-12.386474960810569</c:v>
                </c:pt>
                <c:pt idx="789">
                  <c:v>-12.398596734422982</c:v>
                </c:pt>
                <c:pt idx="790">
                  <c:v>-12.410718532535325</c:v>
                </c:pt>
                <c:pt idx="791">
                  <c:v>-12.422840355147219</c:v>
                </c:pt>
                <c:pt idx="792">
                  <c:v>-12.434962202258284</c:v>
                </c:pt>
                <c:pt idx="793">
                  <c:v>-12.447084073868139</c:v>
                </c:pt>
                <c:pt idx="794">
                  <c:v>-12.459205969976406</c:v>
                </c:pt>
                <c:pt idx="795">
                  <c:v>-12.471327890582705</c:v>
                </c:pt>
                <c:pt idx="796">
                  <c:v>-12.483449835686656</c:v>
                </c:pt>
                <c:pt idx="797">
                  <c:v>-12.495571805287881</c:v>
                </c:pt>
                <c:pt idx="798">
                  <c:v>-12.507693799385999</c:v>
                </c:pt>
                <c:pt idx="799">
                  <c:v>-12.519815817980632</c:v>
                </c:pt>
                <c:pt idx="800">
                  <c:v>-12.5319378610714</c:v>
                </c:pt>
                <c:pt idx="801">
                  <c:v>-12.544059928657923</c:v>
                </c:pt>
                <c:pt idx="802">
                  <c:v>-12.556182020739822</c:v>
                </c:pt>
                <c:pt idx="803">
                  <c:v>-12.568304137316717</c:v>
                </c:pt>
                <c:pt idx="804">
                  <c:v>-12.580426278388229</c:v>
                </c:pt>
                <c:pt idx="805">
                  <c:v>-12.592548443953978</c:v>
                </c:pt>
                <c:pt idx="806">
                  <c:v>-12.604670634013585</c:v>
                </c:pt>
                <c:pt idx="807">
                  <c:v>-12.616792848566671</c:v>
                </c:pt>
                <c:pt idx="808">
                  <c:v>-12.628915087612857</c:v>
                </c:pt>
                <c:pt idx="809">
                  <c:v>-12.641037351151761</c:v>
                </c:pt>
                <c:pt idx="810">
                  <c:v>-12.653159639183006</c:v>
                </c:pt>
                <c:pt idx="811">
                  <c:v>-12.665281951706211</c:v>
                </c:pt>
                <c:pt idx="812">
                  <c:v>-12.677404288720998</c:v>
                </c:pt>
                <c:pt idx="813">
                  <c:v>-12.689526650226988</c:v>
                </c:pt>
                <c:pt idx="814">
                  <c:v>-12.701649036223799</c:v>
                </c:pt>
                <c:pt idx="815">
                  <c:v>-12.713771446711053</c:v>
                </c:pt>
                <c:pt idx="816">
                  <c:v>-12.725893881688373</c:v>
                </c:pt>
                <c:pt idx="817">
                  <c:v>-12.738016341155376</c:v>
                </c:pt>
                <c:pt idx="818">
                  <c:v>-12.750138825111684</c:v>
                </c:pt>
                <c:pt idx="819">
                  <c:v>-12.762261333556918</c:v>
                </c:pt>
                <c:pt idx="820">
                  <c:v>-12.774383866490698</c:v>
                </c:pt>
                <c:pt idx="821">
                  <c:v>-12.786506423912645</c:v>
                </c:pt>
                <c:pt idx="822">
                  <c:v>-12.798629005822379</c:v>
                </c:pt>
                <c:pt idx="823">
                  <c:v>-12.810751612219521</c:v>
                </c:pt>
                <c:pt idx="824">
                  <c:v>-12.822874243103691</c:v>
                </c:pt>
                <c:pt idx="825">
                  <c:v>-12.834996898474509</c:v>
                </c:pt>
                <c:pt idx="826">
                  <c:v>-12.847119578331599</c:v>
                </c:pt>
                <c:pt idx="827">
                  <c:v>-12.859242282674579</c:v>
                </c:pt>
                <c:pt idx="828">
                  <c:v>-12.87136501150307</c:v>
                </c:pt>
                <c:pt idx="829">
                  <c:v>-12.883487764816691</c:v>
                </c:pt>
                <c:pt idx="830">
                  <c:v>-12.895610542615065</c:v>
                </c:pt>
                <c:pt idx="831">
                  <c:v>-12.907733344897812</c:v>
                </c:pt>
                <c:pt idx="832">
                  <c:v>-12.919856171664552</c:v>
                </c:pt>
                <c:pt idx="833">
                  <c:v>-12.931979022914906</c:v>
                </c:pt>
                <c:pt idx="834">
                  <c:v>-12.944101898648494</c:v>
                </c:pt>
                <c:pt idx="835">
                  <c:v>-12.956224798864939</c:v>
                </c:pt>
                <c:pt idx="836">
                  <c:v>-12.968347723563859</c:v>
                </c:pt>
                <c:pt idx="837">
                  <c:v>-12.980470672744877</c:v>
                </c:pt>
                <c:pt idx="838">
                  <c:v>-12.992593646407611</c:v>
                </c:pt>
                <c:pt idx="839">
                  <c:v>-13.004716644551683</c:v>
                </c:pt>
                <c:pt idx="840">
                  <c:v>-13.016839667176715</c:v>
                </c:pt>
                <c:pt idx="841">
                  <c:v>-13.028962714282326</c:v>
                </c:pt>
                <c:pt idx="842">
                  <c:v>-13.041085785868136</c:v>
                </c:pt>
                <c:pt idx="843">
                  <c:v>-13.053208881933767</c:v>
                </c:pt>
                <c:pt idx="844">
                  <c:v>-13.065332002478838</c:v>
                </c:pt>
                <c:pt idx="845">
                  <c:v>-13.077455147502972</c:v>
                </c:pt>
                <c:pt idx="846">
                  <c:v>-13.089578317005788</c:v>
                </c:pt>
                <c:pt idx="847">
                  <c:v>-13.101701510986908</c:v>
                </c:pt>
                <c:pt idx="848">
                  <c:v>-13.113824729445952</c:v>
                </c:pt>
                <c:pt idx="849">
                  <c:v>-13.125947972382541</c:v>
                </c:pt>
                <c:pt idx="850">
                  <c:v>-13.138071239796295</c:v>
                </c:pt>
                <c:pt idx="851">
                  <c:v>-13.150194531686834</c:v>
                </c:pt>
                <c:pt idx="852">
                  <c:v>-13.16231784805378</c:v>
                </c:pt>
                <c:pt idx="853">
                  <c:v>-13.174441188896754</c:v>
                </c:pt>
                <c:pt idx="854">
                  <c:v>-13.186564554215376</c:v>
                </c:pt>
                <c:pt idx="855">
                  <c:v>-13.198687944009267</c:v>
                </c:pt>
                <c:pt idx="856">
                  <c:v>-13.210811358278047</c:v>
                </c:pt>
                <c:pt idx="857">
                  <c:v>-13.222934797021336</c:v>
                </c:pt>
                <c:pt idx="858">
                  <c:v>-13.235058260238757</c:v>
                </c:pt>
                <c:pt idx="859">
                  <c:v>-13.247181747929929</c:v>
                </c:pt>
                <c:pt idx="860">
                  <c:v>-13.259305260094473</c:v>
                </c:pt>
                <c:pt idx="861">
                  <c:v>-13.27142879673201</c:v>
                </c:pt>
                <c:pt idx="862">
                  <c:v>-13.283552357842161</c:v>
                </c:pt>
                <c:pt idx="863">
                  <c:v>-13.295675943424547</c:v>
                </c:pt>
                <c:pt idx="864">
                  <c:v>-13.307799553478787</c:v>
                </c:pt>
                <c:pt idx="865">
                  <c:v>-13.319923188004504</c:v>
                </c:pt>
                <c:pt idx="866">
                  <c:v>-13.332046847001317</c:v>
                </c:pt>
                <c:pt idx="867">
                  <c:v>-13.344170530468848</c:v>
                </c:pt>
                <c:pt idx="868">
                  <c:v>-13.356294238406717</c:v>
                </c:pt>
                <c:pt idx="869">
                  <c:v>-13.368417970814544</c:v>
                </c:pt>
                <c:pt idx="870">
                  <c:v>-13.380541727691952</c:v>
                </c:pt>
                <c:pt idx="871">
                  <c:v>-13.39266550903856</c:v>
                </c:pt>
                <c:pt idx="872">
                  <c:v>-13.404789314853989</c:v>
                </c:pt>
                <c:pt idx="873">
                  <c:v>-13.41691314513786</c:v>
                </c:pt>
                <c:pt idx="874">
                  <c:v>-13.429036999889794</c:v>
                </c:pt>
                <c:pt idx="875">
                  <c:v>-13.441160879109411</c:v>
                </c:pt>
                <c:pt idx="876">
                  <c:v>-13.453284782796331</c:v>
                </c:pt>
                <c:pt idx="877">
                  <c:v>-13.465408710950177</c:v>
                </c:pt>
                <c:pt idx="878">
                  <c:v>-13.477532663570567</c:v>
                </c:pt>
                <c:pt idx="879">
                  <c:v>-13.489656640657126</c:v>
                </c:pt>
                <c:pt idx="880">
                  <c:v>-13.50178064220947</c:v>
                </c:pt>
                <c:pt idx="881">
                  <c:v>-13.513904668227223</c:v>
                </c:pt>
                <c:pt idx="882">
                  <c:v>-13.526028718710004</c:v>
                </c:pt>
                <c:pt idx="883">
                  <c:v>-13.538152793657435</c:v>
                </c:pt>
                <c:pt idx="884">
                  <c:v>-13.550276893069135</c:v>
                </c:pt>
                <c:pt idx="885">
                  <c:v>-13.562401016944728</c:v>
                </c:pt>
                <c:pt idx="886">
                  <c:v>-13.574525165283832</c:v>
                </c:pt>
                <c:pt idx="887">
                  <c:v>-13.586649338086069</c:v>
                </c:pt>
                <c:pt idx="888">
                  <c:v>-13.598773535351059</c:v>
                </c:pt>
                <c:pt idx="889">
                  <c:v>-13.610897757078423</c:v>
                </c:pt>
                <c:pt idx="890">
                  <c:v>-13.623022003267781</c:v>
                </c:pt>
                <c:pt idx="891">
                  <c:v>-13.635146273918757</c:v>
                </c:pt>
                <c:pt idx="892">
                  <c:v>-13.647270569030969</c:v>
                </c:pt>
                <c:pt idx="893">
                  <c:v>-13.659394888604037</c:v>
                </c:pt>
                <c:pt idx="894">
                  <c:v>-13.671519232637584</c:v>
                </c:pt>
                <c:pt idx="895">
                  <c:v>-13.68364360113123</c:v>
                </c:pt>
                <c:pt idx="896">
                  <c:v>-13.695767994084596</c:v>
                </c:pt>
                <c:pt idx="897">
                  <c:v>-13.707892411497303</c:v>
                </c:pt>
                <c:pt idx="898">
                  <c:v>-13.720016853368971</c:v>
                </c:pt>
                <c:pt idx="899">
                  <c:v>-13.732141319699222</c:v>
                </c:pt>
                <c:pt idx="900">
                  <c:v>-13.744265810487676</c:v>
                </c:pt>
                <c:pt idx="901">
                  <c:v>-13.756390325733953</c:v>
                </c:pt>
                <c:pt idx="902">
                  <c:v>-13.768514865437677</c:v>
                </c:pt>
                <c:pt idx="903">
                  <c:v>-13.780639429598466</c:v>
                </c:pt>
                <c:pt idx="904">
                  <c:v>-13.792764018215941</c:v>
                </c:pt>
                <c:pt idx="905">
                  <c:v>-13.804888631289723</c:v>
                </c:pt>
                <c:pt idx="906">
                  <c:v>-13.817013268819434</c:v>
                </c:pt>
                <c:pt idx="907">
                  <c:v>-13.829137930804693</c:v>
                </c:pt>
                <c:pt idx="908">
                  <c:v>-13.841262617245123</c:v>
                </c:pt>
                <c:pt idx="909">
                  <c:v>-13.853387328140343</c:v>
                </c:pt>
                <c:pt idx="910">
                  <c:v>-13.865512063489975</c:v>
                </c:pt>
                <c:pt idx="911">
                  <c:v>-13.87763682329364</c:v>
                </c:pt>
                <c:pt idx="912">
                  <c:v>-13.889761607550959</c:v>
                </c:pt>
                <c:pt idx="913">
                  <c:v>-13.901886416261551</c:v>
                </c:pt>
                <c:pt idx="914">
                  <c:v>-13.914011249425039</c:v>
                </c:pt>
                <c:pt idx="915">
                  <c:v>-13.926136107041042</c:v>
                </c:pt>
                <c:pt idx="916">
                  <c:v>-13.938260989109184</c:v>
                </c:pt>
                <c:pt idx="917">
                  <c:v>-13.950385895629083</c:v>
                </c:pt>
                <c:pt idx="918">
                  <c:v>-13.96251082660036</c:v>
                </c:pt>
                <c:pt idx="919">
                  <c:v>-13.974635782022636</c:v>
                </c:pt>
                <c:pt idx="920">
                  <c:v>-13.986760761895534</c:v>
                </c:pt>
                <c:pt idx="921">
                  <c:v>-13.998885766218672</c:v>
                </c:pt>
                <c:pt idx="922">
                  <c:v>-14.011010794991673</c:v>
                </c:pt>
                <c:pt idx="923">
                  <c:v>-14.023135848214157</c:v>
                </c:pt>
                <c:pt idx="924">
                  <c:v>-14.035260925885744</c:v>
                </c:pt>
                <c:pt idx="925">
                  <c:v>-14.047386028006056</c:v>
                </c:pt>
                <c:pt idx="926">
                  <c:v>-14.059511154574714</c:v>
                </c:pt>
                <c:pt idx="927">
                  <c:v>-14.071636305591339</c:v>
                </c:pt>
                <c:pt idx="928">
                  <c:v>-14.083761481055552</c:v>
                </c:pt>
                <c:pt idx="929">
                  <c:v>-14.095886680966974</c:v>
                </c:pt>
                <c:pt idx="930">
                  <c:v>-14.108011905325224</c:v>
                </c:pt>
                <c:pt idx="931">
                  <c:v>-14.120137154129925</c:v>
                </c:pt>
                <c:pt idx="932">
                  <c:v>-14.132262427380697</c:v>
                </c:pt>
                <c:pt idx="933">
                  <c:v>-14.144387725077161</c:v>
                </c:pt>
                <c:pt idx="934">
                  <c:v>-14.156513047218938</c:v>
                </c:pt>
                <c:pt idx="935">
                  <c:v>-14.168638393805651</c:v>
                </c:pt>
                <c:pt idx="936">
                  <c:v>-14.180763764836918</c:v>
                </c:pt>
                <c:pt idx="937">
                  <c:v>-14.19288916031236</c:v>
                </c:pt>
                <c:pt idx="938">
                  <c:v>-14.2050145802316</c:v>
                </c:pt>
                <c:pt idx="939">
                  <c:v>-14.217140024594258</c:v>
                </c:pt>
                <c:pt idx="940">
                  <c:v>-14.229265493399954</c:v>
                </c:pt>
                <c:pt idx="941">
                  <c:v>-14.241390986648309</c:v>
                </c:pt>
                <c:pt idx="942">
                  <c:v>-14.253516504338945</c:v>
                </c:pt>
                <c:pt idx="943">
                  <c:v>-14.265642046471484</c:v>
                </c:pt>
                <c:pt idx="944">
                  <c:v>-14.277767613045546</c:v>
                </c:pt>
                <c:pt idx="945">
                  <c:v>-14.28989320406075</c:v>
                </c:pt>
                <c:pt idx="946">
                  <c:v>-14.30201881951672</c:v>
                </c:pt>
                <c:pt idx="947">
                  <c:v>-14.314144459413075</c:v>
                </c:pt>
                <c:pt idx="948">
                  <c:v>-14.326270123749437</c:v>
                </c:pt>
                <c:pt idx="949">
                  <c:v>-14.338395812525425</c:v>
                </c:pt>
                <c:pt idx="950">
                  <c:v>-14.350521525740662</c:v>
                </c:pt>
                <c:pt idx="951">
                  <c:v>-14.362647263394768</c:v>
                </c:pt>
                <c:pt idx="952">
                  <c:v>-14.374773025487364</c:v>
                </c:pt>
                <c:pt idx="953">
                  <c:v>-14.386898812018073</c:v>
                </c:pt>
                <c:pt idx="954">
                  <c:v>-14.399024622986513</c:v>
                </c:pt>
                <c:pt idx="955">
                  <c:v>-14.411150458392306</c:v>
                </c:pt>
                <c:pt idx="956">
                  <c:v>-14.423276318235075</c:v>
                </c:pt>
                <c:pt idx="957">
                  <c:v>-14.435402202514439</c:v>
                </c:pt>
                <c:pt idx="958">
                  <c:v>-14.447528111230019</c:v>
                </c:pt>
                <c:pt idx="959">
                  <c:v>-14.459654044381438</c:v>
                </c:pt>
                <c:pt idx="960">
                  <c:v>-14.471780001968314</c:v>
                </c:pt>
                <c:pt idx="961">
                  <c:v>-14.483905983990269</c:v>
                </c:pt>
                <c:pt idx="962">
                  <c:v>-14.496031990446925</c:v>
                </c:pt>
                <c:pt idx="963">
                  <c:v>-14.508158021337902</c:v>
                </c:pt>
                <c:pt idx="964">
                  <c:v>-14.520284076662822</c:v>
                </c:pt>
                <c:pt idx="965">
                  <c:v>-14.532410156421305</c:v>
                </c:pt>
                <c:pt idx="966">
                  <c:v>-14.544536260612972</c:v>
                </c:pt>
                <c:pt idx="967">
                  <c:v>-14.556662389237445</c:v>
                </c:pt>
                <c:pt idx="968">
                  <c:v>-14.568788542294344</c:v>
                </c:pt>
                <c:pt idx="969">
                  <c:v>-14.580914719783291</c:v>
                </c:pt>
                <c:pt idx="970">
                  <c:v>-14.593040921703906</c:v>
                </c:pt>
                <c:pt idx="971">
                  <c:v>-14.605167148055811</c:v>
                </c:pt>
                <c:pt idx="972">
                  <c:v>-14.617293398838628</c:v>
                </c:pt>
                <c:pt idx="973">
                  <c:v>-14.629419674051976</c:v>
                </c:pt>
                <c:pt idx="974">
                  <c:v>-14.641545973695477</c:v>
                </c:pt>
                <c:pt idx="975">
                  <c:v>-14.653672297768752</c:v>
                </c:pt>
                <c:pt idx="976">
                  <c:v>-14.665798646271421</c:v>
                </c:pt>
                <c:pt idx="977">
                  <c:v>-14.677925019203107</c:v>
                </c:pt>
                <c:pt idx="978">
                  <c:v>-14.690051416563429</c:v>
                </c:pt>
                <c:pt idx="979">
                  <c:v>-14.702177838352011</c:v>
                </c:pt>
                <c:pt idx="980">
                  <c:v>-14.71430428456847</c:v>
                </c:pt>
                <c:pt idx="981">
                  <c:v>-14.72643075521243</c:v>
                </c:pt>
                <c:pt idx="982">
                  <c:v>-14.738557250283511</c:v>
                </c:pt>
                <c:pt idx="983">
                  <c:v>-14.750683769781334</c:v>
                </c:pt>
                <c:pt idx="984">
                  <c:v>-14.76281031370552</c:v>
                </c:pt>
                <c:pt idx="985">
                  <c:v>-14.774936882055691</c:v>
                </c:pt>
                <c:pt idx="986">
                  <c:v>-14.787063474831468</c:v>
                </c:pt>
                <c:pt idx="987">
                  <c:v>-14.799190092032472</c:v>
                </c:pt>
                <c:pt idx="988">
                  <c:v>-14.811316733658323</c:v>
                </c:pt>
                <c:pt idx="989">
                  <c:v>-14.823443399708644</c:v>
                </c:pt>
                <c:pt idx="990">
                  <c:v>-14.835570090183055</c:v>
                </c:pt>
                <c:pt idx="991">
                  <c:v>-14.847696805081176</c:v>
                </c:pt>
                <c:pt idx="992">
                  <c:v>-14.85982354440263</c:v>
                </c:pt>
                <c:pt idx="993">
                  <c:v>-14.871950308147037</c:v>
                </c:pt>
                <c:pt idx="994">
                  <c:v>-14.884077096314018</c:v>
                </c:pt>
                <c:pt idx="995">
                  <c:v>-14.896203908903194</c:v>
                </c:pt>
                <c:pt idx="996">
                  <c:v>-14.908330745914187</c:v>
                </c:pt>
                <c:pt idx="997">
                  <c:v>-14.920457607346618</c:v>
                </c:pt>
                <c:pt idx="998">
                  <c:v>-14.932584493200107</c:v>
                </c:pt>
                <c:pt idx="999">
                  <c:v>-14.944711403474276</c:v>
                </c:pt>
                <c:pt idx="1000">
                  <c:v>-14.956838338168746</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16.2</c:v>
                </c:pt>
                <c:pt idx="1">
                  <c:v>60.376086760912095</c:v>
                </c:pt>
                <c:pt idx="2">
                  <c:v>104.55217352182419</c:v>
                </c:pt>
                <c:pt idx="3">
                  <c:v>103.36173916610831</c:v>
                </c:pt>
                <c:pt idx="4">
                  <c:v>104.55217352182419</c:v>
                </c:pt>
                <c:pt idx="5">
                  <c:v>99.911739166108291</c:v>
                </c:pt>
                <c:pt idx="6">
                  <c:v>104.55217352182419</c:v>
                </c:pt>
              </c:numCache>
            </c:numRef>
          </c:xVal>
          <c:yVal>
            <c:numRef>
              <c:f>Trajecto!$C$132:$C$138</c:f>
              <c:numCache>
                <c:formatCode>0</c:formatCode>
                <c:ptCount val="7"/>
                <c:pt idx="0">
                  <c:v>1320.237263236472</c:v>
                </c:pt>
                <c:pt idx="1">
                  <c:v>660.11863161823601</c:v>
                </c:pt>
                <c:pt idx="2">
                  <c:v>0</c:v>
                </c:pt>
                <c:pt idx="3">
                  <c:v>61.972418911801178</c:v>
                </c:pt>
                <c:pt idx="4">
                  <c:v>0</c:v>
                </c:pt>
                <c:pt idx="5">
                  <c:v>25.157640746214064</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4.5999999999999996</c:v>
                </c:pt>
                <c:pt idx="1">
                  <c:v>26.920746199226279</c:v>
                </c:pt>
                <c:pt idx="2">
                  <c:v>49.241492398452557</c:v>
                </c:pt>
                <c:pt idx="3">
                  <c:v>47.406863718471143</c:v>
                </c:pt>
                <c:pt idx="4">
                  <c:v>49.241492398452557</c:v>
                </c:pt>
                <c:pt idx="5">
                  <c:v>45.096121078433939</c:v>
                </c:pt>
                <c:pt idx="6">
                  <c:v>49.241492398452557</c:v>
                </c:pt>
              </c:numCache>
            </c:numRef>
          </c:xVal>
          <c:yVal>
            <c:numRef>
              <c:f>Trajecto!$C$149:$C$155</c:f>
              <c:numCache>
                <c:formatCode>0</c:formatCode>
                <c:ptCount val="7"/>
                <c:pt idx="0">
                  <c:v>564.96320263534824</c:v>
                </c:pt>
                <c:pt idx="1">
                  <c:v>282.48160131767412</c:v>
                </c:pt>
                <c:pt idx="2">
                  <c:v>0</c:v>
                </c:pt>
                <c:pt idx="3">
                  <c:v>102.03759071735558</c:v>
                </c:pt>
                <c:pt idx="4">
                  <c:v>0</c:v>
                </c:pt>
                <c:pt idx="5">
                  <c:v>21.871267058141569</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Calculs!$AE$4:$AE$1004</c:f>
              <c:numCache>
                <c:formatCode>0</c:formatCode>
                <c:ptCount val="1001"/>
                <c:pt idx="0">
                  <c:v>0</c:v>
                </c:pt>
                <c:pt idx="1">
                  <c:v>3.7787863175434927E-6</c:v>
                </c:pt>
                <c:pt idx="2">
                  <c:v>9.7430286809401792E-4</c:v>
                </c:pt>
                <c:pt idx="3">
                  <c:v>4.8304626638425606E-3</c:v>
                </c:pt>
                <c:pt idx="4">
                  <c:v>1.3492455547460976E-2</c:v>
                </c:pt>
                <c:pt idx="5">
                  <c:v>2.8882335691858652E-2</c:v>
                </c:pt>
                <c:pt idx="6">
                  <c:v>5.2438330844134518E-2</c:v>
                </c:pt>
                <c:pt idx="7">
                  <c:v>8.4627999028125303E-2</c:v>
                </c:pt>
                <c:pt idx="8">
                  <c:v>0.12543307209862209</c:v>
                </c:pt>
                <c:pt idx="9">
                  <c:v>0.17483518671082196</c:v>
                </c:pt>
                <c:pt idx="10">
                  <c:v>0.23281588467534353</c:v>
                </c:pt>
                <c:pt idx="11">
                  <c:v>0.29935661331694385</c:v>
                </c:pt>
                <c:pt idx="12">
                  <c:v>0.37443872583690696</c:v>
                </c:pt>
                <c:pt idx="13">
                  <c:v>0.45804348167907422</c:v>
                </c:pt>
                <c:pt idx="14">
                  <c:v>0.55015204689948516</c:v>
                </c:pt>
                <c:pt idx="15">
                  <c:v>0.65074549453959929</c:v>
                </c:pt>
                <c:pt idx="16">
                  <c:v>0.75980480500306613</c:v>
                </c:pt>
                <c:pt idx="17">
                  <c:v>0.87731086643601375</c:v>
                </c:pt>
                <c:pt idx="18">
                  <c:v>1.0032444751108227</c:v>
                </c:pt>
                <c:pt idx="19">
                  <c:v>1.1375863358133538</c:v>
                </c:pt>
                <c:pt idx="20">
                  <c:v>1.2803170622335978</c:v>
                </c:pt>
                <c:pt idx="21">
                  <c:v>1.4314171773597135</c:v>
                </c:pt>
                <c:pt idx="22">
                  <c:v>1.5908671138754222</c:v>
                </c:pt>
                <c:pt idx="23">
                  <c:v>1.7586472145607248</c:v>
                </c:pt>
                <c:pt idx="24">
                  <c:v>1.9347377326959072</c:v>
                </c:pt>
                <c:pt idx="25">
                  <c:v>2.1191188324688026</c:v>
                </c:pt>
                <c:pt idx="26">
                  <c:v>2.3117705893852749</c:v>
                </c:pt>
                <c:pt idx="27">
                  <c:v>2.5126729906828871</c:v>
                </c:pt>
                <c:pt idx="28">
                  <c:v>2.7218059357477258</c:v>
                </c:pt>
                <c:pt idx="29">
                  <c:v>2.9391492365343406</c:v>
                </c:pt>
                <c:pt idx="30">
                  <c:v>3.1646826179887673</c:v>
                </c:pt>
                <c:pt idx="31">
                  <c:v>3.3983857184745978</c:v>
                </c:pt>
                <c:pt idx="32">
                  <c:v>3.6402380902020628</c:v>
                </c:pt>
                <c:pt idx="33">
                  <c:v>3.890219199660089</c:v>
                </c:pt>
                <c:pt idx="34">
                  <c:v>4.1483084280512976</c:v>
                </c:pt>
                <c:pt idx="35">
                  <c:v>4.4144702745167566</c:v>
                </c:pt>
                <c:pt idx="36">
                  <c:v>4.6886686673246736</c:v>
                </c:pt>
                <c:pt idx="37">
                  <c:v>4.97088176732339</c:v>
                </c:pt>
                <c:pt idx="38">
                  <c:v>5.2610876701949847</c:v>
                </c:pt>
                <c:pt idx="39">
                  <c:v>5.5592644130745841</c:v>
                </c:pt>
                <c:pt idx="40">
                  <c:v>5.8653899738696778</c:v>
                </c:pt>
                <c:pt idx="41">
                  <c:v>6.1794422706673755</c:v>
                </c:pt>
                <c:pt idx="42">
                  <c:v>6.501399161221042</c:v>
                </c:pt>
                <c:pt idx="43">
                  <c:v>6.8312384425088073</c:v>
                </c:pt>
                <c:pt idx="44">
                  <c:v>7.168937850357322</c:v>
                </c:pt>
                <c:pt idx="45">
                  <c:v>7.5144750591249263</c:v>
                </c:pt>
                <c:pt idx="46">
                  <c:v>7.8678276814390493</c:v>
                </c:pt>
                <c:pt idx="47">
                  <c:v>8.2289732679832355</c:v>
                </c:pt>
                <c:pt idx="48">
                  <c:v>8.5978893073296838</c:v>
                </c:pt>
                <c:pt idx="49">
                  <c:v>8.9745532258136365</c:v>
                </c:pt>
                <c:pt idx="50">
                  <c:v>9.3589423874463211</c:v>
                </c:pt>
                <c:pt idx="51">
                  <c:v>9.7510366482234261</c:v>
                </c:pt>
                <c:pt idx="52">
                  <c:v>10.150820913449881</c:v>
                </c:pt>
                <c:pt idx="53">
                  <c:v>10.558282587435848</c:v>
                </c:pt>
                <c:pt idx="54">
                  <c:v>10.973409020130692</c:v>
                </c:pt>
                <c:pt idx="55">
                  <c:v>11.396187506974208</c:v>
                </c:pt>
                <c:pt idx="56">
                  <c:v>11.826605288769619</c:v>
                </c:pt>
                <c:pt idx="57">
                  <c:v>12.264649551576969</c:v>
                </c:pt>
                <c:pt idx="58">
                  <c:v>12.710307426625654</c:v>
                </c:pt>
                <c:pt idx="59">
                  <c:v>13.163565990244917</c:v>
                </c:pt>
                <c:pt idx="60">
                  <c:v>13.62441226381128</c:v>
                </c:pt>
                <c:pt idx="61">
                  <c:v>14.092833213711897</c:v>
                </c:pt>
                <c:pt idx="62">
                  <c:v>14.568815751322973</c:v>
                </c:pt>
                <c:pt idx="63">
                  <c:v>15.052346733002386</c:v>
                </c:pt>
                <c:pt idx="64">
                  <c:v>15.543412960095768</c:v>
                </c:pt>
                <c:pt idx="65">
                  <c:v>16.042001178955335</c:v>
                </c:pt>
                <c:pt idx="66">
                  <c:v>16.548098080970799</c:v>
                </c:pt>
                <c:pt idx="67">
                  <c:v>17.061690302611765</c:v>
                </c:pt>
                <c:pt idx="68">
                  <c:v>17.582764425481052</c:v>
                </c:pt>
                <c:pt idx="69">
                  <c:v>18.111306976378398</c:v>
                </c:pt>
                <c:pt idx="70">
                  <c:v>18.647304427374063</c:v>
                </c:pt>
                <c:pt idx="71">
                  <c:v>19.190743195891891</c:v>
                </c:pt>
                <c:pt idx="72">
                  <c:v>19.741609644801372</c:v>
                </c:pt>
                <c:pt idx="73">
                  <c:v>20.299890082518331</c:v>
                </c:pt>
                <c:pt idx="74">
                  <c:v>20.865570763113876</c:v>
                </c:pt>
                <c:pt idx="75">
                  <c:v>21.438637886431209</c:v>
                </c:pt>
                <c:pt idx="76">
                  <c:v>22.019077598210028</c:v>
                </c:pt>
                <c:pt idx="77">
                  <c:v>22.606875990218185</c:v>
                </c:pt>
                <c:pt idx="78">
                  <c:v>23.202019100390295</c:v>
                </c:pt>
                <c:pt idx="79">
                  <c:v>23.80449291297305</c:v>
                </c:pt>
                <c:pt idx="80">
                  <c:v>24.414283358676954</c:v>
                </c:pt>
                <c:pt idx="81">
                  <c:v>25.031376314834272</c:v>
                </c:pt>
                <c:pt idx="82">
                  <c:v>25.655757605562911</c:v>
                </c:pt>
                <c:pt idx="83">
                  <c:v>26.287413001936063</c:v>
                </c:pt>
                <c:pt idx="84">
                  <c:v>26.926328222157366</c:v>
                </c:pt>
                <c:pt idx="85">
                  <c:v>27.572488931741425</c:v>
                </c:pt>
                <c:pt idx="86">
                  <c:v>28.225880743699481</c:v>
                </c:pt>
                <c:pt idx="87">
                  <c:v>28.886489218730038</c:v>
                </c:pt>
                <c:pt idx="88">
                  <c:v>29.554299865414336</c:v>
                </c:pt>
                <c:pt idx="89">
                  <c:v>30.229298140416446</c:v>
                </c:pt>
                <c:pt idx="90">
                  <c:v>30.911469448687878</c:v>
                </c:pt>
                <c:pt idx="91">
                  <c:v>31.600799143676532</c:v>
                </c:pt>
                <c:pt idx="92">
                  <c:v>32.297272527539889</c:v>
                </c:pt>
                <c:pt idx="93">
                  <c:v>33.000874851362241</c:v>
                </c:pt>
                <c:pt idx="94">
                  <c:v>33.711591315375934</c:v>
                </c:pt>
                <c:pt idx="95">
                  <c:v>34.429407069186396</c:v>
                </c:pt>
                <c:pt idx="96">
                  <c:v>35.154307212000916</c:v>
                </c:pt>
                <c:pt idx="97">
                  <c:v>35.886276792861025</c:v>
                </c:pt>
                <c:pt idx="98">
                  <c:v>36.625300810878372</c:v>
                </c:pt>
                <c:pt idx="99">
                  <c:v>37.371364215474003</c:v>
                </c:pt>
                <c:pt idx="100">
                  <c:v>38.124451906620934</c:v>
                </c:pt>
                <c:pt idx="101">
                  <c:v>38.884547561353045</c:v>
                </c:pt>
                <c:pt idx="102">
                  <c:v>39.65163245933396</c:v>
                </c:pt>
                <c:pt idx="103">
                  <c:v>40.425686655865711</c:v>
                </c:pt>
                <c:pt idx="104">
                  <c:v>41.206690155897249</c:v>
                </c:pt>
                <c:pt idx="105">
                  <c:v>41.994622914389659</c:v>
                </c:pt>
                <c:pt idx="106">
                  <c:v>42.789464836684097</c:v>
                </c:pt>
                <c:pt idx="107">
                  <c:v>43.591195778872333</c:v>
                </c:pt>
                <c:pt idx="108">
                  <c:v>44.399795548169884</c:v>
                </c:pt>
                <c:pt idx="109">
                  <c:v>45.215243903291544</c:v>
                </c:pt>
                <c:pt idx="110">
                  <c:v>46.037520554829314</c:v>
                </c:pt>
                <c:pt idx="111">
                  <c:v>46.866605165632613</c:v>
                </c:pt>
                <c:pt idx="112">
                  <c:v>47.702477351190673</c:v>
                </c:pt>
                <c:pt idx="113">
                  <c:v>48.545116680017038</c:v>
                </c:pt>
                <c:pt idx="114">
                  <c:v>49.394502674036168</c:v>
                </c:pt>
                <c:pt idx="115">
                  <c:v>50.250614808971932</c:v>
                </c:pt>
                <c:pt idx="116">
                  <c:v>51.113432514738065</c:v>
                </c:pt>
                <c:pt idx="117">
                  <c:v>51.982935175830413</c:v>
                </c:pt>
                <c:pt idx="118">
                  <c:v>52.859102131720924</c:v>
                </c:pt>
                <c:pt idx="119">
                  <c:v>53.741912677253374</c:v>
                </c:pt>
                <c:pt idx="120">
                  <c:v>54.631346063040667</c:v>
                </c:pt>
                <c:pt idx="121">
                  <c:v>55.527381495863715</c:v>
                </c:pt>
                <c:pt idx="122">
                  <c:v>56.429998139071806</c:v>
                </c:pt>
                <c:pt idx="123">
                  <c:v>57.339175112984421</c:v>
                </c:pt>
                <c:pt idx="124">
                  <c:v>58.254891495294409</c:v>
                </c:pt>
                <c:pt idx="125">
                  <c:v>59.177126321472464</c:v>
                </c:pt>
                <c:pt idx="126">
                  <c:v>60.105858585172903</c:v>
                </c:pt>
                <c:pt idx="127">
                  <c:v>61.041067238640601</c:v>
                </c:pt>
                <c:pt idx="128">
                  <c:v>61.982731193119086</c:v>
                </c:pt>
                <c:pt idx="129">
                  <c:v>62.930829319259736</c:v>
                </c:pt>
                <c:pt idx="130">
                  <c:v>63.885340447532002</c:v>
                </c:pt>
                <c:pt idx="131">
                  <c:v>64.846243368634632</c:v>
                </c:pt>
                <c:pt idx="132">
                  <c:v>65.813516833907784</c:v>
                </c:pt>
                <c:pt idx="133">
                  <c:v>66.787139555746108</c:v>
                </c:pt>
                <c:pt idx="134">
                  <c:v>67.76709020801259</c:v>
                </c:pt>
                <c:pt idx="135">
                  <c:v>68.753347426453189</c:v>
                </c:pt>
                <c:pt idx="136">
                  <c:v>69.745889809112271</c:v>
                </c:pt>
                <c:pt idx="137">
                  <c:v>70.744695916748668</c:v>
                </c:pt>
                <c:pt idx="138">
                  <c:v>71.749744273252432</c:v>
                </c:pt>
                <c:pt idx="139">
                  <c:v>72.761013366062144</c:v>
                </c:pt>
                <c:pt idx="140">
                  <c:v>73.778481646582833</c:v>
                </c:pt>
                <c:pt idx="141">
                  <c:v>74.802127530604366</c:v>
                </c:pt>
                <c:pt idx="142">
                  <c:v>75.831929398720348</c:v>
                </c:pt>
                <c:pt idx="143">
                  <c:v>76.867865596747379</c:v>
                </c:pt>
                <c:pt idx="144">
                  <c:v>77.909914436144774</c:v>
                </c:pt>
                <c:pt idx="145">
                  <c:v>78.958054194434595</c:v>
                </c:pt>
                <c:pt idx="146">
                  <c:v>80.012263115621977</c:v>
                </c:pt>
                <c:pt idx="147">
                  <c:v>81.072519410615726</c:v>
                </c:pt>
                <c:pt idx="148">
                  <c:v>82.138801257649149</c:v>
                </c:pt>
                <c:pt idx="149">
                  <c:v>83.211086802701061</c:v>
                </c:pt>
                <c:pt idx="150">
                  <c:v>84.289354159916925</c:v>
                </c:pt>
                <c:pt idx="151">
                  <c:v>85.373581810338379</c:v>
                </c:pt>
                <c:pt idx="152">
                  <c:v>86.463749000770918</c:v>
                </c:pt>
                <c:pt idx="153">
                  <c:v>87.559835345887578</c:v>
                </c:pt>
                <c:pt idx="154">
                  <c:v>88.661820430177187</c:v>
                </c:pt>
                <c:pt idx="155">
                  <c:v>89.769683808330981</c:v>
                </c:pt>
                <c:pt idx="156">
                  <c:v>90.8834050056292</c:v>
                </c:pt>
                <c:pt idx="157">
                  <c:v>92.002963518327832</c:v>
                </c:pt>
                <c:pt idx="158">
                  <c:v>93.128338814045293</c:v>
                </c:pt>
                <c:pt idx="159">
                  <c:v>94.259510332149176</c:v>
                </c:pt>
                <c:pt idx="160">
                  <c:v>95.396457484142886</c:v>
                </c:pt>
                <c:pt idx="161">
                  <c:v>96.539159654052256</c:v>
                </c:pt>
                <c:pt idx="162">
                  <c:v>97.687596198812059</c:v>
                </c:pt>
                <c:pt idx="163">
                  <c:v>98.84174644865233</c:v>
                </c:pt>
                <c:pt idx="164">
                  <c:v>100.00158970748461</c:v>
                </c:pt>
                <c:pt idx="165">
                  <c:v>101.16710525328796</c:v>
                </c:pt>
                <c:pt idx="166">
                  <c:v>102.3382723384947</c:v>
                </c:pt>
                <c:pt idx="167">
                  <c:v>103.51507019037608</c:v>
                </c:pt>
                <c:pt idx="168">
                  <c:v>104.69747801142742</c:v>
                </c:pt>
                <c:pt idx="169">
                  <c:v>105.88547497975317</c:v>
                </c:pt>
                <c:pt idx="170">
                  <c:v>107.07904024945152</c:v>
                </c:pt>
                <c:pt idx="171">
                  <c:v>108.27815295099873</c:v>
                </c:pt>
                <c:pt idx="172">
                  <c:v>109.48279219163297</c:v>
                </c:pt>
                <c:pt idx="173">
                  <c:v>110.69293705573784</c:v>
                </c:pt>
                <c:pt idx="174">
                  <c:v>111.90856660522547</c:v>
                </c:pt>
                <c:pt idx="175">
                  <c:v>113.12965987991907</c:v>
                </c:pt>
                <c:pt idx="176">
                  <c:v>114.35619589793505</c:v>
                </c:pt>
                <c:pt idx="177">
                  <c:v>115.58815365606465</c:v>
                </c:pt>
                <c:pt idx="178">
                  <c:v>116.82551213015493</c:v>
                </c:pt>
                <c:pt idx="179">
                  <c:v>118.06825027548938</c:v>
                </c:pt>
                <c:pt idx="180">
                  <c:v>119.31634702716772</c:v>
                </c:pt>
                <c:pt idx="181">
                  <c:v>120.56978130048529</c:v>
                </c:pt>
                <c:pt idx="182">
                  <c:v>121.82853199131168</c:v>
                </c:pt>
                <c:pt idx="183">
                  <c:v>123.09257797646873</c:v>
                </c:pt>
                <c:pt idx="184">
                  <c:v>124.3618981141079</c:v>
                </c:pt>
                <c:pt idx="185">
                  <c:v>125.63647124408688</c:v>
                </c:pt>
                <c:pt idx="186">
                  <c:v>126.91627618834549</c:v>
                </c:pt>
                <c:pt idx="187">
                  <c:v>128.20129175128088</c:v>
                </c:pt>
                <c:pt idx="188">
                  <c:v>129.4914967201218</c:v>
                </c:pt>
                <c:pt idx="189">
                  <c:v>130.78686986530235</c:v>
                </c:pt>
                <c:pt idx="190">
                  <c:v>132.08738994083461</c:v>
                </c:pt>
                <c:pt idx="191">
                  <c:v>133.39303568468071</c:v>
                </c:pt>
                <c:pt idx="192">
                  <c:v>134.70378581912382</c:v>
                </c:pt>
                <c:pt idx="193">
                  <c:v>136.01961905113839</c:v>
                </c:pt>
                <c:pt idx="194">
                  <c:v>137.3405140727595</c:v>
                </c:pt>
                <c:pt idx="195">
                  <c:v>138.66644956145123</c:v>
                </c:pt>
                <c:pt idx="196">
                  <c:v>139.99740418047406</c:v>
                </c:pt>
                <c:pt idx="197">
                  <c:v>141.33335657925147</c:v>
                </c:pt>
                <c:pt idx="198">
                  <c:v>142.6742853937354</c:v>
                </c:pt>
                <c:pt idx="199">
                  <c:v>144.02016924677076</c:v>
                </c:pt>
                <c:pt idx="200">
                  <c:v>145.37098674845902</c:v>
                </c:pt>
                <c:pt idx="201">
                  <c:v>146.72671649652057</c:v>
                </c:pt>
                <c:pt idx="202">
                  <c:v>148.08733707665621</c:v>
                </c:pt>
                <c:pt idx="203">
                  <c:v>149.45282706290755</c:v>
                </c:pt>
                <c:pt idx="204">
                  <c:v>150.82316501801617</c:v>
                </c:pt>
                <c:pt idx="205">
                  <c:v>152.19832949378184</c:v>
                </c:pt>
                <c:pt idx="206">
                  <c:v>153.5782990314195</c:v>
                </c:pt>
                <c:pt idx="207">
                  <c:v>154.96305216191521</c:v>
                </c:pt>
                <c:pt idx="208">
                  <c:v>156.35256740638087</c:v>
                </c:pt>
                <c:pt idx="209">
                  <c:v>157.7468232764077</c:v>
                </c:pt>
                <c:pt idx="210">
                  <c:v>159.14579827441867</c:v>
                </c:pt>
                <c:pt idx="211">
                  <c:v>160.54947089401969</c:v>
                </c:pt>
                <c:pt idx="212">
                  <c:v>161.95781962034943</c:v>
                </c:pt>
                <c:pt idx="213">
                  <c:v>163.37082293042806</c:v>
                </c:pt>
                <c:pt idx="214">
                  <c:v>164.78845929350473</c:v>
                </c:pt>
                <c:pt idx="215">
                  <c:v>166.21070717140361</c:v>
                </c:pt>
                <c:pt idx="216">
                  <c:v>167.63754501886891</c:v>
                </c:pt>
                <c:pt idx="217">
                  <c:v>169.06895128390832</c:v>
                </c:pt>
                <c:pt idx="218">
                  <c:v>170.50490440813533</c:v>
                </c:pt>
                <c:pt idx="219">
                  <c:v>171.94538282711014</c:v>
                </c:pt>
                <c:pt idx="220">
                  <c:v>173.39036497067923</c:v>
                </c:pt>
                <c:pt idx="221">
                  <c:v>174.83982926331356</c:v>
                </c:pt>
                <c:pt idx="222">
                  <c:v>176.29375412444546</c:v>
                </c:pt>
                <c:pt idx="223">
                  <c:v>177.75211796880401</c:v>
                </c:pt>
                <c:pt idx="224">
                  <c:v>179.21489920674921</c:v>
                </c:pt>
                <c:pt idx="225">
                  <c:v>180.68207624460447</c:v>
                </c:pt>
                <c:pt idx="226">
                  <c:v>182.15362748498794</c:v>
                </c:pt>
                <c:pt idx="227">
                  <c:v>183.62953132714225</c:v>
                </c:pt>
                <c:pt idx="228">
                  <c:v>185.10976616726285</c:v>
                </c:pt>
                <c:pt idx="229">
                  <c:v>186.5943103988248</c:v>
                </c:pt>
                <c:pt idx="230">
                  <c:v>188.08314241290827</c:v>
                </c:pt>
                <c:pt idx="231">
                  <c:v>189.5762405985223</c:v>
                </c:pt>
                <c:pt idx="232">
                  <c:v>191.07358334292732</c:v>
                </c:pt>
                <c:pt idx="233">
                  <c:v>192.57514903195593</c:v>
                </c:pt>
                <c:pt idx="234">
                  <c:v>194.08091605033232</c:v>
                </c:pt>
                <c:pt idx="235">
                  <c:v>195.5908627819901</c:v>
                </c:pt>
                <c:pt idx="236">
                  <c:v>197.10496761038854</c:v>
                </c:pt>
                <c:pt idx="237">
                  <c:v>198.62320891882737</c:v>
                </c:pt>
                <c:pt idx="238">
                  <c:v>200.1455650907599</c:v>
                </c:pt>
                <c:pt idx="239">
                  <c:v>201.67201451010456</c:v>
                </c:pt>
                <c:pt idx="240">
                  <c:v>203.20253556155498</c:v>
                </c:pt>
                <c:pt idx="241">
                  <c:v>204.73710663088838</c:v>
                </c:pt>
                <c:pt idx="242">
                  <c:v>206.27570610527238</c:v>
                </c:pt>
                <c:pt idx="243">
                  <c:v>207.81831237357014</c:v>
                </c:pt>
                <c:pt idx="244">
                  <c:v>209.36490382664402</c:v>
                </c:pt>
                <c:pt idx="245">
                  <c:v>210.9154588576574</c:v>
                </c:pt>
                <c:pt idx="246">
                  <c:v>212.46995586237509</c:v>
                </c:pt>
                <c:pt idx="247">
                  <c:v>214.02837323946187</c:v>
                </c:pt>
                <c:pt idx="248">
                  <c:v>215.59068939077957</c:v>
                </c:pt>
                <c:pt idx="249">
                  <c:v>217.15688272168236</c:v>
                </c:pt>
                <c:pt idx="250">
                  <c:v>218.72693164131039</c:v>
                </c:pt>
                <c:pt idx="251">
                  <c:v>220.30081285299997</c:v>
                </c:pt>
                <c:pt idx="252">
                  <c:v>221.87849964549096</c:v>
                </c:pt>
                <c:pt idx="253">
                  <c:v>223.4599636056802</c:v>
                </c:pt>
                <c:pt idx="254">
                  <c:v>225.04517633063145</c:v>
                </c:pt>
                <c:pt idx="255">
                  <c:v>226.63410942797353</c:v>
                </c:pt>
                <c:pt idx="256">
                  <c:v>228.22673451629583</c:v>
                </c:pt>
                <c:pt idx="257">
                  <c:v>229.82302322554065</c:v>
                </c:pt>
                <c:pt idx="258">
                  <c:v>231.42294719739274</c:v>
                </c:pt>
                <c:pt idx="259">
                  <c:v>233.02647808566584</c:v>
                </c:pt>
                <c:pt idx="260">
                  <c:v>234.63358755668619</c:v>
                </c:pt>
                <c:pt idx="261">
                  <c:v>236.24424728967327</c:v>
                </c:pt>
                <c:pt idx="262">
                  <c:v>237.85842897711737</c:v>
                </c:pt>
                <c:pt idx="263">
                  <c:v>239.47610432515427</c:v>
                </c:pt>
                <c:pt idx="264">
                  <c:v>241.09724505393692</c:v>
                </c:pt>
                <c:pt idx="265">
                  <c:v>242.72182289800421</c:v>
                </c:pt>
                <c:pt idx="266">
                  <c:v>244.3498096066466</c:v>
                </c:pt>
                <c:pt idx="267">
                  <c:v>245.9811769442689</c:v>
                </c:pt>
                <c:pt idx="268">
                  <c:v>247.61589669074982</c:v>
                </c:pt>
                <c:pt idx="269">
                  <c:v>249.25394064179886</c:v>
                </c:pt>
                <c:pt idx="270">
                  <c:v>250.89528060930982</c:v>
                </c:pt>
                <c:pt idx="271">
                  <c:v>252.53988842171159</c:v>
                </c:pt>
                <c:pt idx="272">
                  <c:v>254.18773592431569</c:v>
                </c:pt>
                <c:pt idx="273">
                  <c:v>255.83879497966092</c:v>
                </c:pt>
                <c:pt idx="274">
                  <c:v>257.49303746785495</c:v>
                </c:pt>
                <c:pt idx="275">
                  <c:v>259.15043528691297</c:v>
                </c:pt>
                <c:pt idx="276">
                  <c:v>260.81096035309298</c:v>
                </c:pt>
                <c:pt idx="277">
                  <c:v>262.47458460122846</c:v>
                </c:pt>
                <c:pt idx="278">
                  <c:v>264.14127998505785</c:v>
                </c:pt>
                <c:pt idx="279">
                  <c:v>265.81101847755087</c:v>
                </c:pt>
                <c:pt idx="280">
                  <c:v>267.48377207123195</c:v>
                </c:pt>
                <c:pt idx="281">
                  <c:v>269.15951277850047</c:v>
                </c:pt>
                <c:pt idx="282">
                  <c:v>270.83821263194818</c:v>
                </c:pt>
                <c:pt idx="283">
                  <c:v>272.51984368467339</c:v>
                </c:pt>
                <c:pt idx="284">
                  <c:v>274.20437801059222</c:v>
                </c:pt>
                <c:pt idx="285">
                  <c:v>275.89178770474672</c:v>
                </c:pt>
                <c:pt idx="286">
                  <c:v>277.58204488361008</c:v>
                </c:pt>
                <c:pt idx="287">
                  <c:v>279.27512168538863</c:v>
                </c:pt>
                <c:pt idx="288">
                  <c:v>280.97099027032095</c:v>
                </c:pt>
                <c:pt idx="289">
                  <c:v>282.66962282097387</c:v>
                </c:pt>
                <c:pt idx="290">
                  <c:v>284.37099154253542</c:v>
                </c:pt>
                <c:pt idx="291">
                  <c:v>286.07506866310484</c:v>
                </c:pt>
                <c:pt idx="292">
                  <c:v>287.78182643397946</c:v>
                </c:pt>
                <c:pt idx="293">
                  <c:v>289.4912371299385</c:v>
                </c:pt>
                <c:pt idx="294">
                  <c:v>291.20327304952406</c:v>
                </c:pt>
                <c:pt idx="295">
                  <c:v>292.91790651531886</c:v>
                </c:pt>
                <c:pt idx="296">
                  <c:v>294.63510987422109</c:v>
                </c:pt>
                <c:pt idx="297">
                  <c:v>296.35485549771619</c:v>
                </c:pt>
                <c:pt idx="298">
                  <c:v>298.07709705674057</c:v>
                </c:pt>
                <c:pt idx="299">
                  <c:v>299.8017508128433</c:v>
                </c:pt>
                <c:pt idx="300">
                  <c:v>301.52871438528666</c:v>
                </c:pt>
                <c:pt idx="301">
                  <c:v>303.25788550275541</c:v>
                </c:pt>
                <c:pt idx="302">
                  <c:v>304.98916200541987</c:v>
                </c:pt>
                <c:pt idx="303">
                  <c:v>306.72244184696257</c:v>
                </c:pt>
                <c:pt idx="304">
                  <c:v>308.45762309656772</c:v>
                </c:pt>
                <c:pt idx="305">
                  <c:v>310.19460394087452</c:v>
                </c:pt>
                <c:pt idx="306">
                  <c:v>311.93328268589335</c:v>
                </c:pt>
                <c:pt idx="307">
                  <c:v>313.67355775888564</c:v>
                </c:pt>
                <c:pt idx="308">
                  <c:v>315.41532771020724</c:v>
                </c:pt>
                <c:pt idx="309">
                  <c:v>317.15849121511525</c:v>
                </c:pt>
                <c:pt idx="310">
                  <c:v>318.90294707553852</c:v>
                </c:pt>
                <c:pt idx="311">
                  <c:v>320.64859422181195</c:v>
                </c:pt>
                <c:pt idx="312">
                  <c:v>322.39533171437466</c:v>
                </c:pt>
                <c:pt idx="313">
                  <c:v>324.14305874543197</c:v>
                </c:pt>
                <c:pt idx="314">
                  <c:v>325.89167464058141</c:v>
                </c:pt>
                <c:pt idx="315">
                  <c:v>327.64107886040313</c:v>
                </c:pt>
                <c:pt idx="316">
                  <c:v>329.39117100201418</c:v>
                </c:pt>
                <c:pt idx="317">
                  <c:v>331.14185080058741</c:v>
                </c:pt>
                <c:pt idx="318">
                  <c:v>332.89301813083506</c:v>
                </c:pt>
                <c:pt idx="319">
                  <c:v>334.64457300845652</c:v>
                </c:pt>
                <c:pt idx="320">
                  <c:v>336.39641559155115</c:v>
                </c:pt>
                <c:pt idx="321">
                  <c:v>338.14845362128852</c:v>
                </c:pt>
                <c:pt idx="322">
                  <c:v>339.90060985226188</c:v>
                </c:pt>
                <c:pt idx="323">
                  <c:v>341.65281459222058</c:v>
                </c:pt>
                <c:pt idx="324">
                  <c:v>343.40499825170627</c:v>
                </c:pt>
                <c:pt idx="325">
                  <c:v>345.15709134461525</c:v>
                </c:pt>
                <c:pt idx="326">
                  <c:v>346.9090244887438</c:v>
                </c:pt>
                <c:pt idx="327">
                  <c:v>348.66072840631682</c:v>
                </c:pt>
                <c:pt idx="328">
                  <c:v>350.41213392450032</c:v>
                </c:pt>
                <c:pt idx="329">
                  <c:v>352.16317197589677</c:v>
                </c:pt>
                <c:pt idx="330">
                  <c:v>353.91377359902452</c:v>
                </c:pt>
                <c:pt idx="331">
                  <c:v>355.66386993878092</c:v>
                </c:pt>
                <c:pt idx="332">
                  <c:v>357.41339224688892</c:v>
                </c:pt>
                <c:pt idx="333">
                  <c:v>359.16227188232779</c:v>
                </c:pt>
                <c:pt idx="334">
                  <c:v>360.91044031174783</c:v>
                </c:pt>
                <c:pt idx="335">
                  <c:v>362.65782910986923</c:v>
                </c:pt>
                <c:pt idx="336">
                  <c:v>364.40436995986482</c:v>
                </c:pt>
                <c:pt idx="337">
                  <c:v>366.14999465372756</c:v>
                </c:pt>
                <c:pt idx="338">
                  <c:v>367.89463509262197</c:v>
                </c:pt>
                <c:pt idx="339">
                  <c:v>369.63822328722046</c:v>
                </c:pt>
                <c:pt idx="340">
                  <c:v>371.38069135802397</c:v>
                </c:pt>
                <c:pt idx="341">
                  <c:v>373.12197153566751</c:v>
                </c:pt>
                <c:pt idx="342">
                  <c:v>374.86199616121041</c:v>
                </c:pt>
                <c:pt idx="343">
                  <c:v>376.60069768641154</c:v>
                </c:pt>
                <c:pt idx="344">
                  <c:v>378.33800867398946</c:v>
                </c:pt>
                <c:pt idx="345">
                  <c:v>380.07386179786795</c:v>
                </c:pt>
                <c:pt idx="346">
                  <c:v>381.8081898434063</c:v>
                </c:pt>
                <c:pt idx="347">
                  <c:v>383.5409257076156</c:v>
                </c:pt>
                <c:pt idx="348">
                  <c:v>385.27200320080902</c:v>
                </c:pt>
                <c:pt idx="349">
                  <c:v>387.00135784684369</c:v>
                </c:pt>
                <c:pt idx="350">
                  <c:v>388.72892607903674</c:v>
                </c:pt>
                <c:pt idx="351">
                  <c:v>390.45464443744345</c:v>
                </c:pt>
                <c:pt idx="352">
                  <c:v>392.17844956896499</c:v>
                </c:pt>
                <c:pt idx="353">
                  <c:v>393.90027822744361</c:v>
                </c:pt>
                <c:pt idx="354">
                  <c:v>395.62006727374535</c:v>
                </c:pt>
                <c:pt idx="355">
                  <c:v>397.33775367583041</c:v>
                </c:pt>
                <c:pt idx="356">
                  <c:v>399.05327450881117</c:v>
                </c:pt>
                <c:pt idx="357">
                  <c:v>400.7665669549981</c:v>
                </c:pt>
                <c:pt idx="358">
                  <c:v>402.47756830393365</c:v>
                </c:pt>
                <c:pt idx="359">
                  <c:v>404.18621595241393</c:v>
                </c:pt>
                <c:pt idx="360">
                  <c:v>405.89246406555554</c:v>
                </c:pt>
                <c:pt idx="361">
                  <c:v>407.5963002068317</c:v>
                </c:pt>
                <c:pt idx="362">
                  <c:v>409.2977286161622</c:v>
                </c:pt>
                <c:pt idx="363">
                  <c:v>410.99675351905807</c:v>
                </c:pt>
                <c:pt idx="364">
                  <c:v>412.69337912668556</c:v>
                </c:pt>
                <c:pt idx="365">
                  <c:v>414.38760963592989</c:v>
                </c:pt>
                <c:pt idx="366">
                  <c:v>416.07944922945836</c:v>
                </c:pt>
                <c:pt idx="367">
                  <c:v>417.76890207578356</c:v>
                </c:pt>
                <c:pt idx="368">
                  <c:v>419.45597232932573</c:v>
                </c:pt>
                <c:pt idx="369">
                  <c:v>421.14066413047516</c:v>
                </c:pt>
                <c:pt idx="370">
                  <c:v>422.82298160565404</c:v>
                </c:pt>
                <c:pt idx="371">
                  <c:v>424.50292886737793</c:v>
                </c:pt>
                <c:pt idx="372">
                  <c:v>426.18051001431706</c:v>
                </c:pt>
                <c:pt idx="373">
                  <c:v>427.85572913135724</c:v>
                </c:pt>
                <c:pt idx="374">
                  <c:v>429.52859028966026</c:v>
                </c:pt>
                <c:pt idx="375">
                  <c:v>431.1990975467242</c:v>
                </c:pt>
                <c:pt idx="376">
                  <c:v>432.8672549464431</c:v>
                </c:pt>
                <c:pt idx="377">
                  <c:v>434.53306651916671</c:v>
                </c:pt>
                <c:pt idx="378">
                  <c:v>436.19653628175956</c:v>
                </c:pt>
                <c:pt idx="379">
                  <c:v>437.85766823765977</c:v>
                </c:pt>
                <c:pt idx="380">
                  <c:v>439.51646637693773</c:v>
                </c:pt>
                <c:pt idx="381">
                  <c:v>441.1729346763542</c:v>
                </c:pt>
                <c:pt idx="382">
                  <c:v>442.8270770994182</c:v>
                </c:pt>
                <c:pt idx="383">
                  <c:v>444.47889759644465</c:v>
                </c:pt>
                <c:pt idx="384">
                  <c:v>446.12840010461161</c:v>
                </c:pt>
                <c:pt idx="385">
                  <c:v>447.7755885480172</c:v>
                </c:pt>
                <c:pt idx="386">
                  <c:v>449.42046683773617</c:v>
                </c:pt>
                <c:pt idx="387">
                  <c:v>451.0630388718763</c:v>
                </c:pt>
                <c:pt idx="388">
                  <c:v>452.70330853563439</c:v>
                </c:pt>
                <c:pt idx="389">
                  <c:v>454.34127970135194</c:v>
                </c:pt>
                <c:pt idx="390">
                  <c:v>455.97695622857054</c:v>
                </c:pt>
                <c:pt idx="391">
                  <c:v>457.61034196408701</c:v>
                </c:pt>
                <c:pt idx="392">
                  <c:v>459.24144074200802</c:v>
                </c:pt>
                <c:pt idx="393">
                  <c:v>460.87025638380487</c:v>
                </c:pt>
                <c:pt idx="394">
                  <c:v>462.49679269836736</c:v>
                </c:pt>
                <c:pt idx="395">
                  <c:v>464.12105348205802</c:v>
                </c:pt>
                <c:pt idx="396">
                  <c:v>465.74304251876538</c:v>
                </c:pt>
                <c:pt idx="397">
                  <c:v>467.36276357995757</c:v>
                </c:pt>
                <c:pt idx="398">
                  <c:v>468.98022042473514</c:v>
                </c:pt>
                <c:pt idx="399">
                  <c:v>470.59541679988388</c:v>
                </c:pt>
                <c:pt idx="400">
                  <c:v>472.20835643992734</c:v>
                </c:pt>
                <c:pt idx="401">
                  <c:v>488.21392075178619</c:v>
                </c:pt>
                <c:pt idx="402">
                  <c:v>503.9962075022442</c:v>
                </c:pt>
                <c:pt idx="403">
                  <c:v>519.55883335046735</c:v>
                </c:pt>
                <c:pt idx="404">
                  <c:v>534.90529909920122</c:v>
                </c:pt>
                <c:pt idx="405">
                  <c:v>550.03899447088156</c:v>
                </c:pt>
                <c:pt idx="406">
                  <c:v>564.96320263534824</c:v>
                </c:pt>
                <c:pt idx="407">
                  <c:v>579.68110450454753</c:v>
                </c:pt>
                <c:pt idx="408">
                  <c:v>594.1957828085018</c:v>
                </c:pt>
                <c:pt idx="409">
                  <c:v>608.51022596581072</c:v>
                </c:pt>
                <c:pt idx="410">
                  <c:v>622.62733176101403</c:v>
                </c:pt>
                <c:pt idx="411">
                  <c:v>636.54991084028757</c:v>
                </c:pt>
                <c:pt idx="412">
                  <c:v>650.28069003615144</c:v>
                </c:pt>
                <c:pt idx="413">
                  <c:v>663.8223155311432</c:v>
                </c:pt>
                <c:pt idx="414">
                  <c:v>677.17735586973197</c:v>
                </c:pt>
                <c:pt idx="415">
                  <c:v>690.34830482713278</c:v>
                </c:pt>
                <c:pt idx="416">
                  <c:v>703.33758414310284</c:v>
                </c:pt>
                <c:pt idx="417">
                  <c:v>716.14754612827358</c:v>
                </c:pt>
                <c:pt idx="418">
                  <c:v>728.78047615007927</c:v>
                </c:pt>
                <c:pt idx="419">
                  <c:v>741.23859500488913</c:v>
                </c:pt>
                <c:pt idx="420">
                  <c:v>753.52406118252827</c:v>
                </c:pt>
                <c:pt idx="421">
                  <c:v>765.63897302898113</c:v>
                </c:pt>
                <c:pt idx="422">
                  <c:v>777.5853708127089</c:v>
                </c:pt>
                <c:pt idx="423">
                  <c:v>789.36523869967493</c:v>
                </c:pt>
                <c:pt idx="424">
                  <c:v>800.98050664185814</c:v>
                </c:pt>
                <c:pt idx="425">
                  <c:v>812.43305218374508</c:v>
                </c:pt>
                <c:pt idx="426">
                  <c:v>823.72470219101695</c:v>
                </c:pt>
                <c:pt idx="427">
                  <c:v>834.85723450539786</c:v>
                </c:pt>
                <c:pt idx="428">
                  <c:v>845.83237952939407</c:v>
                </c:pt>
                <c:pt idx="429">
                  <c:v>856.65182174443441</c:v>
                </c:pt>
                <c:pt idx="430">
                  <c:v>867.31720116571717</c:v>
                </c:pt>
                <c:pt idx="431">
                  <c:v>877.83011473687839</c:v>
                </c:pt>
                <c:pt idx="432">
                  <c:v>888.1921176674158</c:v>
                </c:pt>
                <c:pt idx="433">
                  <c:v>898.40472471563851</c:v>
                </c:pt>
                <c:pt idx="434">
                  <c:v>908.46941141975321</c:v>
                </c:pt>
                <c:pt idx="435">
                  <c:v>918.38761527955444</c:v>
                </c:pt>
                <c:pt idx="436">
                  <c:v>928.16073689104678</c:v>
                </c:pt>
                <c:pt idx="437">
                  <c:v>937.7901410362017</c:v>
                </c:pt>
                <c:pt idx="438">
                  <c:v>947.27715772992849</c:v>
                </c:pt>
                <c:pt idx="439">
                  <c:v>956.62308322622846</c:v>
                </c:pt>
                <c:pt idx="440">
                  <c:v>965.82918098539483</c:v>
                </c:pt>
                <c:pt idx="441">
                  <c:v>974.89668260402118</c:v>
                </c:pt>
                <c:pt idx="442">
                  <c:v>983.82678870948928</c:v>
                </c:pt>
                <c:pt idx="443">
                  <c:v>992.62066982051874</c:v>
                </c:pt>
                <c:pt idx="444">
                  <c:v>1001.2794671752787</c:v>
                </c:pt>
                <c:pt idx="445">
                  <c:v>1009.8042935284845</c:v>
                </c:pt>
                <c:pt idx="446">
                  <c:v>1018.1962339188302</c:v>
                </c:pt>
                <c:pt idx="447">
                  <c:v>1026.4563464080379</c:v>
                </c:pt>
                <c:pt idx="448">
                  <c:v>1034.5856627927419</c:v>
                </c:pt>
                <c:pt idx="449">
                  <c:v>1042.585189290365</c:v>
                </c:pt>
                <c:pt idx="450">
                  <c:v>1050.4559072000839</c:v>
                </c:pt>
                <c:pt idx="451">
                  <c:v>1058.1987735399327</c:v>
                </c:pt>
                <c:pt idx="452">
                  <c:v>1065.8147216610382</c:v>
                </c:pt>
                <c:pt idx="453">
                  <c:v>1073.3046618399326</c:v>
                </c:pt>
                <c:pt idx="454">
                  <c:v>1080.6694818498484</c:v>
                </c:pt>
                <c:pt idx="455">
                  <c:v>1087.9100475118535</c:v>
                </c:pt>
                <c:pt idx="456">
                  <c:v>1095.0272032266471</c:v>
                </c:pt>
                <c:pt idx="457">
                  <c:v>1102.0217724877971</c:v>
                </c:pt>
                <c:pt idx="458">
                  <c:v>1108.8945583771665</c:v>
                </c:pt>
                <c:pt idx="459">
                  <c:v>1115.6463440432422</c:v>
                </c:pt>
                <c:pt idx="460">
                  <c:v>1122.2778931630451</c:v>
                </c:pt>
                <c:pt idx="461">
                  <c:v>1128.7899503882766</c:v>
                </c:pt>
                <c:pt idx="462">
                  <c:v>1135.1832417763228</c:v>
                </c:pt>
                <c:pt idx="463">
                  <c:v>1141.4584752067151</c:v>
                </c:pt>
                <c:pt idx="464">
                  <c:v>1147.6163407836204</c:v>
                </c:pt>
                <c:pt idx="465">
                  <c:v>1153.6575112249111</c:v>
                </c:pt>
                <c:pt idx="466">
                  <c:v>1159.582642238342</c:v>
                </c:pt>
                <c:pt idx="467">
                  <c:v>1165.3923728853449</c:v>
                </c:pt>
                <c:pt idx="468">
                  <c:v>1171.0873259329292</c:v>
                </c:pt>
                <c:pt idx="469">
                  <c:v>1176.668108194162</c:v>
                </c:pt>
                <c:pt idx="470">
                  <c:v>1182.1353108576832</c:v>
                </c:pt>
                <c:pt idx="471">
                  <c:v>1187.4895098066997</c:v>
                </c:pt>
                <c:pt idx="472">
                  <c:v>1192.7312659278855</c:v>
                </c:pt>
                <c:pt idx="473">
                  <c:v>1197.8611254106061</c:v>
                </c:pt>
                <c:pt idx="474">
                  <c:v>1202.8796200368736</c:v>
                </c:pt>
                <c:pt idx="475">
                  <c:v>1207.7872674624291</c:v>
                </c:pt>
                <c:pt idx="476">
                  <c:v>1212.5845714893421</c:v>
                </c:pt>
                <c:pt idx="477">
                  <c:v>1217.2720223305091</c:v>
                </c:pt>
                <c:pt idx="478">
                  <c:v>1221.8500968664316</c:v>
                </c:pt>
                <c:pt idx="479">
                  <c:v>1226.3192588946447</c:v>
                </c:pt>
                <c:pt idx="480">
                  <c:v>1230.6799593721721</c:v>
                </c:pt>
                <c:pt idx="481">
                  <c:v>1234.9326366513778</c:v>
                </c:pt>
                <c:pt idx="482">
                  <c:v>1239.0777167095894</c:v>
                </c:pt>
                <c:pt idx="483">
                  <c:v>1243.11561337287</c:v>
                </c:pt>
                <c:pt idx="484">
                  <c:v>1247.0467285343223</c:v>
                </c:pt>
                <c:pt idx="485">
                  <c:v>1250.8714523673139</c:v>
                </c:pt>
                <c:pt idx="486">
                  <c:v>1254.5901635340258</c:v>
                </c:pt>
                <c:pt idx="487">
                  <c:v>1258.2032293897346</c:v>
                </c:pt>
                <c:pt idx="488">
                  <c:v>1261.7110061832559</c:v>
                </c:pt>
                <c:pt idx="489">
                  <c:v>1265.1138392539949</c:v>
                </c:pt>
                <c:pt idx="490">
                  <c:v>1268.4120632260685</c:v>
                </c:pt>
                <c:pt idx="491">
                  <c:v>1271.6060021999865</c:v>
                </c:pt>
                <c:pt idx="492">
                  <c:v>1274.6959699424087</c:v>
                </c:pt>
                <c:pt idx="493">
                  <c:v>1277.682270074524</c:v>
                </c:pt>
                <c:pt idx="494">
                  <c:v>1280.5651962596296</c:v>
                </c:pt>
                <c:pt idx="495">
                  <c:v>1283.3450323905274</c:v>
                </c:pt>
                <c:pt idx="496">
                  <c:v>1286.0220527773956</c:v>
                </c:pt>
                <c:pt idx="497">
                  <c:v>1288.5965223368362</c:v>
                </c:pt>
                <c:pt idx="498">
                  <c:v>1291.0686967828467</c:v>
                </c:pt>
                <c:pt idx="499">
                  <c:v>1293.4388228205157</c:v>
                </c:pt>
                <c:pt idx="500">
                  <c:v>1295.7071383432917</c:v>
                </c:pt>
                <c:pt idx="501">
                  <c:v>1297.8738726347278</c:v>
                </c:pt>
                <c:pt idx="502">
                  <c:v>1299.9392465756589</c:v>
                </c:pt>
                <c:pt idx="503">
                  <c:v>1301.9034728578172</c:v>
                </c:pt>
                <c:pt idx="504">
                  <c:v>1303.7667562049376</c:v>
                </c:pt>
                <c:pt idx="505">
                  <c:v>1305.5292936024475</c:v>
                </c:pt>
                <c:pt idx="506">
                  <c:v>1307.191274536862</c:v>
                </c:pt>
                <c:pt idx="507">
                  <c:v>1308.7528812460223</c:v>
                </c:pt>
                <c:pt idx="508">
                  <c:v>1310.2142889813167</c:v>
                </c:pt>
                <c:pt idx="509">
                  <c:v>1311.5756662829938</c:v>
                </c:pt>
                <c:pt idx="510">
                  <c:v>1312.8371752696298</c:v>
                </c:pt>
                <c:pt idx="511">
                  <c:v>1313.9989719427256</c:v>
                </c:pt>
                <c:pt idx="512">
                  <c:v>1315.0612065072837</c:v>
                </c:pt>
                <c:pt idx="513">
                  <c:v>1316.0240237090568</c:v>
                </c:pt>
                <c:pt idx="514">
                  <c:v>1316.8875631889418</c:v>
                </c:pt>
                <c:pt idx="515">
                  <c:v>1317.6519598547452</c:v>
                </c:pt>
                <c:pt idx="516">
                  <c:v>1318.3173442702391</c:v>
                </c:pt>
                <c:pt idx="517">
                  <c:v>1318.883843061087</c:v>
                </c:pt>
                <c:pt idx="518">
                  <c:v>1319.3515793368435</c:v>
                </c:pt>
                <c:pt idx="519">
                  <c:v>1319.7206731278304</c:v>
                </c:pt>
                <c:pt idx="520">
                  <c:v>1319.9912418352831</c:v>
                </c:pt>
                <c:pt idx="521">
                  <c:v>1320.1634006927657</c:v>
                </c:pt>
                <c:pt idx="522">
                  <c:v>1320.237263236472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4.05</c:v>
                </c:pt>
              </c:numCache>
            </c:numRef>
          </c:xVal>
          <c:yVal>
            <c:numRef>
              <c:f>Trajecto!$C$158</c:f>
              <c:numCache>
                <c:formatCode>0</c:formatCode>
                <c:ptCount val="1"/>
                <c:pt idx="0">
                  <c:v>660.11863161823601</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25.350000000000048</c:v>
                </c:pt>
              </c:numCache>
            </c:numRef>
          </c:xVal>
          <c:yVal>
            <c:numRef>
              <c:f>Trajecto!$C$159</c:f>
              <c:numCache>
                <c:formatCode>0</c:formatCode>
                <c:ptCount val="1"/>
                <c:pt idx="0">
                  <c:v>660.11863161823601</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Calculs!$Q$4:$Q$1004</c:f>
              <c:numCache>
                <c:formatCode>0.00</c:formatCode>
                <c:ptCount val="1001"/>
                <c:pt idx="0">
                  <c:v>0</c:v>
                </c:pt>
                <c:pt idx="1">
                  <c:v>89.3</c:v>
                </c:pt>
                <c:pt idx="2">
                  <c:v>267.89999999999998</c:v>
                </c:pt>
                <c:pt idx="3">
                  <c:v>446.49999999999994</c:v>
                </c:pt>
                <c:pt idx="4">
                  <c:v>625.1</c:v>
                </c:pt>
                <c:pt idx="5">
                  <c:v>803.7</c:v>
                </c:pt>
                <c:pt idx="6">
                  <c:v>891.94444444444446</c:v>
                </c:pt>
                <c:pt idx="7">
                  <c:v>889.83333333333337</c:v>
                </c:pt>
                <c:pt idx="8">
                  <c:v>887.72222222222217</c:v>
                </c:pt>
                <c:pt idx="9">
                  <c:v>885.61111111111109</c:v>
                </c:pt>
                <c:pt idx="10">
                  <c:v>883.5</c:v>
                </c:pt>
                <c:pt idx="11">
                  <c:v>881.38888888888891</c:v>
                </c:pt>
                <c:pt idx="12">
                  <c:v>879.27777777777783</c:v>
                </c:pt>
                <c:pt idx="13">
                  <c:v>877.16666666666663</c:v>
                </c:pt>
                <c:pt idx="14">
                  <c:v>875.05555555555554</c:v>
                </c:pt>
                <c:pt idx="15">
                  <c:v>872.94444444444446</c:v>
                </c:pt>
                <c:pt idx="16">
                  <c:v>870.83333333333337</c:v>
                </c:pt>
                <c:pt idx="17">
                  <c:v>868.72222222222217</c:v>
                </c:pt>
                <c:pt idx="18">
                  <c:v>866.61111111111109</c:v>
                </c:pt>
                <c:pt idx="19">
                  <c:v>864.5</c:v>
                </c:pt>
                <c:pt idx="20">
                  <c:v>862.38888888888891</c:v>
                </c:pt>
                <c:pt idx="21">
                  <c:v>860.27777777777783</c:v>
                </c:pt>
                <c:pt idx="22">
                  <c:v>858.16666666666663</c:v>
                </c:pt>
                <c:pt idx="23">
                  <c:v>856.05555555555554</c:v>
                </c:pt>
                <c:pt idx="24">
                  <c:v>853.94444444444446</c:v>
                </c:pt>
                <c:pt idx="25">
                  <c:v>851.83333333333337</c:v>
                </c:pt>
                <c:pt idx="26">
                  <c:v>849.72222222222217</c:v>
                </c:pt>
                <c:pt idx="27">
                  <c:v>847.61111111111109</c:v>
                </c:pt>
                <c:pt idx="28">
                  <c:v>845.5</c:v>
                </c:pt>
                <c:pt idx="29">
                  <c:v>843.38888888888891</c:v>
                </c:pt>
                <c:pt idx="30">
                  <c:v>841.27777777777771</c:v>
                </c:pt>
                <c:pt idx="31">
                  <c:v>839.16666666666663</c:v>
                </c:pt>
                <c:pt idx="32">
                  <c:v>837.05555555555554</c:v>
                </c:pt>
                <c:pt idx="33">
                  <c:v>834.94444444444446</c:v>
                </c:pt>
                <c:pt idx="34">
                  <c:v>832.83333333333326</c:v>
                </c:pt>
                <c:pt idx="35">
                  <c:v>830.72222222222217</c:v>
                </c:pt>
                <c:pt idx="36">
                  <c:v>828.61111111111109</c:v>
                </c:pt>
                <c:pt idx="37">
                  <c:v>826.5</c:v>
                </c:pt>
                <c:pt idx="38">
                  <c:v>824.38888888888891</c:v>
                </c:pt>
                <c:pt idx="39">
                  <c:v>822.27777777777771</c:v>
                </c:pt>
                <c:pt idx="40">
                  <c:v>820.16666666666663</c:v>
                </c:pt>
                <c:pt idx="41">
                  <c:v>818.05555555555554</c:v>
                </c:pt>
                <c:pt idx="42">
                  <c:v>815.94444444444434</c:v>
                </c:pt>
                <c:pt idx="43">
                  <c:v>813.83333333333326</c:v>
                </c:pt>
                <c:pt idx="44">
                  <c:v>811.72222222222217</c:v>
                </c:pt>
                <c:pt idx="45">
                  <c:v>809.61111111111109</c:v>
                </c:pt>
                <c:pt idx="46">
                  <c:v>807.5</c:v>
                </c:pt>
                <c:pt idx="47">
                  <c:v>805.3888888888888</c:v>
                </c:pt>
                <c:pt idx="48">
                  <c:v>803.27777777777771</c:v>
                </c:pt>
                <c:pt idx="49">
                  <c:v>801.16666666666663</c:v>
                </c:pt>
                <c:pt idx="50">
                  <c:v>799.05555555555554</c:v>
                </c:pt>
                <c:pt idx="51">
                  <c:v>797.41</c:v>
                </c:pt>
                <c:pt idx="52">
                  <c:v>796.23</c:v>
                </c:pt>
                <c:pt idx="53">
                  <c:v>795.05</c:v>
                </c:pt>
                <c:pt idx="54">
                  <c:v>793.87</c:v>
                </c:pt>
                <c:pt idx="55">
                  <c:v>792.68999999999994</c:v>
                </c:pt>
                <c:pt idx="56">
                  <c:v>791.51</c:v>
                </c:pt>
                <c:pt idx="57">
                  <c:v>790.32999999999993</c:v>
                </c:pt>
                <c:pt idx="58">
                  <c:v>789.15</c:v>
                </c:pt>
                <c:pt idx="59">
                  <c:v>787.96999999999991</c:v>
                </c:pt>
                <c:pt idx="60">
                  <c:v>786.79</c:v>
                </c:pt>
                <c:pt idx="61">
                  <c:v>785.61</c:v>
                </c:pt>
                <c:pt idx="62">
                  <c:v>784.43</c:v>
                </c:pt>
                <c:pt idx="63">
                  <c:v>783.25</c:v>
                </c:pt>
                <c:pt idx="64">
                  <c:v>782.06999999999994</c:v>
                </c:pt>
                <c:pt idx="65">
                  <c:v>780.89</c:v>
                </c:pt>
                <c:pt idx="66">
                  <c:v>779.70999999999992</c:v>
                </c:pt>
                <c:pt idx="67">
                  <c:v>778.53</c:v>
                </c:pt>
                <c:pt idx="68">
                  <c:v>777.34999999999991</c:v>
                </c:pt>
                <c:pt idx="69">
                  <c:v>776.17</c:v>
                </c:pt>
                <c:pt idx="70">
                  <c:v>774.99</c:v>
                </c:pt>
                <c:pt idx="71">
                  <c:v>773.81</c:v>
                </c:pt>
                <c:pt idx="72">
                  <c:v>772.63</c:v>
                </c:pt>
                <c:pt idx="73">
                  <c:v>771.44999999999993</c:v>
                </c:pt>
                <c:pt idx="74">
                  <c:v>770.27</c:v>
                </c:pt>
                <c:pt idx="75">
                  <c:v>769.08999999999992</c:v>
                </c:pt>
                <c:pt idx="76">
                  <c:v>767.91</c:v>
                </c:pt>
                <c:pt idx="77">
                  <c:v>766.7299999999999</c:v>
                </c:pt>
                <c:pt idx="78">
                  <c:v>765.55</c:v>
                </c:pt>
                <c:pt idx="79">
                  <c:v>764.36999999999989</c:v>
                </c:pt>
                <c:pt idx="80">
                  <c:v>763.18999999999994</c:v>
                </c:pt>
                <c:pt idx="81">
                  <c:v>762.01</c:v>
                </c:pt>
                <c:pt idx="82">
                  <c:v>760.82999999999993</c:v>
                </c:pt>
                <c:pt idx="83">
                  <c:v>759.65</c:v>
                </c:pt>
                <c:pt idx="84">
                  <c:v>758.46999999999991</c:v>
                </c:pt>
                <c:pt idx="85">
                  <c:v>757.29</c:v>
                </c:pt>
                <c:pt idx="86">
                  <c:v>756.1099999999999</c:v>
                </c:pt>
                <c:pt idx="87">
                  <c:v>754.93</c:v>
                </c:pt>
                <c:pt idx="88">
                  <c:v>753.74999999999989</c:v>
                </c:pt>
                <c:pt idx="89">
                  <c:v>752.56999999999994</c:v>
                </c:pt>
                <c:pt idx="90">
                  <c:v>751.38999999999987</c:v>
                </c:pt>
                <c:pt idx="91">
                  <c:v>750.20999999999992</c:v>
                </c:pt>
                <c:pt idx="92">
                  <c:v>749.03</c:v>
                </c:pt>
                <c:pt idx="93">
                  <c:v>747.84999999999991</c:v>
                </c:pt>
                <c:pt idx="94">
                  <c:v>746.67</c:v>
                </c:pt>
                <c:pt idx="95">
                  <c:v>745.4899999999999</c:v>
                </c:pt>
                <c:pt idx="96">
                  <c:v>744.31</c:v>
                </c:pt>
                <c:pt idx="97">
                  <c:v>743.12999999999988</c:v>
                </c:pt>
                <c:pt idx="98">
                  <c:v>741.94999999999993</c:v>
                </c:pt>
                <c:pt idx="99">
                  <c:v>740.77</c:v>
                </c:pt>
                <c:pt idx="100">
                  <c:v>739.58999999999992</c:v>
                </c:pt>
                <c:pt idx="101">
                  <c:v>738.19999999999982</c:v>
                </c:pt>
                <c:pt idx="102">
                  <c:v>736.59999999999991</c:v>
                </c:pt>
                <c:pt idx="103">
                  <c:v>734.99999999999989</c:v>
                </c:pt>
                <c:pt idx="104">
                  <c:v>733.39999999999986</c:v>
                </c:pt>
                <c:pt idx="105">
                  <c:v>731.79999999999984</c:v>
                </c:pt>
                <c:pt idx="106">
                  <c:v>730.19999999999982</c:v>
                </c:pt>
                <c:pt idx="107">
                  <c:v>728.59999999999991</c:v>
                </c:pt>
                <c:pt idx="108">
                  <c:v>726.99999999999989</c:v>
                </c:pt>
                <c:pt idx="109">
                  <c:v>725.39999999999986</c:v>
                </c:pt>
                <c:pt idx="110">
                  <c:v>723.79999999999984</c:v>
                </c:pt>
                <c:pt idx="111">
                  <c:v>722.19999999999982</c:v>
                </c:pt>
                <c:pt idx="112">
                  <c:v>720.59999999999991</c:v>
                </c:pt>
                <c:pt idx="113">
                  <c:v>718.99999999999989</c:v>
                </c:pt>
                <c:pt idx="114">
                  <c:v>717.39999999999986</c:v>
                </c:pt>
                <c:pt idx="115">
                  <c:v>715.79999999999984</c:v>
                </c:pt>
                <c:pt idx="116">
                  <c:v>714.19999999999982</c:v>
                </c:pt>
                <c:pt idx="117">
                  <c:v>712.59999999999991</c:v>
                </c:pt>
                <c:pt idx="118">
                  <c:v>710.99999999999989</c:v>
                </c:pt>
                <c:pt idx="119">
                  <c:v>709.39999999999986</c:v>
                </c:pt>
                <c:pt idx="120">
                  <c:v>707.79999999999984</c:v>
                </c:pt>
                <c:pt idx="121">
                  <c:v>706.19999999999982</c:v>
                </c:pt>
                <c:pt idx="122">
                  <c:v>704.5999999999998</c:v>
                </c:pt>
                <c:pt idx="123">
                  <c:v>702.99999999999989</c:v>
                </c:pt>
                <c:pt idx="124">
                  <c:v>701.39999999999986</c:v>
                </c:pt>
                <c:pt idx="125">
                  <c:v>699.79999999999984</c:v>
                </c:pt>
                <c:pt idx="126">
                  <c:v>698.19999999999982</c:v>
                </c:pt>
                <c:pt idx="127">
                  <c:v>696.5999999999998</c:v>
                </c:pt>
                <c:pt idx="128">
                  <c:v>694.99999999999989</c:v>
                </c:pt>
                <c:pt idx="129">
                  <c:v>693.39999999999986</c:v>
                </c:pt>
                <c:pt idx="130">
                  <c:v>691.79999999999984</c:v>
                </c:pt>
                <c:pt idx="131">
                  <c:v>690.19999999999982</c:v>
                </c:pt>
                <c:pt idx="132">
                  <c:v>688.5999999999998</c:v>
                </c:pt>
                <c:pt idx="133">
                  <c:v>686.99999999999977</c:v>
                </c:pt>
                <c:pt idx="134">
                  <c:v>685.39999999999986</c:v>
                </c:pt>
                <c:pt idx="135">
                  <c:v>683.79999999999984</c:v>
                </c:pt>
                <c:pt idx="136">
                  <c:v>682.19999999999982</c:v>
                </c:pt>
                <c:pt idx="137">
                  <c:v>680.5999999999998</c:v>
                </c:pt>
                <c:pt idx="138">
                  <c:v>678.99999999999977</c:v>
                </c:pt>
                <c:pt idx="139">
                  <c:v>677.39999999999986</c:v>
                </c:pt>
                <c:pt idx="140">
                  <c:v>675.79999999999984</c:v>
                </c:pt>
                <c:pt idx="141">
                  <c:v>674.19999999999982</c:v>
                </c:pt>
                <c:pt idx="142">
                  <c:v>672.5999999999998</c:v>
                </c:pt>
                <c:pt idx="143">
                  <c:v>670.99999999999977</c:v>
                </c:pt>
                <c:pt idx="144">
                  <c:v>669.39999999999986</c:v>
                </c:pt>
                <c:pt idx="145">
                  <c:v>667.79999999999984</c:v>
                </c:pt>
                <c:pt idx="146">
                  <c:v>666.19999999999982</c:v>
                </c:pt>
                <c:pt idx="147">
                  <c:v>664.5999999999998</c:v>
                </c:pt>
                <c:pt idx="148">
                  <c:v>662.99999999999977</c:v>
                </c:pt>
                <c:pt idx="149">
                  <c:v>661.39999999999986</c:v>
                </c:pt>
                <c:pt idx="150">
                  <c:v>659.79999999999984</c:v>
                </c:pt>
                <c:pt idx="151">
                  <c:v>658.26999999999987</c:v>
                </c:pt>
                <c:pt idx="152">
                  <c:v>656.80999999999983</c:v>
                </c:pt>
                <c:pt idx="153">
                  <c:v>655.3499999999998</c:v>
                </c:pt>
                <c:pt idx="154">
                  <c:v>653.88999999999987</c:v>
                </c:pt>
                <c:pt idx="155">
                  <c:v>652.42999999999984</c:v>
                </c:pt>
                <c:pt idx="156">
                  <c:v>650.9699999999998</c:v>
                </c:pt>
                <c:pt idx="157">
                  <c:v>649.50999999999976</c:v>
                </c:pt>
                <c:pt idx="158">
                  <c:v>648.04999999999984</c:v>
                </c:pt>
                <c:pt idx="159">
                  <c:v>646.5899999999998</c:v>
                </c:pt>
                <c:pt idx="160">
                  <c:v>645.12999999999977</c:v>
                </c:pt>
                <c:pt idx="161">
                  <c:v>643.66999999999985</c:v>
                </c:pt>
                <c:pt idx="162">
                  <c:v>642.20999999999981</c:v>
                </c:pt>
                <c:pt idx="163">
                  <c:v>640.74999999999977</c:v>
                </c:pt>
                <c:pt idx="164">
                  <c:v>639.28999999999985</c:v>
                </c:pt>
                <c:pt idx="165">
                  <c:v>637.82999999999981</c:v>
                </c:pt>
                <c:pt idx="166">
                  <c:v>636.36999999999978</c:v>
                </c:pt>
                <c:pt idx="167">
                  <c:v>634.90999999999985</c:v>
                </c:pt>
                <c:pt idx="168">
                  <c:v>633.44999999999982</c:v>
                </c:pt>
                <c:pt idx="169">
                  <c:v>631.98999999999978</c:v>
                </c:pt>
                <c:pt idx="170">
                  <c:v>630.52999999999975</c:v>
                </c:pt>
                <c:pt idx="171">
                  <c:v>629.06999999999982</c:v>
                </c:pt>
                <c:pt idx="172">
                  <c:v>627.60999999999979</c:v>
                </c:pt>
                <c:pt idx="173">
                  <c:v>626.14999999999975</c:v>
                </c:pt>
                <c:pt idx="174">
                  <c:v>624.68999999999983</c:v>
                </c:pt>
                <c:pt idx="175">
                  <c:v>623.22999999999979</c:v>
                </c:pt>
                <c:pt idx="176">
                  <c:v>621.76999999999975</c:v>
                </c:pt>
                <c:pt idx="177">
                  <c:v>620.30999999999983</c:v>
                </c:pt>
                <c:pt idx="178">
                  <c:v>618.8499999999998</c:v>
                </c:pt>
                <c:pt idx="179">
                  <c:v>617.38999999999976</c:v>
                </c:pt>
                <c:pt idx="180">
                  <c:v>615.92999999999984</c:v>
                </c:pt>
                <c:pt idx="181">
                  <c:v>614.4699999999998</c:v>
                </c:pt>
                <c:pt idx="182">
                  <c:v>613.00999999999976</c:v>
                </c:pt>
                <c:pt idx="183">
                  <c:v>611.54999999999973</c:v>
                </c:pt>
                <c:pt idx="184">
                  <c:v>610.0899999999998</c:v>
                </c:pt>
                <c:pt idx="185">
                  <c:v>608.62999999999977</c:v>
                </c:pt>
                <c:pt idx="186">
                  <c:v>607.16999999999973</c:v>
                </c:pt>
                <c:pt idx="187">
                  <c:v>605.70999999999981</c:v>
                </c:pt>
                <c:pt idx="188">
                  <c:v>604.24999999999977</c:v>
                </c:pt>
                <c:pt idx="189">
                  <c:v>602.78999999999974</c:v>
                </c:pt>
                <c:pt idx="190">
                  <c:v>601.32999999999981</c:v>
                </c:pt>
                <c:pt idx="191">
                  <c:v>599.86999999999978</c:v>
                </c:pt>
                <c:pt idx="192">
                  <c:v>598.40999999999974</c:v>
                </c:pt>
                <c:pt idx="193">
                  <c:v>596.94999999999982</c:v>
                </c:pt>
                <c:pt idx="194">
                  <c:v>595.48999999999978</c:v>
                </c:pt>
                <c:pt idx="195">
                  <c:v>594.02999999999975</c:v>
                </c:pt>
                <c:pt idx="196">
                  <c:v>592.56999999999971</c:v>
                </c:pt>
                <c:pt idx="197">
                  <c:v>591.10999999999979</c:v>
                </c:pt>
                <c:pt idx="198">
                  <c:v>589.64999999999975</c:v>
                </c:pt>
                <c:pt idx="199">
                  <c:v>588.18999999999971</c:v>
                </c:pt>
                <c:pt idx="200">
                  <c:v>586.72999999999979</c:v>
                </c:pt>
                <c:pt idx="201">
                  <c:v>585.26999999999987</c:v>
                </c:pt>
                <c:pt idx="202">
                  <c:v>583.80999999999983</c:v>
                </c:pt>
                <c:pt idx="203">
                  <c:v>582.34999999999991</c:v>
                </c:pt>
                <c:pt idx="204">
                  <c:v>580.88999999999987</c:v>
                </c:pt>
                <c:pt idx="205">
                  <c:v>579.42999999999995</c:v>
                </c:pt>
                <c:pt idx="206">
                  <c:v>577.97</c:v>
                </c:pt>
                <c:pt idx="207">
                  <c:v>576.51</c:v>
                </c:pt>
                <c:pt idx="208">
                  <c:v>575.05000000000007</c:v>
                </c:pt>
                <c:pt idx="209">
                  <c:v>573.59</c:v>
                </c:pt>
                <c:pt idx="210">
                  <c:v>572.13000000000011</c:v>
                </c:pt>
                <c:pt idx="211">
                  <c:v>570.67000000000019</c:v>
                </c:pt>
                <c:pt idx="212">
                  <c:v>569.21000000000015</c:v>
                </c:pt>
                <c:pt idx="213">
                  <c:v>567.75000000000023</c:v>
                </c:pt>
                <c:pt idx="214">
                  <c:v>566.29000000000019</c:v>
                </c:pt>
                <c:pt idx="215">
                  <c:v>564.83000000000027</c:v>
                </c:pt>
                <c:pt idx="216">
                  <c:v>563.37000000000035</c:v>
                </c:pt>
                <c:pt idx="217">
                  <c:v>561.91000000000031</c:v>
                </c:pt>
                <c:pt idx="218">
                  <c:v>560.45000000000039</c:v>
                </c:pt>
                <c:pt idx="219">
                  <c:v>558.99000000000035</c:v>
                </c:pt>
                <c:pt idx="220">
                  <c:v>557.53000000000043</c:v>
                </c:pt>
                <c:pt idx="221">
                  <c:v>556.07000000000039</c:v>
                </c:pt>
                <c:pt idx="222">
                  <c:v>554.61000000000047</c:v>
                </c:pt>
                <c:pt idx="223">
                  <c:v>553.15000000000055</c:v>
                </c:pt>
                <c:pt idx="224">
                  <c:v>551.69000000000051</c:v>
                </c:pt>
                <c:pt idx="225">
                  <c:v>550.23000000000059</c:v>
                </c:pt>
                <c:pt idx="226">
                  <c:v>548.77000000000055</c:v>
                </c:pt>
                <c:pt idx="227">
                  <c:v>547.31000000000063</c:v>
                </c:pt>
                <c:pt idx="228">
                  <c:v>545.8500000000007</c:v>
                </c:pt>
                <c:pt idx="229">
                  <c:v>544.39000000000067</c:v>
                </c:pt>
                <c:pt idx="230">
                  <c:v>542.93000000000075</c:v>
                </c:pt>
                <c:pt idx="231">
                  <c:v>541.47000000000071</c:v>
                </c:pt>
                <c:pt idx="232">
                  <c:v>540.01000000000079</c:v>
                </c:pt>
                <c:pt idx="233">
                  <c:v>538.55000000000086</c:v>
                </c:pt>
                <c:pt idx="234">
                  <c:v>537.09000000000083</c:v>
                </c:pt>
                <c:pt idx="235">
                  <c:v>535.6300000000009</c:v>
                </c:pt>
                <c:pt idx="236">
                  <c:v>534.17000000000087</c:v>
                </c:pt>
                <c:pt idx="237">
                  <c:v>532.71000000000095</c:v>
                </c:pt>
                <c:pt idx="238">
                  <c:v>531.25000000000102</c:v>
                </c:pt>
                <c:pt idx="239">
                  <c:v>529.79000000000099</c:v>
                </c:pt>
                <c:pt idx="240">
                  <c:v>528.33000000000106</c:v>
                </c:pt>
                <c:pt idx="241">
                  <c:v>526.87000000000103</c:v>
                </c:pt>
                <c:pt idx="242">
                  <c:v>525.41000000000111</c:v>
                </c:pt>
                <c:pt idx="243">
                  <c:v>523.95000000000118</c:v>
                </c:pt>
                <c:pt idx="244">
                  <c:v>522.49000000000115</c:v>
                </c:pt>
                <c:pt idx="245">
                  <c:v>521.03000000000122</c:v>
                </c:pt>
                <c:pt idx="246">
                  <c:v>519.57000000000119</c:v>
                </c:pt>
                <c:pt idx="247">
                  <c:v>518.11000000000126</c:v>
                </c:pt>
                <c:pt idx="248">
                  <c:v>516.65000000000123</c:v>
                </c:pt>
                <c:pt idx="249">
                  <c:v>515.19000000000131</c:v>
                </c:pt>
                <c:pt idx="250">
                  <c:v>513.73000000000138</c:v>
                </c:pt>
                <c:pt idx="251">
                  <c:v>511.97872340425727</c:v>
                </c:pt>
                <c:pt idx="252">
                  <c:v>509.93617021276793</c:v>
                </c:pt>
                <c:pt idx="253">
                  <c:v>507.8936170212786</c:v>
                </c:pt>
                <c:pt idx="254">
                  <c:v>505.85106382978927</c:v>
                </c:pt>
                <c:pt idx="255">
                  <c:v>503.80851063829999</c:v>
                </c:pt>
                <c:pt idx="256">
                  <c:v>501.76595744681066</c:v>
                </c:pt>
                <c:pt idx="257">
                  <c:v>499.72340425532133</c:v>
                </c:pt>
                <c:pt idx="258">
                  <c:v>497.68085106383205</c:v>
                </c:pt>
                <c:pt idx="259">
                  <c:v>495.63829787234272</c:v>
                </c:pt>
                <c:pt idx="260">
                  <c:v>493.59574468085339</c:v>
                </c:pt>
                <c:pt idx="261">
                  <c:v>491.55319148936405</c:v>
                </c:pt>
                <c:pt idx="262">
                  <c:v>489.51063829787478</c:v>
                </c:pt>
                <c:pt idx="263">
                  <c:v>487.46808510638544</c:v>
                </c:pt>
                <c:pt idx="264">
                  <c:v>485.42553191489611</c:v>
                </c:pt>
                <c:pt idx="265">
                  <c:v>483.38297872340678</c:v>
                </c:pt>
                <c:pt idx="266">
                  <c:v>481.3404255319175</c:v>
                </c:pt>
                <c:pt idx="267">
                  <c:v>479.29787234042817</c:v>
                </c:pt>
                <c:pt idx="268">
                  <c:v>477.25531914893884</c:v>
                </c:pt>
                <c:pt idx="269">
                  <c:v>475.21276595744951</c:v>
                </c:pt>
                <c:pt idx="270">
                  <c:v>473.17021276596023</c:v>
                </c:pt>
                <c:pt idx="271">
                  <c:v>471.1276595744709</c:v>
                </c:pt>
                <c:pt idx="272">
                  <c:v>469.08510638298156</c:v>
                </c:pt>
                <c:pt idx="273">
                  <c:v>467.04255319149229</c:v>
                </c:pt>
                <c:pt idx="274">
                  <c:v>465.00000000000296</c:v>
                </c:pt>
                <c:pt idx="275">
                  <c:v>462.95744680851362</c:v>
                </c:pt>
                <c:pt idx="276">
                  <c:v>460.91489361702429</c:v>
                </c:pt>
                <c:pt idx="277">
                  <c:v>458.87234042553501</c:v>
                </c:pt>
                <c:pt idx="278">
                  <c:v>456.82978723404568</c:v>
                </c:pt>
                <c:pt idx="279">
                  <c:v>454.78723404255635</c:v>
                </c:pt>
                <c:pt idx="280">
                  <c:v>452.74468085106707</c:v>
                </c:pt>
                <c:pt idx="281">
                  <c:v>450.70212765957774</c:v>
                </c:pt>
                <c:pt idx="282">
                  <c:v>448.65957446808841</c:v>
                </c:pt>
                <c:pt idx="283">
                  <c:v>446.61702127659908</c:v>
                </c:pt>
                <c:pt idx="284">
                  <c:v>444.57446808510974</c:v>
                </c:pt>
                <c:pt idx="285">
                  <c:v>442.53191489362047</c:v>
                </c:pt>
                <c:pt idx="286">
                  <c:v>440.48936170213113</c:v>
                </c:pt>
                <c:pt idx="287">
                  <c:v>438.44680851064186</c:v>
                </c:pt>
                <c:pt idx="288">
                  <c:v>436.40425531915253</c:v>
                </c:pt>
                <c:pt idx="289">
                  <c:v>434.36170212766319</c:v>
                </c:pt>
                <c:pt idx="290">
                  <c:v>432.31914893617386</c:v>
                </c:pt>
                <c:pt idx="291">
                  <c:v>430.27659574468453</c:v>
                </c:pt>
                <c:pt idx="292">
                  <c:v>428.23404255319525</c:v>
                </c:pt>
                <c:pt idx="293">
                  <c:v>426.19148936170592</c:v>
                </c:pt>
                <c:pt idx="294">
                  <c:v>424.14893617021659</c:v>
                </c:pt>
                <c:pt idx="295">
                  <c:v>422.10638297872731</c:v>
                </c:pt>
                <c:pt idx="296">
                  <c:v>420.06382978723798</c:v>
                </c:pt>
                <c:pt idx="297">
                  <c:v>418.02127659574865</c:v>
                </c:pt>
                <c:pt idx="298">
                  <c:v>412.82608695653812</c:v>
                </c:pt>
                <c:pt idx="299">
                  <c:v>404.47826086958179</c:v>
                </c:pt>
                <c:pt idx="300">
                  <c:v>396.13043478262546</c:v>
                </c:pt>
                <c:pt idx="301">
                  <c:v>387.78260869566913</c:v>
                </c:pt>
                <c:pt idx="302">
                  <c:v>379.43478260871274</c:v>
                </c:pt>
                <c:pt idx="303">
                  <c:v>371.08695652175641</c:v>
                </c:pt>
                <c:pt idx="304">
                  <c:v>362.73913043480007</c:v>
                </c:pt>
                <c:pt idx="305">
                  <c:v>354.39130434784374</c:v>
                </c:pt>
                <c:pt idx="306">
                  <c:v>346.04347826088735</c:v>
                </c:pt>
                <c:pt idx="307">
                  <c:v>337.69565217393102</c:v>
                </c:pt>
                <c:pt idx="308">
                  <c:v>329.34782608697469</c:v>
                </c:pt>
                <c:pt idx="309">
                  <c:v>321.00000000001836</c:v>
                </c:pt>
                <c:pt idx="310">
                  <c:v>312.65217391306203</c:v>
                </c:pt>
                <c:pt idx="311">
                  <c:v>304.30434782610564</c:v>
                </c:pt>
                <c:pt idx="312">
                  <c:v>295.95652173914931</c:v>
                </c:pt>
                <c:pt idx="313">
                  <c:v>287.60869565219298</c:v>
                </c:pt>
                <c:pt idx="314">
                  <c:v>279.26086956523659</c:v>
                </c:pt>
                <c:pt idx="315">
                  <c:v>270.91304347828031</c:v>
                </c:pt>
                <c:pt idx="316">
                  <c:v>262.56521739132393</c:v>
                </c:pt>
                <c:pt idx="317">
                  <c:v>254.2173913043676</c:v>
                </c:pt>
                <c:pt idx="318">
                  <c:v>245.86956521741126</c:v>
                </c:pt>
                <c:pt idx="319">
                  <c:v>237.5217391304549</c:v>
                </c:pt>
                <c:pt idx="320">
                  <c:v>229.17391304349857</c:v>
                </c:pt>
                <c:pt idx="321">
                  <c:v>222.07407407408843</c:v>
                </c:pt>
                <c:pt idx="322">
                  <c:v>216.2222222222367</c:v>
                </c:pt>
                <c:pt idx="323">
                  <c:v>210.37037037038499</c:v>
                </c:pt>
                <c:pt idx="324">
                  <c:v>204.51851851853326</c:v>
                </c:pt>
                <c:pt idx="325">
                  <c:v>198.66666666668152</c:v>
                </c:pt>
                <c:pt idx="326">
                  <c:v>192.81481481482979</c:v>
                </c:pt>
                <c:pt idx="327">
                  <c:v>186.96296296297808</c:v>
                </c:pt>
                <c:pt idx="328">
                  <c:v>181.11111111112635</c:v>
                </c:pt>
                <c:pt idx="329">
                  <c:v>175.25925925927461</c:v>
                </c:pt>
                <c:pt idx="330">
                  <c:v>169.40740740742291</c:v>
                </c:pt>
                <c:pt idx="331">
                  <c:v>163.55555555557117</c:v>
                </c:pt>
                <c:pt idx="332">
                  <c:v>157.70370370371944</c:v>
                </c:pt>
                <c:pt idx="333">
                  <c:v>151.85185185186771</c:v>
                </c:pt>
                <c:pt idx="334">
                  <c:v>146.00000000001597</c:v>
                </c:pt>
                <c:pt idx="335">
                  <c:v>140.14814814816427</c:v>
                </c:pt>
                <c:pt idx="336">
                  <c:v>134.29629629631253</c:v>
                </c:pt>
                <c:pt idx="337">
                  <c:v>128.44444444446083</c:v>
                </c:pt>
                <c:pt idx="338">
                  <c:v>122.59259259260908</c:v>
                </c:pt>
                <c:pt idx="339">
                  <c:v>116.74074074075736</c:v>
                </c:pt>
                <c:pt idx="340">
                  <c:v>110.88888888890563</c:v>
                </c:pt>
                <c:pt idx="341">
                  <c:v>105.03703703705391</c:v>
                </c:pt>
                <c:pt idx="342">
                  <c:v>99.185185185202172</c:v>
                </c:pt>
                <c:pt idx="343">
                  <c:v>93.333333333350453</c:v>
                </c:pt>
                <c:pt idx="344">
                  <c:v>87.481481481498719</c:v>
                </c:pt>
                <c:pt idx="345">
                  <c:v>81.629629629646985</c:v>
                </c:pt>
                <c:pt idx="346">
                  <c:v>75.777777777795279</c:v>
                </c:pt>
                <c:pt idx="347">
                  <c:v>69.925925925943545</c:v>
                </c:pt>
                <c:pt idx="348">
                  <c:v>64.20833333335024</c:v>
                </c:pt>
                <c:pt idx="349">
                  <c:v>58.625000000017017</c:v>
                </c:pt>
                <c:pt idx="350">
                  <c:v>53.041666666683788</c:v>
                </c:pt>
                <c:pt idx="351">
                  <c:v>47.458333333350552</c:v>
                </c:pt>
                <c:pt idx="352">
                  <c:v>41.875000000017323</c:v>
                </c:pt>
                <c:pt idx="353">
                  <c:v>36.291666666684094</c:v>
                </c:pt>
                <c:pt idx="354">
                  <c:v>30.708333333350872</c:v>
                </c:pt>
                <c:pt idx="355">
                  <c:v>25.125000000017643</c:v>
                </c:pt>
                <c:pt idx="356">
                  <c:v>19.541666666684407</c:v>
                </c:pt>
                <c:pt idx="357">
                  <c:v>13.958333333351177</c:v>
                </c:pt>
                <c:pt idx="358">
                  <c:v>8.3750000000179483</c:v>
                </c:pt>
                <c:pt idx="359">
                  <c:v>2.7916666666847192</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Calculs!$T$4:$T$1004</c:f>
              <c:numCache>
                <c:formatCode>0.00</c:formatCode>
                <c:ptCount val="1001"/>
                <c:pt idx="0">
                  <c:v>89.967510000000004</c:v>
                </c:pt>
                <c:pt idx="1">
                  <c:v>89.963113598531848</c:v>
                </c:pt>
                <c:pt idx="2">
                  <c:v>89.949924394127393</c:v>
                </c:pt>
                <c:pt idx="3">
                  <c:v>89.927942386786626</c:v>
                </c:pt>
                <c:pt idx="4">
                  <c:v>89.89716757650956</c:v>
                </c:pt>
                <c:pt idx="5">
                  <c:v>89.857599963296181</c:v>
                </c:pt>
                <c:pt idx="6">
                  <c:v>89.813687915535098</c:v>
                </c:pt>
                <c:pt idx="7">
                  <c:v>89.769879801614849</c:v>
                </c:pt>
                <c:pt idx="8">
                  <c:v>89.726175621535461</c:v>
                </c:pt>
                <c:pt idx="9">
                  <c:v>89.682575375296949</c:v>
                </c:pt>
                <c:pt idx="10">
                  <c:v>89.63907906289927</c:v>
                </c:pt>
                <c:pt idx="11">
                  <c:v>89.595686684342454</c:v>
                </c:pt>
                <c:pt idx="12">
                  <c:v>89.552398239626484</c:v>
                </c:pt>
                <c:pt idx="13">
                  <c:v>89.509213728751376</c:v>
                </c:pt>
                <c:pt idx="14">
                  <c:v>89.466133151717131</c:v>
                </c:pt>
                <c:pt idx="15">
                  <c:v>89.423156508523732</c:v>
                </c:pt>
                <c:pt idx="16">
                  <c:v>89.380283799171181</c:v>
                </c:pt>
                <c:pt idx="17">
                  <c:v>89.337515023659492</c:v>
                </c:pt>
                <c:pt idx="18">
                  <c:v>89.29485018198865</c:v>
                </c:pt>
                <c:pt idx="19">
                  <c:v>89.25228927415867</c:v>
                </c:pt>
                <c:pt idx="20">
                  <c:v>89.209832300169538</c:v>
                </c:pt>
                <c:pt idx="21">
                  <c:v>89.167479260021267</c:v>
                </c:pt>
                <c:pt idx="22">
                  <c:v>89.125230153713844</c:v>
                </c:pt>
                <c:pt idx="23">
                  <c:v>89.083084981247282</c:v>
                </c:pt>
                <c:pt idx="24">
                  <c:v>89.041043742621568</c:v>
                </c:pt>
                <c:pt idx="25">
                  <c:v>88.999106437836716</c:v>
                </c:pt>
                <c:pt idx="26">
                  <c:v>88.957273066892725</c:v>
                </c:pt>
                <c:pt idx="27">
                  <c:v>88.915543629789568</c:v>
                </c:pt>
                <c:pt idx="28">
                  <c:v>88.873918126527286</c:v>
                </c:pt>
                <c:pt idx="29">
                  <c:v>88.832396557105852</c:v>
                </c:pt>
                <c:pt idx="30">
                  <c:v>88.79097892152528</c:v>
                </c:pt>
                <c:pt idx="31">
                  <c:v>88.749665219785555</c:v>
                </c:pt>
                <c:pt idx="32">
                  <c:v>88.708455451886678</c:v>
                </c:pt>
                <c:pt idx="33">
                  <c:v>88.667349617828663</c:v>
                </c:pt>
                <c:pt idx="34">
                  <c:v>88.626347717611509</c:v>
                </c:pt>
                <c:pt idx="35">
                  <c:v>88.585449751235203</c:v>
                </c:pt>
                <c:pt idx="36">
                  <c:v>88.544655718699744</c:v>
                </c:pt>
                <c:pt idx="37">
                  <c:v>88.503965620005133</c:v>
                </c:pt>
                <c:pt idx="38">
                  <c:v>88.463379455151397</c:v>
                </c:pt>
                <c:pt idx="39">
                  <c:v>88.422897224138509</c:v>
                </c:pt>
                <c:pt idx="40">
                  <c:v>88.382518926966483</c:v>
                </c:pt>
                <c:pt idx="41">
                  <c:v>88.34224456363529</c:v>
                </c:pt>
                <c:pt idx="42">
                  <c:v>88.302074134144959</c:v>
                </c:pt>
                <c:pt idx="43">
                  <c:v>88.262007638495504</c:v>
                </c:pt>
                <c:pt idx="44">
                  <c:v>88.222045076686882</c:v>
                </c:pt>
                <c:pt idx="45">
                  <c:v>88.182186448719122</c:v>
                </c:pt>
                <c:pt idx="46">
                  <c:v>88.142431754592209</c:v>
                </c:pt>
                <c:pt idx="47">
                  <c:v>88.102780994306173</c:v>
                </c:pt>
                <c:pt idx="48">
                  <c:v>88.063234167860983</c:v>
                </c:pt>
                <c:pt idx="49">
                  <c:v>88.023791275256642</c:v>
                </c:pt>
                <c:pt idx="50">
                  <c:v>87.984452316493147</c:v>
                </c:pt>
                <c:pt idx="51">
                  <c:v>87.945194371423497</c:v>
                </c:pt>
                <c:pt idx="52">
                  <c:v>87.905994519900702</c:v>
                </c:pt>
                <c:pt idx="53">
                  <c:v>87.866852761924733</c:v>
                </c:pt>
                <c:pt idx="54">
                  <c:v>87.82776909749559</c:v>
                </c:pt>
                <c:pt idx="55">
                  <c:v>87.788743526613288</c:v>
                </c:pt>
                <c:pt idx="56">
                  <c:v>87.749776049277813</c:v>
                </c:pt>
                <c:pt idx="57">
                  <c:v>87.710866665489192</c:v>
                </c:pt>
                <c:pt idx="58">
                  <c:v>87.672015375247412</c:v>
                </c:pt>
                <c:pt idx="59">
                  <c:v>87.633222178552444</c:v>
                </c:pt>
                <c:pt idx="60">
                  <c:v>87.594487075404317</c:v>
                </c:pt>
                <c:pt idx="61">
                  <c:v>87.555810065803044</c:v>
                </c:pt>
                <c:pt idx="62">
                  <c:v>87.517191149748598</c:v>
                </c:pt>
                <c:pt idx="63">
                  <c:v>87.478630327240978</c:v>
                </c:pt>
                <c:pt idx="64">
                  <c:v>87.440127598280199</c:v>
                </c:pt>
                <c:pt idx="65">
                  <c:v>87.401682962866246</c:v>
                </c:pt>
                <c:pt idx="66">
                  <c:v>87.363296420999148</c:v>
                </c:pt>
                <c:pt idx="67">
                  <c:v>87.324967972678877</c:v>
                </c:pt>
                <c:pt idx="68">
                  <c:v>87.286697617905432</c:v>
                </c:pt>
                <c:pt idx="69">
                  <c:v>87.248485356678827</c:v>
                </c:pt>
                <c:pt idx="70">
                  <c:v>87.210331188999064</c:v>
                </c:pt>
                <c:pt idx="71">
                  <c:v>87.17223511486614</c:v>
                </c:pt>
                <c:pt idx="72">
                  <c:v>87.134197134280043</c:v>
                </c:pt>
                <c:pt idx="73">
                  <c:v>87.096217247240787</c:v>
                </c:pt>
                <c:pt idx="74">
                  <c:v>87.058295453748357</c:v>
                </c:pt>
                <c:pt idx="75">
                  <c:v>87.020431753802768</c:v>
                </c:pt>
                <c:pt idx="76">
                  <c:v>86.982626147404019</c:v>
                </c:pt>
                <c:pt idx="77">
                  <c:v>86.944878634552111</c:v>
                </c:pt>
                <c:pt idx="78">
                  <c:v>86.907189215247016</c:v>
                </c:pt>
                <c:pt idx="79">
                  <c:v>86.869557889488775</c:v>
                </c:pt>
                <c:pt idx="80">
                  <c:v>86.83198465727736</c:v>
                </c:pt>
                <c:pt idx="81">
                  <c:v>86.794469518612786</c:v>
                </c:pt>
                <c:pt idx="82">
                  <c:v>86.757012473495053</c:v>
                </c:pt>
                <c:pt idx="83">
                  <c:v>86.719613521924146</c:v>
                </c:pt>
                <c:pt idx="84">
                  <c:v>86.682272663900079</c:v>
                </c:pt>
                <c:pt idx="85">
                  <c:v>86.644989899422853</c:v>
                </c:pt>
                <c:pt idx="86">
                  <c:v>86.607765228492454</c:v>
                </c:pt>
                <c:pt idx="87">
                  <c:v>86.570598651108895</c:v>
                </c:pt>
                <c:pt idx="88">
                  <c:v>86.533490167272163</c:v>
                </c:pt>
                <c:pt idx="89">
                  <c:v>86.496439776982271</c:v>
                </c:pt>
                <c:pt idx="90">
                  <c:v>86.45944748023922</c:v>
                </c:pt>
                <c:pt idx="91">
                  <c:v>86.422513277042995</c:v>
                </c:pt>
                <c:pt idx="92">
                  <c:v>86.385637167393611</c:v>
                </c:pt>
                <c:pt idx="93">
                  <c:v>86.348819151291067</c:v>
                </c:pt>
                <c:pt idx="94">
                  <c:v>86.312059228735365</c:v>
                </c:pt>
                <c:pt idx="95">
                  <c:v>86.275357399726488</c:v>
                </c:pt>
                <c:pt idx="96">
                  <c:v>86.238713664264438</c:v>
                </c:pt>
                <c:pt idx="97">
                  <c:v>86.202128022349228</c:v>
                </c:pt>
                <c:pt idx="98">
                  <c:v>86.165600473980874</c:v>
                </c:pt>
                <c:pt idx="99">
                  <c:v>86.129131019159331</c:v>
                </c:pt>
                <c:pt idx="100">
                  <c:v>86.092719657884643</c:v>
                </c:pt>
                <c:pt idx="101">
                  <c:v>86.056376728838842</c:v>
                </c:pt>
                <c:pt idx="102">
                  <c:v>86.020112570704001</c:v>
                </c:pt>
                <c:pt idx="103">
                  <c:v>85.98392718348012</c:v>
                </c:pt>
                <c:pt idx="104">
                  <c:v>85.947820567167199</c:v>
                </c:pt>
                <c:pt idx="105">
                  <c:v>85.911792721765252</c:v>
                </c:pt>
                <c:pt idx="106">
                  <c:v>85.875843647274266</c:v>
                </c:pt>
                <c:pt idx="107">
                  <c:v>85.83997334369424</c:v>
                </c:pt>
                <c:pt idx="108">
                  <c:v>85.804181811025188</c:v>
                </c:pt>
                <c:pt idx="109">
                  <c:v>85.768469049267111</c:v>
                </c:pt>
                <c:pt idx="110">
                  <c:v>85.732835058419994</c:v>
                </c:pt>
                <c:pt idx="111">
                  <c:v>85.697279838483837</c:v>
                </c:pt>
                <c:pt idx="112">
                  <c:v>85.66180338945864</c:v>
                </c:pt>
                <c:pt idx="113">
                  <c:v>85.626405711344404</c:v>
                </c:pt>
                <c:pt idx="114">
                  <c:v>85.591086804141142</c:v>
                </c:pt>
                <c:pt idx="115">
                  <c:v>85.55584666784884</c:v>
                </c:pt>
                <c:pt idx="116">
                  <c:v>85.520685302467498</c:v>
                </c:pt>
                <c:pt idx="117">
                  <c:v>85.485602707997117</c:v>
                </c:pt>
                <c:pt idx="118">
                  <c:v>85.450598884437696</c:v>
                </c:pt>
                <c:pt idx="119">
                  <c:v>85.415673831789235</c:v>
                </c:pt>
                <c:pt idx="120">
                  <c:v>85.380827550051748</c:v>
                </c:pt>
                <c:pt idx="121">
                  <c:v>85.346060039225222</c:v>
                </c:pt>
                <c:pt idx="122">
                  <c:v>85.311371299309656</c:v>
                </c:pt>
                <c:pt idx="123">
                  <c:v>85.27676133030505</c:v>
                </c:pt>
                <c:pt idx="124">
                  <c:v>85.242230132211404</c:v>
                </c:pt>
                <c:pt idx="125">
                  <c:v>85.207777705028732</c:v>
                </c:pt>
                <c:pt idx="126">
                  <c:v>85.173404048757007</c:v>
                </c:pt>
                <c:pt idx="127">
                  <c:v>85.139109163396256</c:v>
                </c:pt>
                <c:pt idx="128">
                  <c:v>85.104893048946465</c:v>
                </c:pt>
                <c:pt idx="129">
                  <c:v>85.070755705407649</c:v>
                </c:pt>
                <c:pt idx="130">
                  <c:v>85.036697132779778</c:v>
                </c:pt>
                <c:pt idx="131">
                  <c:v>85.002717331062897</c:v>
                </c:pt>
                <c:pt idx="132">
                  <c:v>84.968816300256975</c:v>
                </c:pt>
                <c:pt idx="133">
                  <c:v>84.934994040362014</c:v>
                </c:pt>
                <c:pt idx="134">
                  <c:v>84.901250551378013</c:v>
                </c:pt>
                <c:pt idx="135">
                  <c:v>84.867585833304986</c:v>
                </c:pt>
                <c:pt idx="136">
                  <c:v>84.833999886142919</c:v>
                </c:pt>
                <c:pt idx="137">
                  <c:v>84.800492709891813</c:v>
                </c:pt>
                <c:pt idx="138">
                  <c:v>84.767064304551667</c:v>
                </c:pt>
                <c:pt idx="139">
                  <c:v>84.733714670122481</c:v>
                </c:pt>
                <c:pt idx="140">
                  <c:v>84.70044380660427</c:v>
                </c:pt>
                <c:pt idx="141">
                  <c:v>84.667251713997004</c:v>
                </c:pt>
                <c:pt idx="142">
                  <c:v>84.634138392300713</c:v>
                </c:pt>
                <c:pt idx="143">
                  <c:v>84.601103841515382</c:v>
                </c:pt>
                <c:pt idx="144">
                  <c:v>84.568148061641011</c:v>
                </c:pt>
                <c:pt idx="145">
                  <c:v>84.535271052677615</c:v>
                </c:pt>
                <c:pt idx="146">
                  <c:v>84.502472814625165</c:v>
                </c:pt>
                <c:pt idx="147">
                  <c:v>84.469753347483689</c:v>
                </c:pt>
                <c:pt idx="148">
                  <c:v>84.437112651253173</c:v>
                </c:pt>
                <c:pt idx="149">
                  <c:v>84.404550725933618</c:v>
                </c:pt>
                <c:pt idx="150">
                  <c:v>84.372067571525022</c:v>
                </c:pt>
                <c:pt idx="151">
                  <c:v>84.339659741800048</c:v>
                </c:pt>
                <c:pt idx="152">
                  <c:v>84.307323790531328</c:v>
                </c:pt>
                <c:pt idx="153">
                  <c:v>84.275059717718861</c:v>
                </c:pt>
                <c:pt idx="154">
                  <c:v>84.242867523362662</c:v>
                </c:pt>
                <c:pt idx="155">
                  <c:v>84.210747207462703</c:v>
                </c:pt>
                <c:pt idx="156">
                  <c:v>84.178698770018997</c:v>
                </c:pt>
                <c:pt idx="157">
                  <c:v>84.146722211031545</c:v>
                </c:pt>
                <c:pt idx="158">
                  <c:v>84.114817530500346</c:v>
                </c:pt>
                <c:pt idx="159">
                  <c:v>84.082984728425401</c:v>
                </c:pt>
                <c:pt idx="160">
                  <c:v>84.05122380480671</c:v>
                </c:pt>
                <c:pt idx="161">
                  <c:v>84.019534759644259</c:v>
                </c:pt>
                <c:pt idx="162">
                  <c:v>83.987917592938089</c:v>
                </c:pt>
                <c:pt idx="163">
                  <c:v>83.956372304688173</c:v>
                </c:pt>
                <c:pt idx="164">
                  <c:v>83.924898894894511</c:v>
                </c:pt>
                <c:pt idx="165">
                  <c:v>83.893497363557088</c:v>
                </c:pt>
                <c:pt idx="166">
                  <c:v>83.862167710675934</c:v>
                </c:pt>
                <c:pt idx="167">
                  <c:v>83.830909936251018</c:v>
                </c:pt>
                <c:pt idx="168">
                  <c:v>83.799724040282356</c:v>
                </c:pt>
                <c:pt idx="169">
                  <c:v>83.768610022769963</c:v>
                </c:pt>
                <c:pt idx="170">
                  <c:v>83.737567883713808</c:v>
                </c:pt>
                <c:pt idx="171">
                  <c:v>83.706597623113908</c:v>
                </c:pt>
                <c:pt idx="172">
                  <c:v>83.675699240970275</c:v>
                </c:pt>
                <c:pt idx="173">
                  <c:v>83.644872737282896</c:v>
                </c:pt>
                <c:pt idx="174">
                  <c:v>83.61411811205177</c:v>
                </c:pt>
                <c:pt idx="175">
                  <c:v>83.583435365276898</c:v>
                </c:pt>
                <c:pt idx="176">
                  <c:v>83.55282449695828</c:v>
                </c:pt>
                <c:pt idx="177">
                  <c:v>83.522285507095916</c:v>
                </c:pt>
                <c:pt idx="178">
                  <c:v>83.491818395689791</c:v>
                </c:pt>
                <c:pt idx="179">
                  <c:v>83.461423162739933</c:v>
                </c:pt>
                <c:pt idx="180">
                  <c:v>83.431099808246316</c:v>
                </c:pt>
                <c:pt idx="181">
                  <c:v>83.400848332208966</c:v>
                </c:pt>
                <c:pt idx="182">
                  <c:v>83.37066873462787</c:v>
                </c:pt>
                <c:pt idx="183">
                  <c:v>83.340561015503042</c:v>
                </c:pt>
                <c:pt idx="184">
                  <c:v>83.310525174834453</c:v>
                </c:pt>
                <c:pt idx="185">
                  <c:v>83.280561212622132</c:v>
                </c:pt>
                <c:pt idx="186">
                  <c:v>83.250669128866051</c:v>
                </c:pt>
                <c:pt idx="187">
                  <c:v>83.220848923566223</c:v>
                </c:pt>
                <c:pt idx="188">
                  <c:v>83.191100596722649</c:v>
                </c:pt>
                <c:pt idx="189">
                  <c:v>83.161424148335328</c:v>
                </c:pt>
                <c:pt idx="190">
                  <c:v>83.131819578404262</c:v>
                </c:pt>
                <c:pt idx="191">
                  <c:v>83.102286886929448</c:v>
                </c:pt>
                <c:pt idx="192">
                  <c:v>83.072826073910903</c:v>
                </c:pt>
                <c:pt idx="193">
                  <c:v>83.043437139348597</c:v>
                </c:pt>
                <c:pt idx="194">
                  <c:v>83.01412008324256</c:v>
                </c:pt>
                <c:pt idx="195">
                  <c:v>82.984874905592775</c:v>
                </c:pt>
                <c:pt idx="196">
                  <c:v>82.955701606399231</c:v>
                </c:pt>
                <c:pt idx="197">
                  <c:v>82.926600185661954</c:v>
                </c:pt>
                <c:pt idx="198">
                  <c:v>82.897570643380917</c:v>
                </c:pt>
                <c:pt idx="199">
                  <c:v>82.868612979556147</c:v>
                </c:pt>
                <c:pt idx="200">
                  <c:v>82.839727194187617</c:v>
                </c:pt>
                <c:pt idx="201">
                  <c:v>82.810913287275355</c:v>
                </c:pt>
                <c:pt idx="202">
                  <c:v>82.782171258819346</c:v>
                </c:pt>
                <c:pt idx="203">
                  <c:v>82.753501108819606</c:v>
                </c:pt>
                <c:pt idx="204">
                  <c:v>82.724902837276105</c:v>
                </c:pt>
                <c:pt idx="205">
                  <c:v>82.696376444188857</c:v>
                </c:pt>
                <c:pt idx="206">
                  <c:v>82.667921929557863</c:v>
                </c:pt>
                <c:pt idx="207">
                  <c:v>82.639539293383123</c:v>
                </c:pt>
                <c:pt idx="208">
                  <c:v>82.611228535664623</c:v>
                </c:pt>
                <c:pt idx="209">
                  <c:v>82.58298965640239</c:v>
                </c:pt>
                <c:pt idx="210">
                  <c:v>82.554822655596411</c:v>
                </c:pt>
                <c:pt idx="211">
                  <c:v>82.526727533246685</c:v>
                </c:pt>
                <c:pt idx="212">
                  <c:v>82.498704289353228</c:v>
                </c:pt>
                <c:pt idx="213">
                  <c:v>82.470752923916024</c:v>
                </c:pt>
                <c:pt idx="214">
                  <c:v>82.442873436935059</c:v>
                </c:pt>
                <c:pt idx="215">
                  <c:v>82.415065828410349</c:v>
                </c:pt>
                <c:pt idx="216">
                  <c:v>82.387330098341906</c:v>
                </c:pt>
                <c:pt idx="217">
                  <c:v>82.359666246729702</c:v>
                </c:pt>
                <c:pt idx="218">
                  <c:v>82.332074273573753</c:v>
                </c:pt>
                <c:pt idx="219">
                  <c:v>82.304554178874056</c:v>
                </c:pt>
                <c:pt idx="220">
                  <c:v>82.277105962630614</c:v>
                </c:pt>
                <c:pt idx="221">
                  <c:v>82.24972962484344</c:v>
                </c:pt>
                <c:pt idx="222">
                  <c:v>82.222425165512519</c:v>
                </c:pt>
                <c:pt idx="223">
                  <c:v>82.195192584637851</c:v>
                </c:pt>
                <c:pt idx="224">
                  <c:v>82.168031882219438</c:v>
                </c:pt>
                <c:pt idx="225">
                  <c:v>82.140943058257278</c:v>
                </c:pt>
                <c:pt idx="226">
                  <c:v>82.113926112751358</c:v>
                </c:pt>
                <c:pt idx="227">
                  <c:v>82.086981045701705</c:v>
                </c:pt>
                <c:pt idx="228">
                  <c:v>82.060107857108306</c:v>
                </c:pt>
                <c:pt idx="229">
                  <c:v>82.033306546971147</c:v>
                </c:pt>
                <c:pt idx="230">
                  <c:v>82.006577115290241</c:v>
                </c:pt>
                <c:pt idx="231">
                  <c:v>81.979919562065618</c:v>
                </c:pt>
                <c:pt idx="232">
                  <c:v>81.953333887297234</c:v>
                </c:pt>
                <c:pt idx="233">
                  <c:v>81.926820090985103</c:v>
                </c:pt>
                <c:pt idx="234">
                  <c:v>81.900378173129241</c:v>
                </c:pt>
                <c:pt idx="235">
                  <c:v>81.874008133729617</c:v>
                </c:pt>
                <c:pt idx="236">
                  <c:v>81.847709972786248</c:v>
                </c:pt>
                <c:pt idx="237">
                  <c:v>81.821483690299132</c:v>
                </c:pt>
                <c:pt idx="238">
                  <c:v>81.79532928626827</c:v>
                </c:pt>
                <c:pt idx="239">
                  <c:v>81.769246760693648</c:v>
                </c:pt>
                <c:pt idx="240">
                  <c:v>81.743236113575293</c:v>
                </c:pt>
                <c:pt idx="241">
                  <c:v>81.717297344913206</c:v>
                </c:pt>
                <c:pt idx="242">
                  <c:v>81.691430454707373</c:v>
                </c:pt>
                <c:pt idx="243">
                  <c:v>81.665635442957779</c:v>
                </c:pt>
                <c:pt idx="244">
                  <c:v>81.639912309664453</c:v>
                </c:pt>
                <c:pt idx="245">
                  <c:v>81.614261054827367</c:v>
                </c:pt>
                <c:pt idx="246">
                  <c:v>81.588681678446548</c:v>
                </c:pt>
                <c:pt idx="247">
                  <c:v>81.563174180521969</c:v>
                </c:pt>
                <c:pt idx="248">
                  <c:v>81.537738561053644</c:v>
                </c:pt>
                <c:pt idx="249">
                  <c:v>81.512374820041572</c:v>
                </c:pt>
                <c:pt idx="250">
                  <c:v>81.487082957485754</c:v>
                </c:pt>
                <c:pt idx="251">
                  <c:v>81.461877313462949</c:v>
                </c:pt>
                <c:pt idx="252">
                  <c:v>81.436772228049875</c:v>
                </c:pt>
                <c:pt idx="253">
                  <c:v>81.411767701246546</c:v>
                </c:pt>
                <c:pt idx="254">
                  <c:v>81.386863733052962</c:v>
                </c:pt>
                <c:pt idx="255">
                  <c:v>81.362060323469109</c:v>
                </c:pt>
                <c:pt idx="256">
                  <c:v>81.337357472495015</c:v>
                </c:pt>
                <c:pt idx="257">
                  <c:v>81.312755180130637</c:v>
                </c:pt>
                <c:pt idx="258">
                  <c:v>81.288253446376018</c:v>
                </c:pt>
                <c:pt idx="259">
                  <c:v>81.263852271231144</c:v>
                </c:pt>
                <c:pt idx="260">
                  <c:v>81.239551654696001</c:v>
                </c:pt>
                <c:pt idx="261">
                  <c:v>81.215351596770603</c:v>
                </c:pt>
                <c:pt idx="262">
                  <c:v>81.191252097454935</c:v>
                </c:pt>
                <c:pt idx="263">
                  <c:v>81.167253156749027</c:v>
                </c:pt>
                <c:pt idx="264">
                  <c:v>81.143354774652849</c:v>
                </c:pt>
                <c:pt idx="265">
                  <c:v>81.119556951166416</c:v>
                </c:pt>
                <c:pt idx="266">
                  <c:v>81.095859686289714</c:v>
                </c:pt>
                <c:pt idx="267">
                  <c:v>81.072262980022757</c:v>
                </c:pt>
                <c:pt idx="268">
                  <c:v>81.048766832365558</c:v>
                </c:pt>
                <c:pt idx="269">
                  <c:v>81.025371243318062</c:v>
                </c:pt>
                <c:pt idx="270">
                  <c:v>81.002076212880311</c:v>
                </c:pt>
                <c:pt idx="271">
                  <c:v>80.978881741052319</c:v>
                </c:pt>
                <c:pt idx="272">
                  <c:v>80.955787827834044</c:v>
                </c:pt>
                <c:pt idx="273">
                  <c:v>80.932794473225528</c:v>
                </c:pt>
                <c:pt idx="274">
                  <c:v>80.909901677226742</c:v>
                </c:pt>
                <c:pt idx="275">
                  <c:v>80.887109439837701</c:v>
                </c:pt>
                <c:pt idx="276">
                  <c:v>80.864417761058405</c:v>
                </c:pt>
                <c:pt idx="277">
                  <c:v>80.84182664088884</c:v>
                </c:pt>
                <c:pt idx="278">
                  <c:v>80.819336079329034</c:v>
                </c:pt>
                <c:pt idx="279">
                  <c:v>80.796946076378958</c:v>
                </c:pt>
                <c:pt idx="280">
                  <c:v>80.774656632038614</c:v>
                </c:pt>
                <c:pt idx="281">
                  <c:v>80.752467746308028</c:v>
                </c:pt>
                <c:pt idx="282">
                  <c:v>80.730379419187173</c:v>
                </c:pt>
                <c:pt idx="283">
                  <c:v>80.708391650676063</c:v>
                </c:pt>
                <c:pt idx="284">
                  <c:v>80.686504440774698</c:v>
                </c:pt>
                <c:pt idx="285">
                  <c:v>80.664717789483063</c:v>
                </c:pt>
                <c:pt idx="286">
                  <c:v>80.643031696801174</c:v>
                </c:pt>
                <c:pt idx="287">
                  <c:v>80.621446162729029</c:v>
                </c:pt>
                <c:pt idx="288">
                  <c:v>80.599961187266629</c:v>
                </c:pt>
                <c:pt idx="289">
                  <c:v>80.57857677041396</c:v>
                </c:pt>
                <c:pt idx="290">
                  <c:v>80.557292912171036</c:v>
                </c:pt>
                <c:pt idx="291">
                  <c:v>80.536109612537857</c:v>
                </c:pt>
                <c:pt idx="292">
                  <c:v>80.515026871514422</c:v>
                </c:pt>
                <c:pt idx="293">
                  <c:v>80.494044689100718</c:v>
                </c:pt>
                <c:pt idx="294">
                  <c:v>80.47316306529676</c:v>
                </c:pt>
                <c:pt idx="295">
                  <c:v>80.452382000102546</c:v>
                </c:pt>
                <c:pt idx="296">
                  <c:v>80.431701493518077</c:v>
                </c:pt>
                <c:pt idx="297">
                  <c:v>80.411121545543338</c:v>
                </c:pt>
                <c:pt idx="298">
                  <c:v>80.390797366206414</c:v>
                </c:pt>
                <c:pt idx="299">
                  <c:v>80.370884165535401</c:v>
                </c:pt>
                <c:pt idx="300">
                  <c:v>80.351381943530257</c:v>
                </c:pt>
                <c:pt idx="301">
                  <c:v>80.332290700191024</c:v>
                </c:pt>
                <c:pt idx="302">
                  <c:v>80.313610435517688</c:v>
                </c:pt>
                <c:pt idx="303">
                  <c:v>80.29534114951025</c:v>
                </c:pt>
                <c:pt idx="304">
                  <c:v>80.277482842168709</c:v>
                </c:pt>
                <c:pt idx="305">
                  <c:v>80.260035513493051</c:v>
                </c:pt>
                <c:pt idx="306">
                  <c:v>80.242999163483304</c:v>
                </c:pt>
                <c:pt idx="307">
                  <c:v>80.226373792139455</c:v>
                </c:pt>
                <c:pt idx="308">
                  <c:v>80.210159399461503</c:v>
                </c:pt>
                <c:pt idx="309">
                  <c:v>80.194355985449434</c:v>
                </c:pt>
                <c:pt idx="310">
                  <c:v>80.178963550103276</c:v>
                </c:pt>
                <c:pt idx="311">
                  <c:v>80.163982093423016</c:v>
                </c:pt>
                <c:pt idx="312">
                  <c:v>80.149411615408638</c:v>
                </c:pt>
                <c:pt idx="313">
                  <c:v>80.135252116060158</c:v>
                </c:pt>
                <c:pt idx="314">
                  <c:v>80.12150359537759</c:v>
                </c:pt>
                <c:pt idx="315">
                  <c:v>80.108166053360918</c:v>
                </c:pt>
                <c:pt idx="316">
                  <c:v>80.09523949001013</c:v>
                </c:pt>
                <c:pt idx="317">
                  <c:v>80.082723905325238</c:v>
                </c:pt>
                <c:pt idx="318">
                  <c:v>80.070619299306259</c:v>
                </c:pt>
                <c:pt idx="319">
                  <c:v>80.058925671953162</c:v>
                </c:pt>
                <c:pt idx="320">
                  <c:v>80.047643023265962</c:v>
                </c:pt>
                <c:pt idx="321">
                  <c:v>80.036709912568341</c:v>
                </c:pt>
                <c:pt idx="322">
                  <c:v>80.02606489918395</c:v>
                </c:pt>
                <c:pt idx="323">
                  <c:v>80.015707983112819</c:v>
                </c:pt>
                <c:pt idx="324">
                  <c:v>80.005639164354918</c:v>
                </c:pt>
                <c:pt idx="325">
                  <c:v>79.995858442910276</c:v>
                </c:pt>
                <c:pt idx="326">
                  <c:v>79.986365818778879</c:v>
                </c:pt>
                <c:pt idx="327">
                  <c:v>79.977161291960741</c:v>
                </c:pt>
                <c:pt idx="328">
                  <c:v>79.968244862455848</c:v>
                </c:pt>
                <c:pt idx="329">
                  <c:v>79.959616530264199</c:v>
                </c:pt>
                <c:pt idx="330">
                  <c:v>79.951276295385796</c:v>
                </c:pt>
                <c:pt idx="331">
                  <c:v>79.943224157820637</c:v>
                </c:pt>
                <c:pt idx="332">
                  <c:v>79.935460117568738</c:v>
                </c:pt>
                <c:pt idx="333">
                  <c:v>79.927984174630069</c:v>
                </c:pt>
                <c:pt idx="334">
                  <c:v>79.920796329004645</c:v>
                </c:pt>
                <c:pt idx="335">
                  <c:v>79.91389658069248</c:v>
                </c:pt>
                <c:pt idx="336">
                  <c:v>79.907284929693546</c:v>
                </c:pt>
                <c:pt idx="337">
                  <c:v>79.900961376007871</c:v>
                </c:pt>
                <c:pt idx="338">
                  <c:v>79.894925919635426</c:v>
                </c:pt>
                <c:pt idx="339">
                  <c:v>79.889178560576241</c:v>
                </c:pt>
                <c:pt idx="340">
                  <c:v>79.8837192988303</c:v>
                </c:pt>
                <c:pt idx="341">
                  <c:v>79.87854813439759</c:v>
                </c:pt>
                <c:pt idx="342">
                  <c:v>79.873665067278139</c:v>
                </c:pt>
                <c:pt idx="343">
                  <c:v>79.869070097471933</c:v>
                </c:pt>
                <c:pt idx="344">
                  <c:v>79.864763224978972</c:v>
                </c:pt>
                <c:pt idx="345">
                  <c:v>79.860744449799256</c:v>
                </c:pt>
                <c:pt idx="346">
                  <c:v>79.857013771932785</c:v>
                </c:pt>
                <c:pt idx="347">
                  <c:v>79.853571191379558</c:v>
                </c:pt>
                <c:pt idx="348">
                  <c:v>79.850410098311983</c:v>
                </c:pt>
                <c:pt idx="349">
                  <c:v>79.847523882902465</c:v>
                </c:pt>
                <c:pt idx="350">
                  <c:v>79.84491254515099</c:v>
                </c:pt>
                <c:pt idx="351">
                  <c:v>79.842576085057573</c:v>
                </c:pt>
                <c:pt idx="352">
                  <c:v>79.840514502622199</c:v>
                </c:pt>
                <c:pt idx="353">
                  <c:v>79.838727797844882</c:v>
                </c:pt>
                <c:pt idx="354">
                  <c:v>79.837215970725609</c:v>
                </c:pt>
                <c:pt idx="355">
                  <c:v>79.835979021264379</c:v>
                </c:pt>
                <c:pt idx="356">
                  <c:v>79.835016949461206</c:v>
                </c:pt>
                <c:pt idx="357">
                  <c:v>79.834329755316091</c:v>
                </c:pt>
                <c:pt idx="358">
                  <c:v>79.833917438829019</c:v>
                </c:pt>
                <c:pt idx="359">
                  <c:v>79.83377999999999</c:v>
                </c:pt>
                <c:pt idx="360">
                  <c:v>79.83377999999999</c:v>
                </c:pt>
                <c:pt idx="361">
                  <c:v>79.83377999999999</c:v>
                </c:pt>
                <c:pt idx="362">
                  <c:v>79.83377999999999</c:v>
                </c:pt>
                <c:pt idx="363">
                  <c:v>79.83377999999999</c:v>
                </c:pt>
                <c:pt idx="364">
                  <c:v>79.83377999999999</c:v>
                </c:pt>
                <c:pt idx="365">
                  <c:v>79.83377999999999</c:v>
                </c:pt>
                <c:pt idx="366">
                  <c:v>79.83377999999999</c:v>
                </c:pt>
                <c:pt idx="367">
                  <c:v>79.83377999999999</c:v>
                </c:pt>
                <c:pt idx="368">
                  <c:v>79.83377999999999</c:v>
                </c:pt>
                <c:pt idx="369">
                  <c:v>79.83377999999999</c:v>
                </c:pt>
                <c:pt idx="370">
                  <c:v>79.83377999999999</c:v>
                </c:pt>
                <c:pt idx="371">
                  <c:v>79.83377999999999</c:v>
                </c:pt>
                <c:pt idx="372">
                  <c:v>79.83377999999999</c:v>
                </c:pt>
                <c:pt idx="373">
                  <c:v>79.83377999999999</c:v>
                </c:pt>
                <c:pt idx="374">
                  <c:v>79.83377999999999</c:v>
                </c:pt>
                <c:pt idx="375">
                  <c:v>79.83377999999999</c:v>
                </c:pt>
                <c:pt idx="376">
                  <c:v>79.83377999999999</c:v>
                </c:pt>
                <c:pt idx="377">
                  <c:v>79.83377999999999</c:v>
                </c:pt>
                <c:pt idx="378">
                  <c:v>79.83377999999999</c:v>
                </c:pt>
                <c:pt idx="379">
                  <c:v>79.83377999999999</c:v>
                </c:pt>
                <c:pt idx="380">
                  <c:v>79.83377999999999</c:v>
                </c:pt>
                <c:pt idx="381">
                  <c:v>79.83377999999999</c:v>
                </c:pt>
                <c:pt idx="382">
                  <c:v>79.83377999999999</c:v>
                </c:pt>
                <c:pt idx="383">
                  <c:v>79.83377999999999</c:v>
                </c:pt>
                <c:pt idx="384">
                  <c:v>79.83377999999999</c:v>
                </c:pt>
                <c:pt idx="385">
                  <c:v>79.83377999999999</c:v>
                </c:pt>
                <c:pt idx="386">
                  <c:v>79.83377999999999</c:v>
                </c:pt>
                <c:pt idx="387">
                  <c:v>79.83377999999999</c:v>
                </c:pt>
                <c:pt idx="388">
                  <c:v>79.83377999999999</c:v>
                </c:pt>
                <c:pt idx="389">
                  <c:v>79.83377999999999</c:v>
                </c:pt>
                <c:pt idx="390">
                  <c:v>79.83377999999999</c:v>
                </c:pt>
                <c:pt idx="391">
                  <c:v>79.83377999999999</c:v>
                </c:pt>
                <c:pt idx="392">
                  <c:v>79.83377999999999</c:v>
                </c:pt>
                <c:pt idx="393">
                  <c:v>79.83377999999999</c:v>
                </c:pt>
                <c:pt idx="394">
                  <c:v>79.83377999999999</c:v>
                </c:pt>
                <c:pt idx="395">
                  <c:v>79.83377999999999</c:v>
                </c:pt>
                <c:pt idx="396">
                  <c:v>79.83377999999999</c:v>
                </c:pt>
                <c:pt idx="397">
                  <c:v>79.83377999999999</c:v>
                </c:pt>
                <c:pt idx="398">
                  <c:v>79.83377999999999</c:v>
                </c:pt>
                <c:pt idx="399">
                  <c:v>79.83377999999999</c:v>
                </c:pt>
                <c:pt idx="400">
                  <c:v>79.83377999999999</c:v>
                </c:pt>
                <c:pt idx="401">
                  <c:v>79.83377999999999</c:v>
                </c:pt>
                <c:pt idx="402">
                  <c:v>79.83377999999999</c:v>
                </c:pt>
                <c:pt idx="403">
                  <c:v>79.83377999999999</c:v>
                </c:pt>
                <c:pt idx="404">
                  <c:v>79.83377999999999</c:v>
                </c:pt>
                <c:pt idx="405">
                  <c:v>79.83377999999999</c:v>
                </c:pt>
                <c:pt idx="406">
                  <c:v>79.83377999999999</c:v>
                </c:pt>
                <c:pt idx="407">
                  <c:v>79.83377999999999</c:v>
                </c:pt>
                <c:pt idx="408">
                  <c:v>79.83377999999999</c:v>
                </c:pt>
                <c:pt idx="409">
                  <c:v>79.83377999999999</c:v>
                </c:pt>
                <c:pt idx="410">
                  <c:v>79.83377999999999</c:v>
                </c:pt>
                <c:pt idx="411">
                  <c:v>79.83377999999999</c:v>
                </c:pt>
                <c:pt idx="412">
                  <c:v>79.83377999999999</c:v>
                </c:pt>
                <c:pt idx="413">
                  <c:v>79.83377999999999</c:v>
                </c:pt>
                <c:pt idx="414">
                  <c:v>79.83377999999999</c:v>
                </c:pt>
                <c:pt idx="415">
                  <c:v>79.83377999999999</c:v>
                </c:pt>
                <c:pt idx="416">
                  <c:v>79.83377999999999</c:v>
                </c:pt>
                <c:pt idx="417">
                  <c:v>79.83377999999999</c:v>
                </c:pt>
                <c:pt idx="418">
                  <c:v>79.83377999999999</c:v>
                </c:pt>
                <c:pt idx="419">
                  <c:v>79.83377999999999</c:v>
                </c:pt>
                <c:pt idx="420">
                  <c:v>79.83377999999999</c:v>
                </c:pt>
                <c:pt idx="421">
                  <c:v>79.83377999999999</c:v>
                </c:pt>
                <c:pt idx="422">
                  <c:v>79.83377999999999</c:v>
                </c:pt>
                <c:pt idx="423">
                  <c:v>79.83377999999999</c:v>
                </c:pt>
                <c:pt idx="424">
                  <c:v>79.83377999999999</c:v>
                </c:pt>
                <c:pt idx="425">
                  <c:v>79.83377999999999</c:v>
                </c:pt>
                <c:pt idx="426">
                  <c:v>79.83377999999999</c:v>
                </c:pt>
                <c:pt idx="427">
                  <c:v>79.83377999999999</c:v>
                </c:pt>
                <c:pt idx="428">
                  <c:v>79.83377999999999</c:v>
                </c:pt>
                <c:pt idx="429">
                  <c:v>79.83377999999999</c:v>
                </c:pt>
                <c:pt idx="430">
                  <c:v>79.83377999999999</c:v>
                </c:pt>
                <c:pt idx="431">
                  <c:v>79.83377999999999</c:v>
                </c:pt>
                <c:pt idx="432">
                  <c:v>79.83377999999999</c:v>
                </c:pt>
                <c:pt idx="433">
                  <c:v>79.83377999999999</c:v>
                </c:pt>
                <c:pt idx="434">
                  <c:v>79.83377999999999</c:v>
                </c:pt>
                <c:pt idx="435">
                  <c:v>79.83377999999999</c:v>
                </c:pt>
                <c:pt idx="436">
                  <c:v>79.83377999999999</c:v>
                </c:pt>
                <c:pt idx="437">
                  <c:v>79.83377999999999</c:v>
                </c:pt>
                <c:pt idx="438">
                  <c:v>79.83377999999999</c:v>
                </c:pt>
                <c:pt idx="439">
                  <c:v>79.83377999999999</c:v>
                </c:pt>
                <c:pt idx="440">
                  <c:v>79.83377999999999</c:v>
                </c:pt>
                <c:pt idx="441">
                  <c:v>79.83377999999999</c:v>
                </c:pt>
                <c:pt idx="442">
                  <c:v>79.83377999999999</c:v>
                </c:pt>
                <c:pt idx="443">
                  <c:v>79.83377999999999</c:v>
                </c:pt>
                <c:pt idx="444">
                  <c:v>79.83377999999999</c:v>
                </c:pt>
                <c:pt idx="445">
                  <c:v>79.83377999999999</c:v>
                </c:pt>
                <c:pt idx="446">
                  <c:v>79.83377999999999</c:v>
                </c:pt>
                <c:pt idx="447">
                  <c:v>79.83377999999999</c:v>
                </c:pt>
                <c:pt idx="448">
                  <c:v>79.83377999999999</c:v>
                </c:pt>
                <c:pt idx="449">
                  <c:v>79.83377999999999</c:v>
                </c:pt>
                <c:pt idx="450">
                  <c:v>79.83377999999999</c:v>
                </c:pt>
                <c:pt idx="451">
                  <c:v>79.83377999999999</c:v>
                </c:pt>
                <c:pt idx="452">
                  <c:v>79.83377999999999</c:v>
                </c:pt>
                <c:pt idx="453">
                  <c:v>79.83377999999999</c:v>
                </c:pt>
                <c:pt idx="454">
                  <c:v>79.83377999999999</c:v>
                </c:pt>
                <c:pt idx="455">
                  <c:v>79.83377999999999</c:v>
                </c:pt>
                <c:pt idx="456">
                  <c:v>79.83377999999999</c:v>
                </c:pt>
                <c:pt idx="457">
                  <c:v>79.83377999999999</c:v>
                </c:pt>
                <c:pt idx="458">
                  <c:v>79.83377999999999</c:v>
                </c:pt>
                <c:pt idx="459">
                  <c:v>79.83377999999999</c:v>
                </c:pt>
                <c:pt idx="460">
                  <c:v>79.83377999999999</c:v>
                </c:pt>
                <c:pt idx="461">
                  <c:v>79.83377999999999</c:v>
                </c:pt>
                <c:pt idx="462">
                  <c:v>79.83377999999999</c:v>
                </c:pt>
                <c:pt idx="463">
                  <c:v>79.83377999999999</c:v>
                </c:pt>
                <c:pt idx="464">
                  <c:v>79.83377999999999</c:v>
                </c:pt>
                <c:pt idx="465">
                  <c:v>79.83377999999999</c:v>
                </c:pt>
                <c:pt idx="466">
                  <c:v>79.83377999999999</c:v>
                </c:pt>
                <c:pt idx="467">
                  <c:v>79.83377999999999</c:v>
                </c:pt>
                <c:pt idx="468">
                  <c:v>79.83377999999999</c:v>
                </c:pt>
                <c:pt idx="469">
                  <c:v>79.83377999999999</c:v>
                </c:pt>
                <c:pt idx="470">
                  <c:v>79.83377999999999</c:v>
                </c:pt>
                <c:pt idx="471">
                  <c:v>79.83377999999999</c:v>
                </c:pt>
                <c:pt idx="472">
                  <c:v>79.83377999999999</c:v>
                </c:pt>
                <c:pt idx="473">
                  <c:v>79.83377999999999</c:v>
                </c:pt>
                <c:pt idx="474">
                  <c:v>79.83377999999999</c:v>
                </c:pt>
                <c:pt idx="475">
                  <c:v>79.83377999999999</c:v>
                </c:pt>
                <c:pt idx="476">
                  <c:v>79.83377999999999</c:v>
                </c:pt>
                <c:pt idx="477">
                  <c:v>79.83377999999999</c:v>
                </c:pt>
                <c:pt idx="478">
                  <c:v>79.83377999999999</c:v>
                </c:pt>
                <c:pt idx="479">
                  <c:v>79.83377999999999</c:v>
                </c:pt>
                <c:pt idx="480">
                  <c:v>79.83377999999999</c:v>
                </c:pt>
                <c:pt idx="481">
                  <c:v>79.83377999999999</c:v>
                </c:pt>
                <c:pt idx="482">
                  <c:v>79.83377999999999</c:v>
                </c:pt>
                <c:pt idx="483">
                  <c:v>79.83377999999999</c:v>
                </c:pt>
                <c:pt idx="484">
                  <c:v>79.83377999999999</c:v>
                </c:pt>
                <c:pt idx="485">
                  <c:v>79.83377999999999</c:v>
                </c:pt>
                <c:pt idx="486">
                  <c:v>79.83377999999999</c:v>
                </c:pt>
                <c:pt idx="487">
                  <c:v>79.83377999999999</c:v>
                </c:pt>
                <c:pt idx="488">
                  <c:v>79.83377999999999</c:v>
                </c:pt>
                <c:pt idx="489">
                  <c:v>79.83377999999999</c:v>
                </c:pt>
                <c:pt idx="490">
                  <c:v>79.83377999999999</c:v>
                </c:pt>
                <c:pt idx="491">
                  <c:v>79.83377999999999</c:v>
                </c:pt>
                <c:pt idx="492">
                  <c:v>79.83377999999999</c:v>
                </c:pt>
                <c:pt idx="493">
                  <c:v>79.83377999999999</c:v>
                </c:pt>
                <c:pt idx="494">
                  <c:v>79.83377999999999</c:v>
                </c:pt>
                <c:pt idx="495">
                  <c:v>79.83377999999999</c:v>
                </c:pt>
                <c:pt idx="496">
                  <c:v>79.83377999999999</c:v>
                </c:pt>
                <c:pt idx="497">
                  <c:v>79.83377999999999</c:v>
                </c:pt>
                <c:pt idx="498">
                  <c:v>79.83377999999999</c:v>
                </c:pt>
                <c:pt idx="499">
                  <c:v>79.83377999999999</c:v>
                </c:pt>
                <c:pt idx="500">
                  <c:v>79.83377999999999</c:v>
                </c:pt>
                <c:pt idx="501">
                  <c:v>79.83377999999999</c:v>
                </c:pt>
                <c:pt idx="502">
                  <c:v>79.83377999999999</c:v>
                </c:pt>
                <c:pt idx="503">
                  <c:v>79.83377999999999</c:v>
                </c:pt>
                <c:pt idx="504">
                  <c:v>79.83377999999999</c:v>
                </c:pt>
                <c:pt idx="505">
                  <c:v>79.83377999999999</c:v>
                </c:pt>
                <c:pt idx="506">
                  <c:v>79.83377999999999</c:v>
                </c:pt>
                <c:pt idx="507">
                  <c:v>79.83377999999999</c:v>
                </c:pt>
                <c:pt idx="508">
                  <c:v>79.83377999999999</c:v>
                </c:pt>
                <c:pt idx="509">
                  <c:v>79.83377999999999</c:v>
                </c:pt>
                <c:pt idx="510">
                  <c:v>79.83377999999999</c:v>
                </c:pt>
                <c:pt idx="511">
                  <c:v>79.83377999999999</c:v>
                </c:pt>
                <c:pt idx="512">
                  <c:v>79.83377999999999</c:v>
                </c:pt>
                <c:pt idx="513">
                  <c:v>79.83377999999999</c:v>
                </c:pt>
                <c:pt idx="514">
                  <c:v>79.83377999999999</c:v>
                </c:pt>
                <c:pt idx="515">
                  <c:v>79.83377999999999</c:v>
                </c:pt>
                <c:pt idx="516">
                  <c:v>79.83377999999999</c:v>
                </c:pt>
                <c:pt idx="517">
                  <c:v>79.83377999999999</c:v>
                </c:pt>
                <c:pt idx="518">
                  <c:v>79.83377999999999</c:v>
                </c:pt>
                <c:pt idx="519">
                  <c:v>79.83377999999999</c:v>
                </c:pt>
                <c:pt idx="520">
                  <c:v>79.83377999999999</c:v>
                </c:pt>
                <c:pt idx="521">
                  <c:v>79.83377999999999</c:v>
                </c:pt>
                <c:pt idx="522">
                  <c:v>79.83377999999999</c:v>
                </c:pt>
                <c:pt idx="523">
                  <c:v>79.83377999999999</c:v>
                </c:pt>
                <c:pt idx="524">
                  <c:v>79.83377999999999</c:v>
                </c:pt>
                <c:pt idx="525">
                  <c:v>79.83377999999999</c:v>
                </c:pt>
                <c:pt idx="526">
                  <c:v>79.83377999999999</c:v>
                </c:pt>
                <c:pt idx="527">
                  <c:v>79.83377999999999</c:v>
                </c:pt>
                <c:pt idx="528">
                  <c:v>79.83377999999999</c:v>
                </c:pt>
                <c:pt idx="529">
                  <c:v>79.83377999999999</c:v>
                </c:pt>
                <c:pt idx="530">
                  <c:v>79.83377999999999</c:v>
                </c:pt>
                <c:pt idx="531">
                  <c:v>79.83377999999999</c:v>
                </c:pt>
                <c:pt idx="532">
                  <c:v>79.83377999999999</c:v>
                </c:pt>
                <c:pt idx="533">
                  <c:v>79.83377999999999</c:v>
                </c:pt>
                <c:pt idx="534">
                  <c:v>79.83377999999999</c:v>
                </c:pt>
                <c:pt idx="535">
                  <c:v>79.83377999999999</c:v>
                </c:pt>
                <c:pt idx="536">
                  <c:v>79.83377999999999</c:v>
                </c:pt>
                <c:pt idx="537">
                  <c:v>79.83377999999999</c:v>
                </c:pt>
                <c:pt idx="538">
                  <c:v>79.83377999999999</c:v>
                </c:pt>
                <c:pt idx="539">
                  <c:v>79.83377999999999</c:v>
                </c:pt>
                <c:pt idx="540">
                  <c:v>79.83377999999999</c:v>
                </c:pt>
                <c:pt idx="541">
                  <c:v>79.83377999999999</c:v>
                </c:pt>
                <c:pt idx="542">
                  <c:v>79.83377999999999</c:v>
                </c:pt>
                <c:pt idx="543">
                  <c:v>79.83377999999999</c:v>
                </c:pt>
                <c:pt idx="544">
                  <c:v>79.83377999999999</c:v>
                </c:pt>
                <c:pt idx="545">
                  <c:v>79.83377999999999</c:v>
                </c:pt>
                <c:pt idx="546">
                  <c:v>79.83377999999999</c:v>
                </c:pt>
                <c:pt idx="547">
                  <c:v>79.83377999999999</c:v>
                </c:pt>
                <c:pt idx="548">
                  <c:v>79.83377999999999</c:v>
                </c:pt>
                <c:pt idx="549">
                  <c:v>79.83377999999999</c:v>
                </c:pt>
                <c:pt idx="550">
                  <c:v>79.83377999999999</c:v>
                </c:pt>
                <c:pt idx="551">
                  <c:v>79.83377999999999</c:v>
                </c:pt>
                <c:pt idx="552">
                  <c:v>79.83377999999999</c:v>
                </c:pt>
                <c:pt idx="553">
                  <c:v>79.83377999999999</c:v>
                </c:pt>
                <c:pt idx="554">
                  <c:v>79.83377999999999</c:v>
                </c:pt>
                <c:pt idx="555">
                  <c:v>79.83377999999999</c:v>
                </c:pt>
                <c:pt idx="556">
                  <c:v>79.83377999999999</c:v>
                </c:pt>
                <c:pt idx="557">
                  <c:v>79.83377999999999</c:v>
                </c:pt>
                <c:pt idx="558">
                  <c:v>79.83377999999999</c:v>
                </c:pt>
                <c:pt idx="559">
                  <c:v>79.83377999999999</c:v>
                </c:pt>
                <c:pt idx="560">
                  <c:v>79.83377999999999</c:v>
                </c:pt>
                <c:pt idx="561">
                  <c:v>79.83377999999999</c:v>
                </c:pt>
                <c:pt idx="562">
                  <c:v>79.83377999999999</c:v>
                </c:pt>
                <c:pt idx="563">
                  <c:v>79.83377999999999</c:v>
                </c:pt>
                <c:pt idx="564">
                  <c:v>79.83377999999999</c:v>
                </c:pt>
                <c:pt idx="565">
                  <c:v>79.83377999999999</c:v>
                </c:pt>
                <c:pt idx="566">
                  <c:v>79.83377999999999</c:v>
                </c:pt>
                <c:pt idx="567">
                  <c:v>79.83377999999999</c:v>
                </c:pt>
                <c:pt idx="568">
                  <c:v>79.83377999999999</c:v>
                </c:pt>
                <c:pt idx="569">
                  <c:v>79.83377999999999</c:v>
                </c:pt>
                <c:pt idx="570">
                  <c:v>79.83377999999999</c:v>
                </c:pt>
                <c:pt idx="571">
                  <c:v>79.83377999999999</c:v>
                </c:pt>
                <c:pt idx="572">
                  <c:v>79.83377999999999</c:v>
                </c:pt>
                <c:pt idx="573">
                  <c:v>79.83377999999999</c:v>
                </c:pt>
                <c:pt idx="574">
                  <c:v>79.83377999999999</c:v>
                </c:pt>
                <c:pt idx="575">
                  <c:v>79.83377999999999</c:v>
                </c:pt>
                <c:pt idx="576">
                  <c:v>79.83377999999999</c:v>
                </c:pt>
                <c:pt idx="577">
                  <c:v>79.83377999999999</c:v>
                </c:pt>
                <c:pt idx="578">
                  <c:v>79.83377999999999</c:v>
                </c:pt>
                <c:pt idx="579">
                  <c:v>79.83377999999999</c:v>
                </c:pt>
                <c:pt idx="580">
                  <c:v>79.83377999999999</c:v>
                </c:pt>
                <c:pt idx="581">
                  <c:v>79.83377999999999</c:v>
                </c:pt>
                <c:pt idx="582">
                  <c:v>79.83377999999999</c:v>
                </c:pt>
                <c:pt idx="583">
                  <c:v>79.83377999999999</c:v>
                </c:pt>
                <c:pt idx="584">
                  <c:v>79.83377999999999</c:v>
                </c:pt>
                <c:pt idx="585">
                  <c:v>79.83377999999999</c:v>
                </c:pt>
                <c:pt idx="586">
                  <c:v>79.83377999999999</c:v>
                </c:pt>
                <c:pt idx="587">
                  <c:v>79.83377999999999</c:v>
                </c:pt>
                <c:pt idx="588">
                  <c:v>79.83377999999999</c:v>
                </c:pt>
                <c:pt idx="589">
                  <c:v>79.83377999999999</c:v>
                </c:pt>
                <c:pt idx="590">
                  <c:v>79.83377999999999</c:v>
                </c:pt>
                <c:pt idx="591">
                  <c:v>79.83377999999999</c:v>
                </c:pt>
                <c:pt idx="592">
                  <c:v>79.83377999999999</c:v>
                </c:pt>
                <c:pt idx="593">
                  <c:v>79.83377999999999</c:v>
                </c:pt>
                <c:pt idx="594">
                  <c:v>79.83377999999999</c:v>
                </c:pt>
                <c:pt idx="595">
                  <c:v>79.83377999999999</c:v>
                </c:pt>
                <c:pt idx="596">
                  <c:v>79.83377999999999</c:v>
                </c:pt>
                <c:pt idx="597">
                  <c:v>79.83377999999999</c:v>
                </c:pt>
                <c:pt idx="598">
                  <c:v>79.83377999999999</c:v>
                </c:pt>
                <c:pt idx="599">
                  <c:v>79.83377999999999</c:v>
                </c:pt>
                <c:pt idx="600">
                  <c:v>79.83377999999999</c:v>
                </c:pt>
                <c:pt idx="601">
                  <c:v>79.83377999999999</c:v>
                </c:pt>
                <c:pt idx="602">
                  <c:v>79.83377999999999</c:v>
                </c:pt>
                <c:pt idx="603">
                  <c:v>79.83377999999999</c:v>
                </c:pt>
                <c:pt idx="604">
                  <c:v>79.83377999999999</c:v>
                </c:pt>
                <c:pt idx="605">
                  <c:v>79.83377999999999</c:v>
                </c:pt>
                <c:pt idx="606">
                  <c:v>79.83377999999999</c:v>
                </c:pt>
                <c:pt idx="607">
                  <c:v>79.83377999999999</c:v>
                </c:pt>
                <c:pt idx="608">
                  <c:v>79.83377999999999</c:v>
                </c:pt>
                <c:pt idx="609">
                  <c:v>79.83377999999999</c:v>
                </c:pt>
                <c:pt idx="610">
                  <c:v>79.83377999999999</c:v>
                </c:pt>
                <c:pt idx="611">
                  <c:v>79.83377999999999</c:v>
                </c:pt>
                <c:pt idx="612">
                  <c:v>79.83377999999999</c:v>
                </c:pt>
                <c:pt idx="613">
                  <c:v>79.83377999999999</c:v>
                </c:pt>
                <c:pt idx="614">
                  <c:v>79.83377999999999</c:v>
                </c:pt>
                <c:pt idx="615">
                  <c:v>79.83377999999999</c:v>
                </c:pt>
                <c:pt idx="616">
                  <c:v>79.83377999999999</c:v>
                </c:pt>
                <c:pt idx="617">
                  <c:v>79.83377999999999</c:v>
                </c:pt>
                <c:pt idx="618">
                  <c:v>79.83377999999999</c:v>
                </c:pt>
                <c:pt idx="619">
                  <c:v>79.83377999999999</c:v>
                </c:pt>
                <c:pt idx="620">
                  <c:v>79.83377999999999</c:v>
                </c:pt>
                <c:pt idx="621">
                  <c:v>79.83377999999999</c:v>
                </c:pt>
                <c:pt idx="622">
                  <c:v>79.83377999999999</c:v>
                </c:pt>
                <c:pt idx="623">
                  <c:v>79.83377999999999</c:v>
                </c:pt>
                <c:pt idx="624">
                  <c:v>79.83377999999999</c:v>
                </c:pt>
                <c:pt idx="625">
                  <c:v>79.83377999999999</c:v>
                </c:pt>
                <c:pt idx="626">
                  <c:v>79.83377999999999</c:v>
                </c:pt>
                <c:pt idx="627">
                  <c:v>79.83377999999999</c:v>
                </c:pt>
                <c:pt idx="628">
                  <c:v>79.83377999999999</c:v>
                </c:pt>
                <c:pt idx="629">
                  <c:v>79.83377999999999</c:v>
                </c:pt>
                <c:pt idx="630">
                  <c:v>79.83377999999999</c:v>
                </c:pt>
                <c:pt idx="631">
                  <c:v>79.83377999999999</c:v>
                </c:pt>
                <c:pt idx="632">
                  <c:v>79.83377999999999</c:v>
                </c:pt>
                <c:pt idx="633">
                  <c:v>79.83377999999999</c:v>
                </c:pt>
                <c:pt idx="634">
                  <c:v>79.83377999999999</c:v>
                </c:pt>
                <c:pt idx="635">
                  <c:v>79.83377999999999</c:v>
                </c:pt>
                <c:pt idx="636">
                  <c:v>79.83377999999999</c:v>
                </c:pt>
                <c:pt idx="637">
                  <c:v>79.83377999999999</c:v>
                </c:pt>
                <c:pt idx="638">
                  <c:v>79.83377999999999</c:v>
                </c:pt>
                <c:pt idx="639">
                  <c:v>79.83377999999999</c:v>
                </c:pt>
                <c:pt idx="640">
                  <c:v>79.83377999999999</c:v>
                </c:pt>
                <c:pt idx="641">
                  <c:v>79.83377999999999</c:v>
                </c:pt>
                <c:pt idx="642">
                  <c:v>79.83377999999999</c:v>
                </c:pt>
                <c:pt idx="643">
                  <c:v>79.83377999999999</c:v>
                </c:pt>
                <c:pt idx="644">
                  <c:v>79.83377999999999</c:v>
                </c:pt>
                <c:pt idx="645">
                  <c:v>79.83377999999999</c:v>
                </c:pt>
                <c:pt idx="646">
                  <c:v>79.83377999999999</c:v>
                </c:pt>
                <c:pt idx="647">
                  <c:v>79.83377999999999</c:v>
                </c:pt>
                <c:pt idx="648">
                  <c:v>79.83377999999999</c:v>
                </c:pt>
                <c:pt idx="649">
                  <c:v>79.83377999999999</c:v>
                </c:pt>
                <c:pt idx="650">
                  <c:v>79.83377999999999</c:v>
                </c:pt>
                <c:pt idx="651">
                  <c:v>79.83377999999999</c:v>
                </c:pt>
                <c:pt idx="652">
                  <c:v>79.83377999999999</c:v>
                </c:pt>
                <c:pt idx="653">
                  <c:v>79.83377999999999</c:v>
                </c:pt>
                <c:pt idx="654">
                  <c:v>79.83377999999999</c:v>
                </c:pt>
                <c:pt idx="655">
                  <c:v>79.83377999999999</c:v>
                </c:pt>
                <c:pt idx="656">
                  <c:v>79.83377999999999</c:v>
                </c:pt>
                <c:pt idx="657">
                  <c:v>79.83377999999999</c:v>
                </c:pt>
                <c:pt idx="658">
                  <c:v>79.83377999999999</c:v>
                </c:pt>
                <c:pt idx="659">
                  <c:v>79.83377999999999</c:v>
                </c:pt>
                <c:pt idx="660">
                  <c:v>79.83377999999999</c:v>
                </c:pt>
                <c:pt idx="661">
                  <c:v>79.83377999999999</c:v>
                </c:pt>
                <c:pt idx="662">
                  <c:v>79.83377999999999</c:v>
                </c:pt>
                <c:pt idx="663">
                  <c:v>79.83377999999999</c:v>
                </c:pt>
                <c:pt idx="664">
                  <c:v>79.83377999999999</c:v>
                </c:pt>
                <c:pt idx="665">
                  <c:v>79.83377999999999</c:v>
                </c:pt>
                <c:pt idx="666">
                  <c:v>79.83377999999999</c:v>
                </c:pt>
                <c:pt idx="667">
                  <c:v>79.83377999999999</c:v>
                </c:pt>
                <c:pt idx="668">
                  <c:v>79.83377999999999</c:v>
                </c:pt>
                <c:pt idx="669">
                  <c:v>79.83377999999999</c:v>
                </c:pt>
                <c:pt idx="670">
                  <c:v>79.83377999999999</c:v>
                </c:pt>
                <c:pt idx="671">
                  <c:v>79.83377999999999</c:v>
                </c:pt>
                <c:pt idx="672">
                  <c:v>79.83377999999999</c:v>
                </c:pt>
                <c:pt idx="673">
                  <c:v>79.83377999999999</c:v>
                </c:pt>
                <c:pt idx="674">
                  <c:v>79.83377999999999</c:v>
                </c:pt>
                <c:pt idx="675">
                  <c:v>79.83377999999999</c:v>
                </c:pt>
                <c:pt idx="676">
                  <c:v>79.83377999999999</c:v>
                </c:pt>
                <c:pt idx="677">
                  <c:v>79.83377999999999</c:v>
                </c:pt>
                <c:pt idx="678">
                  <c:v>79.83377999999999</c:v>
                </c:pt>
                <c:pt idx="679">
                  <c:v>79.83377999999999</c:v>
                </c:pt>
                <c:pt idx="680">
                  <c:v>79.83377999999999</c:v>
                </c:pt>
                <c:pt idx="681">
                  <c:v>79.83377999999999</c:v>
                </c:pt>
                <c:pt idx="682">
                  <c:v>79.83377999999999</c:v>
                </c:pt>
                <c:pt idx="683">
                  <c:v>79.83377999999999</c:v>
                </c:pt>
                <c:pt idx="684">
                  <c:v>79.83377999999999</c:v>
                </c:pt>
                <c:pt idx="685">
                  <c:v>79.83377999999999</c:v>
                </c:pt>
                <c:pt idx="686">
                  <c:v>79.83377999999999</c:v>
                </c:pt>
                <c:pt idx="687">
                  <c:v>79.83377999999999</c:v>
                </c:pt>
                <c:pt idx="688">
                  <c:v>79.83377999999999</c:v>
                </c:pt>
                <c:pt idx="689">
                  <c:v>79.83377999999999</c:v>
                </c:pt>
                <c:pt idx="690">
                  <c:v>79.83377999999999</c:v>
                </c:pt>
                <c:pt idx="691">
                  <c:v>79.83377999999999</c:v>
                </c:pt>
                <c:pt idx="692">
                  <c:v>79.83377999999999</c:v>
                </c:pt>
                <c:pt idx="693">
                  <c:v>79.83377999999999</c:v>
                </c:pt>
                <c:pt idx="694">
                  <c:v>79.83377999999999</c:v>
                </c:pt>
                <c:pt idx="695">
                  <c:v>79.83377999999999</c:v>
                </c:pt>
                <c:pt idx="696">
                  <c:v>79.83377999999999</c:v>
                </c:pt>
                <c:pt idx="697">
                  <c:v>79.83377999999999</c:v>
                </c:pt>
                <c:pt idx="698">
                  <c:v>79.83377999999999</c:v>
                </c:pt>
                <c:pt idx="699">
                  <c:v>79.83377999999999</c:v>
                </c:pt>
                <c:pt idx="700">
                  <c:v>79.83377999999999</c:v>
                </c:pt>
                <c:pt idx="701">
                  <c:v>79.83377999999999</c:v>
                </c:pt>
                <c:pt idx="702">
                  <c:v>79.83377999999999</c:v>
                </c:pt>
                <c:pt idx="703">
                  <c:v>79.83377999999999</c:v>
                </c:pt>
                <c:pt idx="704">
                  <c:v>79.83377999999999</c:v>
                </c:pt>
                <c:pt idx="705">
                  <c:v>79.83377999999999</c:v>
                </c:pt>
                <c:pt idx="706">
                  <c:v>79.83377999999999</c:v>
                </c:pt>
                <c:pt idx="707">
                  <c:v>79.83377999999999</c:v>
                </c:pt>
                <c:pt idx="708">
                  <c:v>79.83377999999999</c:v>
                </c:pt>
                <c:pt idx="709">
                  <c:v>79.83377999999999</c:v>
                </c:pt>
                <c:pt idx="710">
                  <c:v>79.83377999999999</c:v>
                </c:pt>
                <c:pt idx="711">
                  <c:v>79.83377999999999</c:v>
                </c:pt>
                <c:pt idx="712">
                  <c:v>79.83377999999999</c:v>
                </c:pt>
                <c:pt idx="713">
                  <c:v>79.83377999999999</c:v>
                </c:pt>
                <c:pt idx="714">
                  <c:v>79.83377999999999</c:v>
                </c:pt>
                <c:pt idx="715">
                  <c:v>79.83377999999999</c:v>
                </c:pt>
                <c:pt idx="716">
                  <c:v>79.83377999999999</c:v>
                </c:pt>
                <c:pt idx="717">
                  <c:v>79.83377999999999</c:v>
                </c:pt>
                <c:pt idx="718">
                  <c:v>79.83377999999999</c:v>
                </c:pt>
                <c:pt idx="719">
                  <c:v>79.83377999999999</c:v>
                </c:pt>
                <c:pt idx="720">
                  <c:v>79.83377999999999</c:v>
                </c:pt>
                <c:pt idx="721">
                  <c:v>79.83377999999999</c:v>
                </c:pt>
                <c:pt idx="722">
                  <c:v>79.83377999999999</c:v>
                </c:pt>
                <c:pt idx="723">
                  <c:v>79.83377999999999</c:v>
                </c:pt>
                <c:pt idx="724">
                  <c:v>79.83377999999999</c:v>
                </c:pt>
                <c:pt idx="725">
                  <c:v>79.83377999999999</c:v>
                </c:pt>
                <c:pt idx="726">
                  <c:v>79.83377999999999</c:v>
                </c:pt>
                <c:pt idx="727">
                  <c:v>79.83377999999999</c:v>
                </c:pt>
                <c:pt idx="728">
                  <c:v>79.83377999999999</c:v>
                </c:pt>
                <c:pt idx="729">
                  <c:v>79.83377999999999</c:v>
                </c:pt>
                <c:pt idx="730">
                  <c:v>79.83377999999999</c:v>
                </c:pt>
                <c:pt idx="731">
                  <c:v>79.83377999999999</c:v>
                </c:pt>
                <c:pt idx="732">
                  <c:v>79.83377999999999</c:v>
                </c:pt>
                <c:pt idx="733">
                  <c:v>79.83377999999999</c:v>
                </c:pt>
                <c:pt idx="734">
                  <c:v>79.83377999999999</c:v>
                </c:pt>
                <c:pt idx="735">
                  <c:v>79.83377999999999</c:v>
                </c:pt>
                <c:pt idx="736">
                  <c:v>79.83377999999999</c:v>
                </c:pt>
                <c:pt idx="737">
                  <c:v>79.83377999999999</c:v>
                </c:pt>
                <c:pt idx="738">
                  <c:v>79.83377999999999</c:v>
                </c:pt>
                <c:pt idx="739">
                  <c:v>79.83377999999999</c:v>
                </c:pt>
                <c:pt idx="740">
                  <c:v>79.83377999999999</c:v>
                </c:pt>
                <c:pt idx="741">
                  <c:v>79.83377999999999</c:v>
                </c:pt>
                <c:pt idx="742">
                  <c:v>79.83377999999999</c:v>
                </c:pt>
                <c:pt idx="743">
                  <c:v>79.83377999999999</c:v>
                </c:pt>
                <c:pt idx="744">
                  <c:v>79.83377999999999</c:v>
                </c:pt>
                <c:pt idx="745">
                  <c:v>79.83377999999999</c:v>
                </c:pt>
                <c:pt idx="746">
                  <c:v>79.83377999999999</c:v>
                </c:pt>
                <c:pt idx="747">
                  <c:v>79.83377999999999</c:v>
                </c:pt>
                <c:pt idx="748">
                  <c:v>79.83377999999999</c:v>
                </c:pt>
                <c:pt idx="749">
                  <c:v>79.83377999999999</c:v>
                </c:pt>
                <c:pt idx="750">
                  <c:v>79.83377999999999</c:v>
                </c:pt>
                <c:pt idx="751">
                  <c:v>79.83377999999999</c:v>
                </c:pt>
                <c:pt idx="752">
                  <c:v>79.83377999999999</c:v>
                </c:pt>
                <c:pt idx="753">
                  <c:v>79.83377999999999</c:v>
                </c:pt>
                <c:pt idx="754">
                  <c:v>79.83377999999999</c:v>
                </c:pt>
                <c:pt idx="755">
                  <c:v>79.83377999999999</c:v>
                </c:pt>
                <c:pt idx="756">
                  <c:v>79.83377999999999</c:v>
                </c:pt>
                <c:pt idx="757">
                  <c:v>79.83377999999999</c:v>
                </c:pt>
                <c:pt idx="758">
                  <c:v>79.83377999999999</c:v>
                </c:pt>
                <c:pt idx="759">
                  <c:v>79.83377999999999</c:v>
                </c:pt>
                <c:pt idx="760">
                  <c:v>79.83377999999999</c:v>
                </c:pt>
                <c:pt idx="761">
                  <c:v>79.83377999999999</c:v>
                </c:pt>
                <c:pt idx="762">
                  <c:v>79.83377999999999</c:v>
                </c:pt>
                <c:pt idx="763">
                  <c:v>79.83377999999999</c:v>
                </c:pt>
                <c:pt idx="764">
                  <c:v>79.83377999999999</c:v>
                </c:pt>
                <c:pt idx="765">
                  <c:v>79.83377999999999</c:v>
                </c:pt>
                <c:pt idx="766">
                  <c:v>79.83377999999999</c:v>
                </c:pt>
                <c:pt idx="767">
                  <c:v>79.83377999999999</c:v>
                </c:pt>
                <c:pt idx="768">
                  <c:v>79.83377999999999</c:v>
                </c:pt>
                <c:pt idx="769">
                  <c:v>79.83377999999999</c:v>
                </c:pt>
                <c:pt idx="770">
                  <c:v>79.83377999999999</c:v>
                </c:pt>
                <c:pt idx="771">
                  <c:v>79.83377999999999</c:v>
                </c:pt>
                <c:pt idx="772">
                  <c:v>79.83377999999999</c:v>
                </c:pt>
                <c:pt idx="773">
                  <c:v>79.83377999999999</c:v>
                </c:pt>
                <c:pt idx="774">
                  <c:v>79.83377999999999</c:v>
                </c:pt>
                <c:pt idx="775">
                  <c:v>79.83377999999999</c:v>
                </c:pt>
                <c:pt idx="776">
                  <c:v>79.83377999999999</c:v>
                </c:pt>
                <c:pt idx="777">
                  <c:v>79.83377999999999</c:v>
                </c:pt>
                <c:pt idx="778">
                  <c:v>79.83377999999999</c:v>
                </c:pt>
                <c:pt idx="779">
                  <c:v>79.83377999999999</c:v>
                </c:pt>
                <c:pt idx="780">
                  <c:v>79.83377999999999</c:v>
                </c:pt>
                <c:pt idx="781">
                  <c:v>79.83377999999999</c:v>
                </c:pt>
                <c:pt idx="782">
                  <c:v>79.83377999999999</c:v>
                </c:pt>
                <c:pt idx="783">
                  <c:v>79.83377999999999</c:v>
                </c:pt>
                <c:pt idx="784">
                  <c:v>79.83377999999999</c:v>
                </c:pt>
                <c:pt idx="785">
                  <c:v>79.83377999999999</c:v>
                </c:pt>
                <c:pt idx="786">
                  <c:v>79.83377999999999</c:v>
                </c:pt>
                <c:pt idx="787">
                  <c:v>79.83377999999999</c:v>
                </c:pt>
                <c:pt idx="788">
                  <c:v>79.83377999999999</c:v>
                </c:pt>
                <c:pt idx="789">
                  <c:v>79.83377999999999</c:v>
                </c:pt>
                <c:pt idx="790">
                  <c:v>79.83377999999999</c:v>
                </c:pt>
                <c:pt idx="791">
                  <c:v>79.83377999999999</c:v>
                </c:pt>
                <c:pt idx="792">
                  <c:v>79.83377999999999</c:v>
                </c:pt>
                <c:pt idx="793">
                  <c:v>79.83377999999999</c:v>
                </c:pt>
                <c:pt idx="794">
                  <c:v>79.83377999999999</c:v>
                </c:pt>
                <c:pt idx="795">
                  <c:v>79.83377999999999</c:v>
                </c:pt>
                <c:pt idx="796">
                  <c:v>79.83377999999999</c:v>
                </c:pt>
                <c:pt idx="797">
                  <c:v>79.83377999999999</c:v>
                </c:pt>
                <c:pt idx="798">
                  <c:v>79.83377999999999</c:v>
                </c:pt>
                <c:pt idx="799">
                  <c:v>79.83377999999999</c:v>
                </c:pt>
                <c:pt idx="800">
                  <c:v>79.83377999999999</c:v>
                </c:pt>
                <c:pt idx="801">
                  <c:v>79.83377999999999</c:v>
                </c:pt>
                <c:pt idx="802">
                  <c:v>79.83377999999999</c:v>
                </c:pt>
                <c:pt idx="803">
                  <c:v>79.83377999999999</c:v>
                </c:pt>
                <c:pt idx="804">
                  <c:v>79.83377999999999</c:v>
                </c:pt>
                <c:pt idx="805">
                  <c:v>79.83377999999999</c:v>
                </c:pt>
                <c:pt idx="806">
                  <c:v>79.83377999999999</c:v>
                </c:pt>
                <c:pt idx="807">
                  <c:v>79.83377999999999</c:v>
                </c:pt>
                <c:pt idx="808">
                  <c:v>79.83377999999999</c:v>
                </c:pt>
                <c:pt idx="809">
                  <c:v>79.83377999999999</c:v>
                </c:pt>
                <c:pt idx="810">
                  <c:v>79.83377999999999</c:v>
                </c:pt>
                <c:pt idx="811">
                  <c:v>79.83377999999999</c:v>
                </c:pt>
                <c:pt idx="812">
                  <c:v>79.83377999999999</c:v>
                </c:pt>
                <c:pt idx="813">
                  <c:v>79.83377999999999</c:v>
                </c:pt>
                <c:pt idx="814">
                  <c:v>79.83377999999999</c:v>
                </c:pt>
                <c:pt idx="815">
                  <c:v>79.83377999999999</c:v>
                </c:pt>
                <c:pt idx="816">
                  <c:v>79.83377999999999</c:v>
                </c:pt>
                <c:pt idx="817">
                  <c:v>79.83377999999999</c:v>
                </c:pt>
                <c:pt idx="818">
                  <c:v>79.83377999999999</c:v>
                </c:pt>
                <c:pt idx="819">
                  <c:v>79.83377999999999</c:v>
                </c:pt>
                <c:pt idx="820">
                  <c:v>79.83377999999999</c:v>
                </c:pt>
                <c:pt idx="821">
                  <c:v>79.83377999999999</c:v>
                </c:pt>
                <c:pt idx="822">
                  <c:v>79.83377999999999</c:v>
                </c:pt>
                <c:pt idx="823">
                  <c:v>79.83377999999999</c:v>
                </c:pt>
                <c:pt idx="824">
                  <c:v>79.83377999999999</c:v>
                </c:pt>
                <c:pt idx="825">
                  <c:v>79.83377999999999</c:v>
                </c:pt>
                <c:pt idx="826">
                  <c:v>79.83377999999999</c:v>
                </c:pt>
                <c:pt idx="827">
                  <c:v>79.83377999999999</c:v>
                </c:pt>
                <c:pt idx="828">
                  <c:v>79.83377999999999</c:v>
                </c:pt>
                <c:pt idx="829">
                  <c:v>79.83377999999999</c:v>
                </c:pt>
                <c:pt idx="830">
                  <c:v>79.83377999999999</c:v>
                </c:pt>
                <c:pt idx="831">
                  <c:v>79.83377999999999</c:v>
                </c:pt>
                <c:pt idx="832">
                  <c:v>79.83377999999999</c:v>
                </c:pt>
                <c:pt idx="833">
                  <c:v>79.83377999999999</c:v>
                </c:pt>
                <c:pt idx="834">
                  <c:v>79.83377999999999</c:v>
                </c:pt>
                <c:pt idx="835">
                  <c:v>79.83377999999999</c:v>
                </c:pt>
                <c:pt idx="836">
                  <c:v>79.83377999999999</c:v>
                </c:pt>
                <c:pt idx="837">
                  <c:v>79.83377999999999</c:v>
                </c:pt>
                <c:pt idx="838">
                  <c:v>79.83377999999999</c:v>
                </c:pt>
                <c:pt idx="839">
                  <c:v>79.83377999999999</c:v>
                </c:pt>
                <c:pt idx="840">
                  <c:v>79.83377999999999</c:v>
                </c:pt>
                <c:pt idx="841">
                  <c:v>79.83377999999999</c:v>
                </c:pt>
                <c:pt idx="842">
                  <c:v>79.83377999999999</c:v>
                </c:pt>
                <c:pt idx="843">
                  <c:v>79.83377999999999</c:v>
                </c:pt>
                <c:pt idx="844">
                  <c:v>79.83377999999999</c:v>
                </c:pt>
                <c:pt idx="845">
                  <c:v>79.83377999999999</c:v>
                </c:pt>
                <c:pt idx="846">
                  <c:v>79.83377999999999</c:v>
                </c:pt>
                <c:pt idx="847">
                  <c:v>79.83377999999999</c:v>
                </c:pt>
                <c:pt idx="848">
                  <c:v>79.83377999999999</c:v>
                </c:pt>
                <c:pt idx="849">
                  <c:v>79.83377999999999</c:v>
                </c:pt>
                <c:pt idx="850">
                  <c:v>79.83377999999999</c:v>
                </c:pt>
                <c:pt idx="851">
                  <c:v>79.83377999999999</c:v>
                </c:pt>
                <c:pt idx="852">
                  <c:v>79.83377999999999</c:v>
                </c:pt>
                <c:pt idx="853">
                  <c:v>79.83377999999999</c:v>
                </c:pt>
                <c:pt idx="854">
                  <c:v>79.83377999999999</c:v>
                </c:pt>
                <c:pt idx="855">
                  <c:v>79.83377999999999</c:v>
                </c:pt>
                <c:pt idx="856">
                  <c:v>79.83377999999999</c:v>
                </c:pt>
                <c:pt idx="857">
                  <c:v>79.83377999999999</c:v>
                </c:pt>
                <c:pt idx="858">
                  <c:v>79.83377999999999</c:v>
                </c:pt>
                <c:pt idx="859">
                  <c:v>79.83377999999999</c:v>
                </c:pt>
                <c:pt idx="860">
                  <c:v>79.83377999999999</c:v>
                </c:pt>
                <c:pt idx="861">
                  <c:v>79.83377999999999</c:v>
                </c:pt>
                <c:pt idx="862">
                  <c:v>79.83377999999999</c:v>
                </c:pt>
                <c:pt idx="863">
                  <c:v>79.83377999999999</c:v>
                </c:pt>
                <c:pt idx="864">
                  <c:v>79.83377999999999</c:v>
                </c:pt>
                <c:pt idx="865">
                  <c:v>79.83377999999999</c:v>
                </c:pt>
                <c:pt idx="866">
                  <c:v>79.83377999999999</c:v>
                </c:pt>
                <c:pt idx="867">
                  <c:v>79.83377999999999</c:v>
                </c:pt>
                <c:pt idx="868">
                  <c:v>79.83377999999999</c:v>
                </c:pt>
                <c:pt idx="869">
                  <c:v>79.83377999999999</c:v>
                </c:pt>
                <c:pt idx="870">
                  <c:v>79.83377999999999</c:v>
                </c:pt>
                <c:pt idx="871">
                  <c:v>79.83377999999999</c:v>
                </c:pt>
                <c:pt idx="872">
                  <c:v>79.83377999999999</c:v>
                </c:pt>
                <c:pt idx="873">
                  <c:v>79.83377999999999</c:v>
                </c:pt>
                <c:pt idx="874">
                  <c:v>79.83377999999999</c:v>
                </c:pt>
                <c:pt idx="875">
                  <c:v>79.83377999999999</c:v>
                </c:pt>
                <c:pt idx="876">
                  <c:v>79.83377999999999</c:v>
                </c:pt>
                <c:pt idx="877">
                  <c:v>79.83377999999999</c:v>
                </c:pt>
                <c:pt idx="878">
                  <c:v>79.83377999999999</c:v>
                </c:pt>
                <c:pt idx="879">
                  <c:v>79.83377999999999</c:v>
                </c:pt>
                <c:pt idx="880">
                  <c:v>79.83377999999999</c:v>
                </c:pt>
                <c:pt idx="881">
                  <c:v>79.83377999999999</c:v>
                </c:pt>
                <c:pt idx="882">
                  <c:v>79.83377999999999</c:v>
                </c:pt>
                <c:pt idx="883">
                  <c:v>79.83377999999999</c:v>
                </c:pt>
                <c:pt idx="884">
                  <c:v>79.83377999999999</c:v>
                </c:pt>
                <c:pt idx="885">
                  <c:v>79.83377999999999</c:v>
                </c:pt>
                <c:pt idx="886">
                  <c:v>79.83377999999999</c:v>
                </c:pt>
                <c:pt idx="887">
                  <c:v>79.83377999999999</c:v>
                </c:pt>
                <c:pt idx="888">
                  <c:v>79.83377999999999</c:v>
                </c:pt>
                <c:pt idx="889">
                  <c:v>79.83377999999999</c:v>
                </c:pt>
                <c:pt idx="890">
                  <c:v>79.83377999999999</c:v>
                </c:pt>
                <c:pt idx="891">
                  <c:v>79.83377999999999</c:v>
                </c:pt>
                <c:pt idx="892">
                  <c:v>79.83377999999999</c:v>
                </c:pt>
                <c:pt idx="893">
                  <c:v>79.83377999999999</c:v>
                </c:pt>
                <c:pt idx="894">
                  <c:v>79.83377999999999</c:v>
                </c:pt>
                <c:pt idx="895">
                  <c:v>79.83377999999999</c:v>
                </c:pt>
                <c:pt idx="896">
                  <c:v>79.83377999999999</c:v>
                </c:pt>
                <c:pt idx="897">
                  <c:v>79.83377999999999</c:v>
                </c:pt>
                <c:pt idx="898">
                  <c:v>79.83377999999999</c:v>
                </c:pt>
                <c:pt idx="899">
                  <c:v>79.83377999999999</c:v>
                </c:pt>
                <c:pt idx="900">
                  <c:v>79.83377999999999</c:v>
                </c:pt>
                <c:pt idx="901">
                  <c:v>79.83377999999999</c:v>
                </c:pt>
                <c:pt idx="902">
                  <c:v>79.83377999999999</c:v>
                </c:pt>
                <c:pt idx="903">
                  <c:v>79.83377999999999</c:v>
                </c:pt>
                <c:pt idx="904">
                  <c:v>79.83377999999999</c:v>
                </c:pt>
                <c:pt idx="905">
                  <c:v>79.83377999999999</c:v>
                </c:pt>
                <c:pt idx="906">
                  <c:v>79.83377999999999</c:v>
                </c:pt>
                <c:pt idx="907">
                  <c:v>79.83377999999999</c:v>
                </c:pt>
                <c:pt idx="908">
                  <c:v>79.83377999999999</c:v>
                </c:pt>
                <c:pt idx="909">
                  <c:v>79.83377999999999</c:v>
                </c:pt>
                <c:pt idx="910">
                  <c:v>79.83377999999999</c:v>
                </c:pt>
                <c:pt idx="911">
                  <c:v>79.83377999999999</c:v>
                </c:pt>
                <c:pt idx="912">
                  <c:v>79.83377999999999</c:v>
                </c:pt>
                <c:pt idx="913">
                  <c:v>79.83377999999999</c:v>
                </c:pt>
                <c:pt idx="914">
                  <c:v>79.83377999999999</c:v>
                </c:pt>
                <c:pt idx="915">
                  <c:v>79.83377999999999</c:v>
                </c:pt>
                <c:pt idx="916">
                  <c:v>79.83377999999999</c:v>
                </c:pt>
                <c:pt idx="917">
                  <c:v>79.83377999999999</c:v>
                </c:pt>
                <c:pt idx="918">
                  <c:v>79.83377999999999</c:v>
                </c:pt>
                <c:pt idx="919">
                  <c:v>79.83377999999999</c:v>
                </c:pt>
                <c:pt idx="920">
                  <c:v>79.83377999999999</c:v>
                </c:pt>
                <c:pt idx="921">
                  <c:v>79.83377999999999</c:v>
                </c:pt>
                <c:pt idx="922">
                  <c:v>79.83377999999999</c:v>
                </c:pt>
                <c:pt idx="923">
                  <c:v>79.83377999999999</c:v>
                </c:pt>
                <c:pt idx="924">
                  <c:v>79.83377999999999</c:v>
                </c:pt>
                <c:pt idx="925">
                  <c:v>79.83377999999999</c:v>
                </c:pt>
                <c:pt idx="926">
                  <c:v>79.83377999999999</c:v>
                </c:pt>
                <c:pt idx="927">
                  <c:v>79.83377999999999</c:v>
                </c:pt>
                <c:pt idx="928">
                  <c:v>79.83377999999999</c:v>
                </c:pt>
                <c:pt idx="929">
                  <c:v>79.83377999999999</c:v>
                </c:pt>
                <c:pt idx="930">
                  <c:v>79.83377999999999</c:v>
                </c:pt>
                <c:pt idx="931">
                  <c:v>79.83377999999999</c:v>
                </c:pt>
                <c:pt idx="932">
                  <c:v>79.83377999999999</c:v>
                </c:pt>
                <c:pt idx="933">
                  <c:v>79.83377999999999</c:v>
                </c:pt>
                <c:pt idx="934">
                  <c:v>79.83377999999999</c:v>
                </c:pt>
                <c:pt idx="935">
                  <c:v>79.83377999999999</c:v>
                </c:pt>
                <c:pt idx="936">
                  <c:v>79.83377999999999</c:v>
                </c:pt>
                <c:pt idx="937">
                  <c:v>79.83377999999999</c:v>
                </c:pt>
                <c:pt idx="938">
                  <c:v>79.83377999999999</c:v>
                </c:pt>
                <c:pt idx="939">
                  <c:v>79.83377999999999</c:v>
                </c:pt>
                <c:pt idx="940">
                  <c:v>79.83377999999999</c:v>
                </c:pt>
                <c:pt idx="941">
                  <c:v>79.83377999999999</c:v>
                </c:pt>
                <c:pt idx="942">
                  <c:v>79.83377999999999</c:v>
                </c:pt>
                <c:pt idx="943">
                  <c:v>79.83377999999999</c:v>
                </c:pt>
                <c:pt idx="944">
                  <c:v>79.83377999999999</c:v>
                </c:pt>
                <c:pt idx="945">
                  <c:v>79.83377999999999</c:v>
                </c:pt>
                <c:pt idx="946">
                  <c:v>79.83377999999999</c:v>
                </c:pt>
                <c:pt idx="947">
                  <c:v>79.83377999999999</c:v>
                </c:pt>
                <c:pt idx="948">
                  <c:v>79.83377999999999</c:v>
                </c:pt>
                <c:pt idx="949">
                  <c:v>79.83377999999999</c:v>
                </c:pt>
                <c:pt idx="950">
                  <c:v>79.83377999999999</c:v>
                </c:pt>
                <c:pt idx="951">
                  <c:v>79.83377999999999</c:v>
                </c:pt>
                <c:pt idx="952">
                  <c:v>79.83377999999999</c:v>
                </c:pt>
                <c:pt idx="953">
                  <c:v>79.83377999999999</c:v>
                </c:pt>
                <c:pt idx="954">
                  <c:v>79.83377999999999</c:v>
                </c:pt>
                <c:pt idx="955">
                  <c:v>79.83377999999999</c:v>
                </c:pt>
                <c:pt idx="956">
                  <c:v>79.83377999999999</c:v>
                </c:pt>
                <c:pt idx="957">
                  <c:v>79.83377999999999</c:v>
                </c:pt>
                <c:pt idx="958">
                  <c:v>79.83377999999999</c:v>
                </c:pt>
                <c:pt idx="959">
                  <c:v>79.83377999999999</c:v>
                </c:pt>
                <c:pt idx="960">
                  <c:v>79.83377999999999</c:v>
                </c:pt>
                <c:pt idx="961">
                  <c:v>79.83377999999999</c:v>
                </c:pt>
                <c:pt idx="962">
                  <c:v>79.83377999999999</c:v>
                </c:pt>
                <c:pt idx="963">
                  <c:v>79.83377999999999</c:v>
                </c:pt>
                <c:pt idx="964">
                  <c:v>79.83377999999999</c:v>
                </c:pt>
                <c:pt idx="965">
                  <c:v>79.83377999999999</c:v>
                </c:pt>
                <c:pt idx="966">
                  <c:v>79.83377999999999</c:v>
                </c:pt>
                <c:pt idx="967">
                  <c:v>79.83377999999999</c:v>
                </c:pt>
                <c:pt idx="968">
                  <c:v>79.83377999999999</c:v>
                </c:pt>
                <c:pt idx="969">
                  <c:v>79.83377999999999</c:v>
                </c:pt>
                <c:pt idx="970">
                  <c:v>79.83377999999999</c:v>
                </c:pt>
                <c:pt idx="971">
                  <c:v>79.83377999999999</c:v>
                </c:pt>
                <c:pt idx="972">
                  <c:v>79.83377999999999</c:v>
                </c:pt>
                <c:pt idx="973">
                  <c:v>79.83377999999999</c:v>
                </c:pt>
                <c:pt idx="974">
                  <c:v>79.83377999999999</c:v>
                </c:pt>
                <c:pt idx="975">
                  <c:v>79.83377999999999</c:v>
                </c:pt>
                <c:pt idx="976">
                  <c:v>79.83377999999999</c:v>
                </c:pt>
                <c:pt idx="977">
                  <c:v>79.83377999999999</c:v>
                </c:pt>
                <c:pt idx="978">
                  <c:v>79.83377999999999</c:v>
                </c:pt>
                <c:pt idx="979">
                  <c:v>79.83377999999999</c:v>
                </c:pt>
                <c:pt idx="980">
                  <c:v>79.83377999999999</c:v>
                </c:pt>
                <c:pt idx="981">
                  <c:v>79.83377999999999</c:v>
                </c:pt>
                <c:pt idx="982">
                  <c:v>79.83377999999999</c:v>
                </c:pt>
                <c:pt idx="983">
                  <c:v>79.83377999999999</c:v>
                </c:pt>
                <c:pt idx="984">
                  <c:v>79.83377999999999</c:v>
                </c:pt>
                <c:pt idx="985">
                  <c:v>79.83377999999999</c:v>
                </c:pt>
                <c:pt idx="986">
                  <c:v>79.83377999999999</c:v>
                </c:pt>
                <c:pt idx="987">
                  <c:v>79.83377999999999</c:v>
                </c:pt>
                <c:pt idx="988">
                  <c:v>79.83377999999999</c:v>
                </c:pt>
                <c:pt idx="989">
                  <c:v>79.83377999999999</c:v>
                </c:pt>
                <c:pt idx="990">
                  <c:v>79.83377999999999</c:v>
                </c:pt>
                <c:pt idx="991">
                  <c:v>79.83377999999999</c:v>
                </c:pt>
                <c:pt idx="992">
                  <c:v>79.83377999999999</c:v>
                </c:pt>
                <c:pt idx="993">
                  <c:v>79.83377999999999</c:v>
                </c:pt>
                <c:pt idx="994">
                  <c:v>79.83377999999999</c:v>
                </c:pt>
                <c:pt idx="995">
                  <c:v>79.83377999999999</c:v>
                </c:pt>
                <c:pt idx="996">
                  <c:v>79.83377999999999</c:v>
                </c:pt>
                <c:pt idx="997">
                  <c:v>79.83377999999999</c:v>
                </c:pt>
                <c:pt idx="998">
                  <c:v>79.83377999999999</c:v>
                </c:pt>
                <c:pt idx="999">
                  <c:v>79.83377999999999</c:v>
                </c:pt>
                <c:pt idx="1000">
                  <c:v>79.83377999999999</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Calculs!$W$4:$W$1004</c:f>
              <c:numCache>
                <c:formatCode>0.00</c:formatCode>
                <c:ptCount val="1001"/>
                <c:pt idx="0">
                  <c:v>0</c:v>
                </c:pt>
                <c:pt idx="1">
                  <c:v>2.3821319728105461E-9</c:v>
                </c:pt>
                <c:pt idx="2">
                  <c:v>1.5597259193274034E-4</c:v>
                </c:pt>
                <c:pt idx="3">
                  <c:v>1.3932989981881195E-3</c:v>
                </c:pt>
                <c:pt idx="4">
                  <c:v>5.561144057786023E-3</c:v>
                </c:pt>
                <c:pt idx="5">
                  <c:v>1.5435844448998738E-2</c:v>
                </c:pt>
                <c:pt idx="6">
                  <c:v>3.2424035784126733E-2</c:v>
                </c:pt>
                <c:pt idx="7">
                  <c:v>5.5589619544540052E-2</c:v>
                </c:pt>
                <c:pt idx="8">
                  <c:v>8.4892779660591833E-2</c:v>
                </c:pt>
                <c:pt idx="9">
                  <c:v>0.12029348040827174</c:v>
                </c:pt>
                <c:pt idx="10">
                  <c:v>0.16175146961437106</c:v>
                </c:pt>
                <c:pt idx="11">
                  <c:v>0.20922628187864933</c:v>
                </c:pt>
                <c:pt idx="12">
                  <c:v>0.26267724181254876</c:v>
                </c:pt>
                <c:pt idx="13">
                  <c:v>0.32206346729399921</c:v>
                </c:pt>
                <c:pt idx="14">
                  <c:v>0.38734387273785353</c:v>
                </c:pt>
                <c:pt idx="15">
                  <c:v>0.45847717238149871</c:v>
                </c:pt>
                <c:pt idx="16">
                  <c:v>0.53542188358517029</c:v>
                </c:pt>
                <c:pt idx="17">
                  <c:v>0.61813633014651836</c:v>
                </c:pt>
                <c:pt idx="18">
                  <c:v>0.70657864562895134</c:v>
                </c:pt>
                <c:pt idx="19">
                  <c:v>0.80070677670329515</c:v>
                </c:pt>
                <c:pt idx="20">
                  <c:v>0.90047848650229734</c:v>
                </c:pt>
                <c:pt idx="21">
                  <c:v>1.0058513579875115</c:v>
                </c:pt>
                <c:pt idx="22">
                  <c:v>1.116782797328089</c:v>
                </c:pt>
                <c:pt idx="23">
                  <c:v>1.2332300372910059</c:v>
                </c:pt>
                <c:pt idx="24">
                  <c:v>1.3551501406422544</c:v>
                </c:pt>
                <c:pt idx="25">
                  <c:v>1.4825000035585341</c:v>
                </c:pt>
                <c:pt idx="26">
                  <c:v>1.6152363590489545</c:v>
                </c:pt>
                <c:pt idx="27">
                  <c:v>1.7533157803862869</c:v>
                </c:pt>
                <c:pt idx="28">
                  <c:v>1.8966946845472925</c:v>
                </c:pt>
                <c:pt idx="29">
                  <c:v>2.0453293356616404</c:v>
                </c:pt>
                <c:pt idx="30">
                  <c:v>2.1991758484689581</c:v>
                </c:pt>
                <c:pt idx="31">
                  <c:v>2.3581901917835215</c:v>
                </c:pt>
                <c:pt idx="32">
                  <c:v>2.5223281919661291</c:v>
                </c:pt>
                <c:pt idx="33">
                  <c:v>2.6915455364026646</c:v>
                </c:pt>
                <c:pt idx="34">
                  <c:v>2.8657977769888965</c:v>
                </c:pt>
                <c:pt idx="35">
                  <c:v>3.0450414765439118</c:v>
                </c:pt>
                <c:pt idx="36">
                  <c:v>3.2292332559401298</c:v>
                </c:pt>
                <c:pt idx="37">
                  <c:v>3.4183284361730419</c:v>
                </c:pt>
                <c:pt idx="38">
                  <c:v>3.6122822125401473</c:v>
                </c:pt>
                <c:pt idx="39">
                  <c:v>3.811049658327708</c:v>
                </c:pt>
                <c:pt idx="40">
                  <c:v>4.0145857284970736</c:v>
                </c:pt>
                <c:pt idx="41">
                  <c:v>4.2228452633606972</c:v>
                </c:pt>
                <c:pt idx="42">
                  <c:v>4.4357829922486669</c:v>
                </c:pt>
                <c:pt idx="43">
                  <c:v>4.6533535371664563</c:v>
                </c:pt>
                <c:pt idx="44">
                  <c:v>4.8755114164444411</c:v>
                </c:pt>
                <c:pt idx="45">
                  <c:v>5.1022110483796208</c:v>
                </c:pt>
                <c:pt idx="46">
                  <c:v>5.3334067548698618</c:v>
                </c:pt>
                <c:pt idx="47">
                  <c:v>5.56905276504094</c:v>
                </c:pt>
                <c:pt idx="48">
                  <c:v>5.8091032188665208</c:v>
                </c:pt>
                <c:pt idx="49">
                  <c:v>6.0535121707812189</c:v>
                </c:pt>
                <c:pt idx="50">
                  <c:v>6.3022335932867222</c:v>
                </c:pt>
                <c:pt idx="51">
                  <c:v>6.5553905281516558</c:v>
                </c:pt>
                <c:pt idx="52">
                  <c:v>6.8131193275571507</c:v>
                </c:pt>
                <c:pt idx="53">
                  <c:v>7.0753937287937418</c:v>
                </c:pt>
                <c:pt idx="54">
                  <c:v>7.3421873236979343</c:v>
                </c:pt>
                <c:pt idx="55">
                  <c:v>7.6134735604632713</c:v>
                </c:pt>
                <c:pt idx="56">
                  <c:v>7.8892257454576935</c:v>
                </c:pt>
                <c:pt idx="57">
                  <c:v>8.1694170450471084</c:v>
                </c:pt>
                <c:pt idx="58">
                  <c:v>8.454020487425149</c:v>
                </c:pt>
                <c:pt idx="59">
                  <c:v>8.7430089644491247</c:v>
                </c:pt>
                <c:pt idx="60">
                  <c:v>9.0363552334820927</c:v>
                </c:pt>
                <c:pt idx="61">
                  <c:v>9.3340319192410064</c:v>
                </c:pt>
                <c:pt idx="62">
                  <c:v>9.6360115156507824</c:v>
                </c:pt>
                <c:pt idx="63">
                  <c:v>9.9422663877043416</c:v>
                </c:pt>
                <c:pt idx="64">
                  <c:v>10.252768773328384</c:v>
                </c:pt>
                <c:pt idx="65">
                  <c:v>10.567490785254858</c:v>
                </c:pt>
                <c:pt idx="66">
                  <c:v>10.886404412898003</c:v>
                </c:pt>
                <c:pt idx="67">
                  <c:v>11.209481524236839</c:v>
                </c:pt>
                <c:pt idx="68">
                  <c:v>11.536693867702889</c:v>
                </c:pt>
                <c:pt idx="69">
                  <c:v>11.868013074073192</c:v>
                </c:pt>
                <c:pt idx="70">
                  <c:v>12.203410658368204</c:v>
                </c:pt>
                <c:pt idx="71">
                  <c:v>12.542858021754656</c:v>
                </c:pt>
                <c:pt idx="72">
                  <c:v>12.886326453453089</c:v>
                </c:pt>
                <c:pt idx="73">
                  <c:v>13.233787132649889</c:v>
                </c:pt>
                <c:pt idx="74">
                  <c:v>13.58521113041383</c:v>
                </c:pt>
                <c:pt idx="75">
                  <c:v>13.94056941161671</c:v>
                </c:pt>
                <c:pt idx="76">
                  <c:v>14.299832836858057</c:v>
                </c:pt>
                <c:pt idx="77">
                  <c:v>14.662972164393738</c:v>
                </c:pt>
                <c:pt idx="78">
                  <c:v>15.029958052068258</c:v>
                </c:pt>
                <c:pt idx="79">
                  <c:v>15.400761059250462</c:v>
                </c:pt>
                <c:pt idx="80">
                  <c:v>15.775351648772684</c:v>
                </c:pt>
                <c:pt idx="81">
                  <c:v>16.153700188872975</c:v>
                </c:pt>
                <c:pt idx="82">
                  <c:v>16.535776955140232</c:v>
                </c:pt>
                <c:pt idx="83">
                  <c:v>16.921552132462161</c:v>
                </c:pt>
                <c:pt idx="84">
                  <c:v>17.310995816975748</c:v>
                </c:pt>
                <c:pt idx="85">
                  <c:v>17.704078018020091</c:v>
                </c:pt>
                <c:pt idx="86">
                  <c:v>18.100768660091454</c:v>
                </c:pt>
                <c:pt idx="87">
                  <c:v>18.501037584800262</c:v>
                </c:pt>
                <c:pt idx="88">
                  <c:v>18.90485455282986</c:v>
                </c:pt>
                <c:pt idx="89">
                  <c:v>19.31218924589685</c:v>
                </c:pt>
                <c:pt idx="90">
                  <c:v>19.723011268712934</c:v>
                </c:pt>
                <c:pt idx="91">
                  <c:v>20.137290150947688</c:v>
                </c:pt>
                <c:pt idx="92">
                  <c:v>20.554995349192573</c:v>
                </c:pt>
                <c:pt idx="93">
                  <c:v>20.976096248925547</c:v>
                </c:pt>
                <c:pt idx="94">
                  <c:v>21.400562166476362</c:v>
                </c:pt>
                <c:pt idx="95">
                  <c:v>21.828362350992187</c:v>
                </c:pt>
                <c:pt idx="96">
                  <c:v>22.25946598640337</c:v>
                </c:pt>
                <c:pt idx="97">
                  <c:v>22.693842193389262</c:v>
                </c:pt>
                <c:pt idx="98">
                  <c:v>23.131460031343778</c:v>
                </c:pt>
                <c:pt idx="99">
                  <c:v>23.572288500340488</c:v>
                </c:pt>
                <c:pt idx="100">
                  <c:v>24.016296543097031</c:v>
                </c:pt>
                <c:pt idx="101">
                  <c:v>24.46330264511651</c:v>
                </c:pt>
                <c:pt idx="102">
                  <c:v>24.913119614331045</c:v>
                </c:pt>
                <c:pt idx="103">
                  <c:v>25.365707888777919</c:v>
                </c:pt>
                <c:pt idx="104">
                  <c:v>25.821027904369398</c:v>
                </c:pt>
                <c:pt idx="105">
                  <c:v>26.27904009746203</c:v>
                </c:pt>
                <c:pt idx="106">
                  <c:v>26.739704907416737</c:v>
                </c:pt>
                <c:pt idx="107">
                  <c:v>27.202982779149348</c:v>
                </c:pt>
                <c:pt idx="108">
                  <c:v>27.668834165671448</c:v>
                </c:pt>
                <c:pt idx="109">
                  <c:v>28.137219530621028</c:v>
                </c:pt>
                <c:pt idx="110">
                  <c:v>28.608099350783139</c:v>
                </c:pt>
                <c:pt idx="111">
                  <c:v>29.081434118599748</c:v>
                </c:pt>
                <c:pt idx="112">
                  <c:v>29.55718434466894</c:v>
                </c:pt>
                <c:pt idx="113">
                  <c:v>30.03531056023321</c:v>
                </c:pt>
                <c:pt idx="114">
                  <c:v>30.515773319656294</c:v>
                </c:pt>
                <c:pt idx="115">
                  <c:v>30.998533202888737</c:v>
                </c:pt>
                <c:pt idx="116">
                  <c:v>31.483550817921458</c:v>
                </c:pt>
                <c:pt idx="117">
                  <c:v>31.970786803227728</c:v>
                </c:pt>
                <c:pt idx="118">
                  <c:v>32.460201830192588</c:v>
                </c:pt>
                <c:pt idx="119">
                  <c:v>32.951756605530093</c:v>
                </c:pt>
                <c:pt idx="120">
                  <c:v>33.445411873687824</c:v>
                </c:pt>
                <c:pt idx="121">
                  <c:v>33.941128419238524</c:v>
                </c:pt>
                <c:pt idx="122">
                  <c:v>34.438867069258748</c:v>
                </c:pt>
                <c:pt idx="123">
                  <c:v>34.938588695694087</c:v>
                </c:pt>
                <c:pt idx="124">
                  <c:v>35.44025421771105</c:v>
                </c:pt>
                <c:pt idx="125">
                  <c:v>35.943824604034887</c:v>
                </c:pt>
                <c:pt idx="126">
                  <c:v>36.449260875274078</c:v>
                </c:pt>
                <c:pt idx="127">
                  <c:v>36.95652410623002</c:v>
                </c:pt>
                <c:pt idx="128">
                  <c:v>37.465575428192857</c:v>
                </c:pt>
                <c:pt idx="129">
                  <c:v>37.976376031222635</c:v>
                </c:pt>
                <c:pt idx="130">
                  <c:v>38.488887166415608</c:v>
                </c:pt>
                <c:pt idx="131">
                  <c:v>39.003070148155864</c:v>
                </c:pt>
                <c:pt idx="132">
                  <c:v>39.518886356351707</c:v>
                </c:pt>
                <c:pt idx="133">
                  <c:v>40.036297238656694</c:v>
                </c:pt>
                <c:pt idx="134">
                  <c:v>40.555264312675334</c:v>
                </c:pt>
                <c:pt idx="135">
                  <c:v>41.07574916815318</c:v>
                </c:pt>
                <c:pt idx="136">
                  <c:v>41.59771346915084</c:v>
                </c:pt>
                <c:pt idx="137">
                  <c:v>42.121118956202288</c:v>
                </c:pt>
                <c:pt idx="138">
                  <c:v>42.64592744845681</c:v>
                </c:pt>
                <c:pt idx="139">
                  <c:v>43.172100845804692</c:v>
                </c:pt>
                <c:pt idx="140">
                  <c:v>43.699601130986551</c:v>
                </c:pt>
                <c:pt idx="141">
                  <c:v>44.228390371685641</c:v>
                </c:pt>
                <c:pt idx="142">
                  <c:v>44.758430722603862</c:v>
                </c:pt>
                <c:pt idx="143">
                  <c:v>45.289684427520385</c:v>
                </c:pt>
                <c:pt idx="144">
                  <c:v>45.822113821333396</c:v>
                </c:pt>
                <c:pt idx="145">
                  <c:v>46.355681332084494</c:v>
                </c:pt>
                <c:pt idx="146">
                  <c:v>46.890349482965796</c:v>
                </c:pt>
                <c:pt idx="147">
                  <c:v>47.426080894309429</c:v>
                </c:pt>
                <c:pt idx="148">
                  <c:v>47.962838285559357</c:v>
                </c:pt>
                <c:pt idx="149">
                  <c:v>48.500584477225495</c:v>
                </c:pt>
                <c:pt idx="150">
                  <c:v>49.039282392819757</c:v>
                </c:pt>
                <c:pt idx="151">
                  <c:v>49.578967711064692</c:v>
                </c:pt>
                <c:pt idx="152">
                  <c:v>50.119677811458445</c:v>
                </c:pt>
                <c:pt idx="153">
                  <c:v>50.661378272338716</c:v>
                </c:pt>
                <c:pt idx="154">
                  <c:v>51.204034760790236</c:v>
                </c:pt>
                <c:pt idx="155">
                  <c:v>51.747613034371817</c:v>
                </c:pt>
                <c:pt idx="156">
                  <c:v>52.292078942827786</c:v>
                </c:pt>
                <c:pt idx="157">
                  <c:v>52.837398429783761</c:v>
                </c:pt>
                <c:pt idx="158">
                  <c:v>53.383537534426651</c:v>
                </c:pt>
                <c:pt idx="159">
                  <c:v>53.930462393168661</c:v>
                </c:pt>
                <c:pt idx="160">
                  <c:v>54.478139241295551</c:v>
                </c:pt>
                <c:pt idx="161">
                  <c:v>55.026534414598302</c:v>
                </c:pt>
                <c:pt idx="162">
                  <c:v>55.575614350989355</c:v>
                </c:pt>
                <c:pt idx="163">
                  <c:v>56.125345592101674</c:v>
                </c:pt>
                <c:pt idx="164">
                  <c:v>56.675694784872363</c:v>
                </c:pt>
                <c:pt idx="165">
                  <c:v>57.226628683109119</c:v>
                </c:pt>
                <c:pt idx="166">
                  <c:v>57.778114149040668</c:v>
                </c:pt>
                <c:pt idx="167">
                  <c:v>58.33011815485024</c:v>
                </c:pt>
                <c:pt idx="168">
                  <c:v>58.882607784192651</c:v>
                </c:pt>
                <c:pt idx="169">
                  <c:v>59.435550233694492</c:v>
                </c:pt>
                <c:pt idx="170">
                  <c:v>59.98891281443759</c:v>
                </c:pt>
                <c:pt idx="171">
                  <c:v>60.542662953425491</c:v>
                </c:pt>
                <c:pt idx="172">
                  <c:v>61.096768195033114</c:v>
                </c:pt>
                <c:pt idx="173">
                  <c:v>61.651196202439458</c:v>
                </c:pt>
                <c:pt idx="174">
                  <c:v>62.205914759042983</c:v>
                </c:pt>
                <c:pt idx="175">
                  <c:v>62.760891769860308</c:v>
                </c:pt>
                <c:pt idx="176">
                  <c:v>63.316095262907261</c:v>
                </c:pt>
                <c:pt idx="177">
                  <c:v>63.871493390563124</c:v>
                </c:pt>
                <c:pt idx="178">
                  <c:v>64.427054430917593</c:v>
                </c:pt>
                <c:pt idx="179">
                  <c:v>64.982746789099991</c:v>
                </c:pt>
                <c:pt idx="180">
                  <c:v>65.538538998591804</c:v>
                </c:pt>
                <c:pt idx="181">
                  <c:v>66.094399722521345</c:v>
                </c:pt>
                <c:pt idx="182">
                  <c:v>66.650297754941278</c:v>
                </c:pt>
                <c:pt idx="183">
                  <c:v>67.206202022088505</c:v>
                </c:pt>
                <c:pt idx="184">
                  <c:v>67.762081583626809</c:v>
                </c:pt>
                <c:pt idx="185">
                  <c:v>68.317905633871689</c:v>
                </c:pt>
                <c:pt idx="186">
                  <c:v>68.873643502998078</c:v>
                </c:pt>
                <c:pt idx="187">
                  <c:v>69.429264658230267</c:v>
                </c:pt>
                <c:pt idx="188">
                  <c:v>69.984738705013982</c:v>
                </c:pt>
                <c:pt idx="189">
                  <c:v>70.540035388171702</c:v>
                </c:pt>
                <c:pt idx="190">
                  <c:v>71.095124593039586</c:v>
                </c:pt>
                <c:pt idx="191">
                  <c:v>71.649976346587067</c:v>
                </c:pt>
                <c:pt idx="192">
                  <c:v>72.204560818519056</c:v>
                </c:pt>
                <c:pt idx="193">
                  <c:v>72.75884832236018</c:v>
                </c:pt>
                <c:pt idx="194">
                  <c:v>73.312809316521609</c:v>
                </c:pt>
                <c:pt idx="195">
                  <c:v>73.866414405350255</c:v>
                </c:pt>
                <c:pt idx="196">
                  <c:v>74.419634340160343</c:v>
                </c:pt>
                <c:pt idx="197">
                  <c:v>74.972440020247177</c:v>
                </c:pt>
                <c:pt idx="198">
                  <c:v>75.524802493883556</c:v>
                </c:pt>
                <c:pt idx="199">
                  <c:v>76.076692959298597</c:v>
                </c:pt>
                <c:pt idx="200">
                  <c:v>76.62808276563868</c:v>
                </c:pt>
                <c:pt idx="201">
                  <c:v>77.178943413911057</c:v>
                </c:pt>
                <c:pt idx="202">
                  <c:v>77.729246557910017</c:v>
                </c:pt>
                <c:pt idx="203">
                  <c:v>78.27896400512499</c:v>
                </c:pt>
                <c:pt idx="204">
                  <c:v>78.82806771763191</c:v>
                </c:pt>
                <c:pt idx="205">
                  <c:v>79.376529812966368</c:v>
                </c:pt>
                <c:pt idx="206">
                  <c:v>79.924322564979704</c:v>
                </c:pt>
                <c:pt idx="207">
                  <c:v>80.471418404677593</c:v>
                </c:pt>
                <c:pt idx="208">
                  <c:v>81.017789921040901</c:v>
                </c:pt>
                <c:pt idx="209">
                  <c:v>81.563409861829882</c:v>
                </c:pt>
                <c:pt idx="210">
                  <c:v>82.108251134370121</c:v>
                </c:pt>
                <c:pt idx="211">
                  <c:v>82.652286806321882</c:v>
                </c:pt>
                <c:pt idx="212">
                  <c:v>83.195490106431933</c:v>
                </c:pt>
                <c:pt idx="213">
                  <c:v>83.737834425268062</c:v>
                </c:pt>
                <c:pt idx="214">
                  <c:v>84.279293315936414</c:v>
                </c:pt>
                <c:pt idx="215">
                  <c:v>84.819840494781872</c:v>
                </c:pt>
                <c:pt idx="216">
                  <c:v>85.359449842071314</c:v>
                </c:pt>
                <c:pt idx="217">
                  <c:v>85.898095402659465</c:v>
                </c:pt>
                <c:pt idx="218">
                  <c:v>86.435751386638131</c:v>
                </c:pt>
                <c:pt idx="219">
                  <c:v>86.972392169968643</c:v>
                </c:pt>
                <c:pt idx="220">
                  <c:v>87.507992295096713</c:v>
                </c:pt>
                <c:pt idx="221">
                  <c:v>88.04252647155117</c:v>
                </c:pt>
                <c:pt idx="222">
                  <c:v>88.575969576525779</c:v>
                </c:pt>
                <c:pt idx="223">
                  <c:v>89.108296655443752</c:v>
                </c:pt>
                <c:pt idx="224">
                  <c:v>89.639482922506645</c:v>
                </c:pt>
                <c:pt idx="225">
                  <c:v>90.169503761225712</c:v>
                </c:pt>
                <c:pt idx="226">
                  <c:v>90.698334724937268</c:v>
                </c:pt>
                <c:pt idx="227">
                  <c:v>91.225951537301526</c:v>
                </c:pt>
                <c:pt idx="228">
                  <c:v>91.752330092784931</c:v>
                </c:pt>
                <c:pt idx="229">
                  <c:v>92.277446457126132</c:v>
                </c:pt>
                <c:pt idx="230">
                  <c:v>92.801276867786044</c:v>
                </c:pt>
                <c:pt idx="231">
                  <c:v>93.323797734381358</c:v>
                </c:pt>
                <c:pt idx="232">
                  <c:v>93.844985639102191</c:v>
                </c:pt>
                <c:pt idx="233">
                  <c:v>94.364817337113791</c:v>
                </c:pt>
                <c:pt idx="234">
                  <c:v>94.883269756941743</c:v>
                </c:pt>
                <c:pt idx="235">
                  <c:v>95.400320000842413</c:v>
                </c:pt>
                <c:pt idx="236">
                  <c:v>95.915945345156487</c:v>
                </c:pt>
                <c:pt idx="237">
                  <c:v>96.43012324064739</c:v>
                </c:pt>
                <c:pt idx="238">
                  <c:v>96.942831312824183</c:v>
                </c:pt>
                <c:pt idx="239">
                  <c:v>97.454047362248545</c:v>
                </c:pt>
                <c:pt idx="240">
                  <c:v>97.963749364826938</c:v>
                </c:pt>
                <c:pt idx="241">
                  <c:v>98.471915472086565</c:v>
                </c:pt>
                <c:pt idx="242">
                  <c:v>98.978524011437017</c:v>
                </c:pt>
                <c:pt idx="243">
                  <c:v>99.483553486416056</c:v>
                </c:pt>
                <c:pt idx="244">
                  <c:v>99.986982576920582</c:v>
                </c:pt>
                <c:pt idx="245">
                  <c:v>100.48879013942305</c:v>
                </c:pt>
                <c:pt idx="246">
                  <c:v>100.9889552071719</c:v>
                </c:pt>
                <c:pt idx="247">
                  <c:v>101.48745699037873</c:v>
                </c:pt>
                <c:pt idx="248">
                  <c:v>101.98427487638918</c:v>
                </c:pt>
                <c:pt idx="249">
                  <c:v>102.47938842984075</c:v>
                </c:pt>
                <c:pt idx="250">
                  <c:v>102.97277739280504</c:v>
                </c:pt>
                <c:pt idx="251">
                  <c:v>103.46397264347901</c:v>
                </c:pt>
                <c:pt idx="252">
                  <c:v>103.95250134245563</c:v>
                </c:pt>
                <c:pt idx="253">
                  <c:v>104.43833838295392</c:v>
                </c:pt>
                <c:pt idx="254">
                  <c:v>104.92145894901303</c:v>
                </c:pt>
                <c:pt idx="255">
                  <c:v>105.40183851534222</c:v>
                </c:pt>
                <c:pt idx="256">
                  <c:v>105.87945284714687</c:v>
                </c:pt>
                <c:pt idx="257">
                  <c:v>106.35427799993037</c:v>
                </c:pt>
                <c:pt idx="258">
                  <c:v>106.82629031927367</c:v>
                </c:pt>
                <c:pt idx="259">
                  <c:v>107.29546644059</c:v>
                </c:pt>
                <c:pt idx="260">
                  <c:v>107.76178328885881</c:v>
                </c:pt>
                <c:pt idx="261">
                  <c:v>108.22521807833495</c:v>
                </c:pt>
                <c:pt idx="262">
                  <c:v>108.68574831223695</c:v>
                </c:pt>
                <c:pt idx="263">
                  <c:v>109.14335178241232</c:v>
                </c:pt>
                <c:pt idx="264">
                  <c:v>109.59800656898139</c:v>
                </c:pt>
                <c:pt idx="265">
                  <c:v>110.04969103995901</c:v>
                </c:pt>
                <c:pt idx="266">
                  <c:v>110.49838385085542</c:v>
                </c:pt>
                <c:pt idx="267">
                  <c:v>110.94406394425525</c:v>
                </c:pt>
                <c:pt idx="268">
                  <c:v>111.38671054937615</c:v>
                </c:pt>
                <c:pt idx="269">
                  <c:v>111.82630318160678</c:v>
                </c:pt>
                <c:pt idx="270">
                  <c:v>112.26282164202382</c:v>
                </c:pt>
                <c:pt idx="271">
                  <c:v>112.69624601688949</c:v>
                </c:pt>
                <c:pt idx="272">
                  <c:v>113.12655667712862</c:v>
                </c:pt>
                <c:pt idx="273">
                  <c:v>113.55373427778656</c:v>
                </c:pt>
                <c:pt idx="274">
                  <c:v>113.9777597574673</c:v>
                </c:pt>
                <c:pt idx="275">
                  <c:v>114.39861433775269</c:v>
                </c:pt>
                <c:pt idx="276">
                  <c:v>114.81627952260273</c:v>
                </c:pt>
                <c:pt idx="277">
                  <c:v>115.23073709773716</c:v>
                </c:pt>
                <c:pt idx="278">
                  <c:v>115.6419691299987</c:v>
                </c:pt>
                <c:pt idx="279">
                  <c:v>116.04995796669827</c:v>
                </c:pt>
                <c:pt idx="280">
                  <c:v>116.4546862349425</c:v>
                </c:pt>
                <c:pt idx="281">
                  <c:v>116.85613684094288</c:v>
                </c:pt>
                <c:pt idx="282">
                  <c:v>117.25429296930896</c:v>
                </c:pt>
                <c:pt idx="283">
                  <c:v>117.64913808232286</c:v>
                </c:pt>
                <c:pt idx="284">
                  <c:v>118.04065591919829</c:v>
                </c:pt>
                <c:pt idx="285">
                  <c:v>118.42883049532212</c:v>
                </c:pt>
                <c:pt idx="286">
                  <c:v>118.81364610148016</c:v>
                </c:pt>
                <c:pt idx="287">
                  <c:v>119.19508730306657</c:v>
                </c:pt>
                <c:pt idx="288">
                  <c:v>119.57313893927777</c:v>
                </c:pt>
                <c:pt idx="289">
                  <c:v>119.94778612229041</c:v>
                </c:pt>
                <c:pt idx="290">
                  <c:v>120.31901423642434</c:v>
                </c:pt>
                <c:pt idx="291">
                  <c:v>120.68680893729052</c:v>
                </c:pt>
                <c:pt idx="292">
                  <c:v>121.05115615092411</c:v>
                </c:pt>
                <c:pt idx="293">
                  <c:v>121.41204207290291</c:v>
                </c:pt>
                <c:pt idx="294">
                  <c:v>121.76945316745181</c:v>
                </c:pt>
                <c:pt idx="295">
                  <c:v>122.12337616653276</c:v>
                </c:pt>
                <c:pt idx="296">
                  <c:v>122.4737980689216</c:v>
                </c:pt>
                <c:pt idx="297">
                  <c:v>122.82070613927084</c:v>
                </c:pt>
                <c:pt idx="298">
                  <c:v>123.15873579939803</c:v>
                </c:pt>
                <c:pt idx="299">
                  <c:v>123.48250041283832</c:v>
                </c:pt>
                <c:pt idx="300">
                  <c:v>123.79196160514404</c:v>
                </c:pt>
                <c:pt idx="301">
                  <c:v>124.08708404159759</c:v>
                </c:pt>
                <c:pt idx="302">
                  <c:v>124.36783541102473</c:v>
                </c:pt>
                <c:pt idx="303">
                  <c:v>124.63418640931941</c:v>
                </c:pt>
                <c:pt idx="304">
                  <c:v>124.88611072268904</c:v>
                </c:pt>
                <c:pt idx="305">
                  <c:v>125.12358501062999</c:v>
                </c:pt>
                <c:pt idx="306">
                  <c:v>125.34658888864429</c:v>
                </c:pt>
                <c:pt idx="307">
                  <c:v>125.55510491070507</c:v>
                </c:pt>
                <c:pt idx="308">
                  <c:v>125.74911855148191</c:v>
                </c:pt>
                <c:pt idx="309">
                  <c:v>125.92861818833551</c:v>
                </c:pt>
                <c:pt idx="310">
                  <c:v>126.09359508308971</c:v>
                </c:pt>
                <c:pt idx="311">
                  <c:v>126.24404336359234</c:v>
                </c:pt>
                <c:pt idx="312">
                  <c:v>126.37996000507262</c:v>
                </c:pt>
                <c:pt idx="313">
                  <c:v>126.50134481130485</c:v>
                </c:pt>
                <c:pt idx="314">
                  <c:v>126.60820039558783</c:v>
                </c:pt>
                <c:pt idx="315">
                  <c:v>126.70053216154881</c:v>
                </c:pt>
                <c:pt idx="316">
                  <c:v>126.77834828378083</c:v>
                </c:pt>
                <c:pt idx="317">
                  <c:v>126.84165968832302</c:v>
                </c:pt>
                <c:pt idx="318">
                  <c:v>126.89048003299204</c:v>
                </c:pt>
                <c:pt idx="319">
                  <c:v>126.92482568757364</c:v>
                </c:pt>
                <c:pt idx="320">
                  <c:v>126.9447157138833</c:v>
                </c:pt>
                <c:pt idx="321">
                  <c:v>126.95232778125693</c:v>
                </c:pt>
                <c:pt idx="322">
                  <c:v>126.94983828800561</c:v>
                </c:pt>
                <c:pt idx="323">
                  <c:v>126.9372653196862</c:v>
                </c:pt>
                <c:pt idx="324">
                  <c:v>126.914628237889</c:v>
                </c:pt>
                <c:pt idx="325">
                  <c:v>126.8819476702658</c:v>
                </c:pt>
                <c:pt idx="326">
                  <c:v>126.83924550054454</c:v>
                </c:pt>
                <c:pt idx="327">
                  <c:v>126.78654485853323</c:v>
                </c:pt>
                <c:pt idx="328">
                  <c:v>126.72387011011442</c:v>
                </c:pt>
                <c:pt idx="329">
                  <c:v>126.65124684723521</c:v>
                </c:pt>
                <c:pt idx="330">
                  <c:v>126.56870187789281</c:v>
                </c:pt>
                <c:pt idx="331">
                  <c:v>126.4762632161207</c:v>
                </c:pt>
                <c:pt idx="332">
                  <c:v>126.3739600719756</c:v>
                </c:pt>
                <c:pt idx="333">
                  <c:v>126.26182284152966</c:v>
                </c:pt>
                <c:pt idx="334">
                  <c:v>126.13988309686903</c:v>
                </c:pt>
                <c:pt idx="335">
                  <c:v>126.00817357610191</c:v>
                </c:pt>
                <c:pt idx="336">
                  <c:v>125.86672817337832</c:v>
                </c:pt>
                <c:pt idx="337">
                  <c:v>125.71558192892368</c:v>
                </c:pt>
                <c:pt idx="338">
                  <c:v>125.55477101908873</c:v>
                </c:pt>
                <c:pt idx="339">
                  <c:v>125.38433274641859</c:v>
                </c:pt>
                <c:pt idx="340">
                  <c:v>125.20430552974133</c:v>
                </c:pt>
                <c:pt idx="341">
                  <c:v>125.01472889428133</c:v>
                </c:pt>
                <c:pt idx="342">
                  <c:v>124.81564346179644</c:v>
                </c:pt>
                <c:pt idx="343">
                  <c:v>124.60709094074301</c:v>
                </c:pt>
                <c:pt idx="344">
                  <c:v>124.38911411647031</c:v>
                </c:pt>
                <c:pt idx="345">
                  <c:v>124.16175684144646</c:v>
                </c:pt>
                <c:pt idx="346">
                  <c:v>123.92506402551777</c:v>
                </c:pt>
                <c:pt idx="347">
                  <c:v>123.67908162620363</c:v>
                </c:pt>
                <c:pt idx="348">
                  <c:v>123.42408530358283</c:v>
                </c:pt>
                <c:pt idx="349">
                  <c:v>123.16035029253383</c:v>
                </c:pt>
                <c:pt idx="350">
                  <c:v>122.88792316424781</c:v>
                </c:pt>
                <c:pt idx="351">
                  <c:v>122.60685139681128</c:v>
                </c:pt>
                <c:pt idx="352">
                  <c:v>122.31718336665024</c:v>
                </c:pt>
                <c:pt idx="353">
                  <c:v>122.0189683400198</c:v>
                </c:pt>
                <c:pt idx="354">
                  <c:v>121.71225646453811</c:v>
                </c:pt>
                <c:pt idx="355">
                  <c:v>121.39709876076903</c:v>
                </c:pt>
                <c:pt idx="356">
                  <c:v>121.07354711385189</c:v>
                </c:pt>
                <c:pt idx="357">
                  <c:v>120.74165426518265</c:v>
                </c:pt>
                <c:pt idx="358">
                  <c:v>120.40147380414555</c:v>
                </c:pt>
                <c:pt idx="359">
                  <c:v>120.05306015989763</c:v>
                </c:pt>
                <c:pt idx="360">
                  <c:v>119.70114690502635</c:v>
                </c:pt>
                <c:pt idx="361">
                  <c:v>119.35043022132265</c:v>
                </c:pt>
                <c:pt idx="362">
                  <c:v>119.00090478906257</c:v>
                </c:pt>
                <c:pt idx="363">
                  <c:v>118.652565318505</c:v>
                </c:pt>
                <c:pt idx="364">
                  <c:v>118.30540654968833</c:v>
                </c:pt>
                <c:pt idx="365">
                  <c:v>117.95942325222904</c:v>
                </c:pt>
                <c:pt idx="366">
                  <c:v>117.61461022512181</c:v>
                </c:pt>
                <c:pt idx="367">
                  <c:v>117.27096229654128</c:v>
                </c:pt>
                <c:pt idx="368">
                  <c:v>116.92847432364533</c:v>
                </c:pt>
                <c:pt idx="369">
                  <c:v>116.58714119237989</c:v>
                </c:pt>
                <c:pt idx="370">
                  <c:v>116.24695781728521</c:v>
                </c:pt>
                <c:pt idx="371">
                  <c:v>115.90791914130395</c:v>
                </c:pt>
                <c:pt idx="372">
                  <c:v>115.57002013559041</c:v>
                </c:pt>
                <c:pt idx="373">
                  <c:v>115.23325579932147</c:v>
                </c:pt>
                <c:pt idx="374">
                  <c:v>114.89762115950882</c:v>
                </c:pt>
                <c:pt idx="375">
                  <c:v>114.56311127081328</c:v>
                </c:pt>
                <c:pt idx="376">
                  <c:v>114.22972121535949</c:v>
                </c:pt>
                <c:pt idx="377">
                  <c:v>113.897446102553</c:v>
                </c:pt>
                <c:pt idx="378">
                  <c:v>113.56628106889843</c:v>
                </c:pt>
                <c:pt idx="379">
                  <c:v>113.23622127781906</c:v>
                </c:pt>
                <c:pt idx="380">
                  <c:v>112.90726191947762</c:v>
                </c:pt>
                <c:pt idx="381">
                  <c:v>112.57939821059908</c:v>
                </c:pt>
                <c:pt idx="382">
                  <c:v>112.2526253942939</c:v>
                </c:pt>
                <c:pt idx="383">
                  <c:v>111.92693873988368</c:v>
                </c:pt>
                <c:pt idx="384">
                  <c:v>111.60233354272729</c:v>
                </c:pt>
                <c:pt idx="385">
                  <c:v>111.2788051240489</c:v>
                </c:pt>
                <c:pt idx="386">
                  <c:v>110.95634883076708</c:v>
                </c:pt>
                <c:pt idx="387">
                  <c:v>110.63496003532531</c:v>
                </c:pt>
                <c:pt idx="388">
                  <c:v>110.3146341355236</c:v>
                </c:pt>
                <c:pt idx="389">
                  <c:v>109.99536655435199</c:v>
                </c:pt>
                <c:pt idx="390">
                  <c:v>109.67715273982449</c:v>
                </c:pt>
                <c:pt idx="391">
                  <c:v>109.35998816481504</c:v>
                </c:pt>
                <c:pt idx="392">
                  <c:v>109.04386832689427</c:v>
                </c:pt>
                <c:pt idx="393">
                  <c:v>108.72878874816764</c:v>
                </c:pt>
                <c:pt idx="394">
                  <c:v>108.41474497511497</c:v>
                </c:pt>
                <c:pt idx="395">
                  <c:v>108.10173257843117</c:v>
                </c:pt>
                <c:pt idx="396">
                  <c:v>107.78974715286753</c:v>
                </c:pt>
                <c:pt idx="397">
                  <c:v>107.47878431707572</c:v>
                </c:pt>
                <c:pt idx="398">
                  <c:v>107.16883971345099</c:v>
                </c:pt>
                <c:pt idx="399">
                  <c:v>106.85990900797864</c:v>
                </c:pt>
                <c:pt idx="400">
                  <c:v>106.55198789007977</c:v>
                </c:pt>
                <c:pt idx="401">
                  <c:v>103.50612591844335</c:v>
                </c:pt>
                <c:pt idx="402">
                  <c:v>100.55830060056221</c:v>
                </c:pt>
                <c:pt idx="403">
                  <c:v>97.70444828935176</c:v>
                </c:pt>
                <c:pt idx="404">
                  <c:v>94.940717783679858</c:v>
                </c:pt>
                <c:pt idx="405">
                  <c:v>92.263457102578045</c:v>
                </c:pt>
                <c:pt idx="406">
                  <c:v>89.669201214847362</c:v>
                </c:pt>
                <c:pt idx="407">
                  <c:v>87.154660645764778</c:v>
                </c:pt>
                <c:pt idx="408">
                  <c:v>84.716710889758289</c:v>
                </c:pt>
                <c:pt idx="409">
                  <c:v>82.352382564361363</c:v>
                </c:pt>
                <c:pt idx="410">
                  <c:v>80.058852246553883</c:v>
                </c:pt>
                <c:pt idx="411">
                  <c:v>77.833433937822718</c:v>
                </c:pt>
                <c:pt idx="412">
                  <c:v>75.673571108989435</c:v>
                </c:pt>
                <c:pt idx="413">
                  <c:v>73.576829280109507</c:v>
                </c:pt>
                <c:pt idx="414">
                  <c:v>71.540889094596395</c:v>
                </c:pt>
                <c:pt idx="415">
                  <c:v>69.563539850209395</c:v>
                </c:pt>
                <c:pt idx="416">
                  <c:v>67.642673452697153</c:v>
                </c:pt>
                <c:pt idx="417">
                  <c:v>65.776278760753755</c:v>
                </c:pt>
                <c:pt idx="418">
                  <c:v>63.962436293539838</c:v>
                </c:pt>
                <c:pt idx="419">
                  <c:v>62.199313274383073</c:v>
                </c:pt>
                <c:pt idx="420">
                  <c:v>60.485158986417545</c:v>
                </c:pt>
                <c:pt idx="421">
                  <c:v>58.818300417877062</c:v>
                </c:pt>
                <c:pt idx="422">
                  <c:v>57.19713817653561</c:v>
                </c:pt>
                <c:pt idx="423">
                  <c:v>55.620142654413321</c:v>
                </c:pt>
                <c:pt idx="424">
                  <c:v>54.08585042534596</c:v>
                </c:pt>
                <c:pt idx="425">
                  <c:v>52.592860859370624</c:v>
                </c:pt>
                <c:pt idx="426">
                  <c:v>51.139832939116346</c:v>
                </c:pt>
                <c:pt idx="427">
                  <c:v>49.725482264520579</c:v>
                </c:pt>
                <c:pt idx="428">
                  <c:v>48.348578233228437</c:v>
                </c:pt>
                <c:pt idx="429">
                  <c:v>47.007941384981898</c:v>
                </c:pt>
                <c:pt idx="430">
                  <c:v>45.702440899176288</c:v>
                </c:pt>
                <c:pt idx="431">
                  <c:v>44.430992235561575</c:v>
                </c:pt>
                <c:pt idx="432">
                  <c:v>43.192554908798783</c:v>
                </c:pt>
                <c:pt idx="433">
                  <c:v>41.986130388258516</c:v>
                </c:pt>
                <c:pt idx="434">
                  <c:v>40.810760115067154</c:v>
                </c:pt>
                <c:pt idx="435">
                  <c:v>39.665523628979081</c:v>
                </c:pt>
                <c:pt idx="436">
                  <c:v>38.549536798178657</c:v>
                </c:pt>
                <c:pt idx="437">
                  <c:v>37.461950145601165</c:v>
                </c:pt>
                <c:pt idx="438">
                  <c:v>36.401947265808573</c:v>
                </c:pt>
                <c:pt idx="439">
                  <c:v>35.368743326869676</c:v>
                </c:pt>
                <c:pt idx="440">
                  <c:v>34.361583652074657</c:v>
                </c:pt>
                <c:pt idx="441">
                  <c:v>33.379742376666968</c:v>
                </c:pt>
                <c:pt idx="442">
                  <c:v>32.422521175101011</c:v>
                </c:pt>
                <c:pt idx="443">
                  <c:v>31.489248054635574</c:v>
                </c:pt>
                <c:pt idx="444">
                  <c:v>30.579276211352365</c:v>
                </c:pt>
                <c:pt idx="445">
                  <c:v>29.691982944946808</c:v>
                </c:pt>
                <c:pt idx="446">
                  <c:v>28.826768628879151</c:v>
                </c:pt>
                <c:pt idx="447">
                  <c:v>27.983055732694872</c:v>
                </c:pt>
                <c:pt idx="448">
                  <c:v>27.160287893530668</c:v>
                </c:pt>
                <c:pt idx="449">
                  <c:v>26.357929034013193</c:v>
                </c:pt>
                <c:pt idx="450">
                  <c:v>25.575462523936167</c:v>
                </c:pt>
                <c:pt idx="451">
                  <c:v>24.81239038326633</c:v>
                </c:pt>
                <c:pt idx="452">
                  <c:v>24.068232524182864</c:v>
                </c:pt>
                <c:pt idx="453">
                  <c:v>23.342526029997877</c:v>
                </c:pt>
                <c:pt idx="454">
                  <c:v>22.63482446893892</c:v>
                </c:pt>
                <c:pt idx="455">
                  <c:v>21.944697240898204</c:v>
                </c:pt>
                <c:pt idx="456">
                  <c:v>21.271728955369205</c:v>
                </c:pt>
                <c:pt idx="457">
                  <c:v>20.615518838898879</c:v>
                </c:pt>
                <c:pt idx="458">
                  <c:v>19.975680170484289</c:v>
                </c:pt>
                <c:pt idx="459">
                  <c:v>19.351839743436166</c:v>
                </c:pt>
                <c:pt idx="460">
                  <c:v>18.743637352319464</c:v>
                </c:pt>
                <c:pt idx="461">
                  <c:v>18.150725303662874</c:v>
                </c:pt>
                <c:pt idx="462">
                  <c:v>17.572767949205119</c:v>
                </c:pt>
                <c:pt idx="463">
                  <c:v>17.009441240517827</c:v>
                </c:pt>
                <c:pt idx="464">
                  <c:v>16.46043230391086</c:v>
                </c:pt>
                <c:pt idx="465">
                  <c:v>15.925439034588484</c:v>
                </c:pt>
                <c:pt idx="466">
                  <c:v>15.404169709083281</c:v>
                </c:pt>
                <c:pt idx="467">
                  <c:v>14.896342615048704</c:v>
                </c:pt>
                <c:pt idx="468">
                  <c:v>14.401685697542474</c:v>
                </c:pt>
                <c:pt idx="469">
                  <c:v>13.919936220980576</c:v>
                </c:pt>
                <c:pt idx="470">
                  <c:v>13.450840445986048</c:v>
                </c:pt>
                <c:pt idx="471">
                  <c:v>12.994153320398659</c:v>
                </c:pt>
                <c:pt idx="472">
                  <c:v>12.549638183750197</c:v>
                </c:pt>
                <c:pt idx="473">
                  <c:v>12.117066484546692</c:v>
                </c:pt>
                <c:pt idx="474">
                  <c:v>11.696217509732772</c:v>
                </c:pt>
                <c:pt idx="475">
                  <c:v>11.286878125744982</c:v>
                </c:pt>
                <c:pt idx="476">
                  <c:v>10.88884253059053</c:v>
                </c:pt>
                <c:pt idx="477">
                  <c:v>10.501912016415211</c:v>
                </c:pt>
                <c:pt idx="478">
                  <c:v>10.125894742049866</c:v>
                </c:pt>
                <c:pt idx="479">
                  <c:v>9.7606055150484625</c:v>
                </c:pt>
                <c:pt idx="480">
                  <c:v>9.4058655827524937</c:v>
                </c:pt>
                <c:pt idx="481">
                  <c:v>9.0615024319366455</c:v>
                </c:pt>
                <c:pt idx="482">
                  <c:v>8.7273495966091925</c:v>
                </c:pt>
                <c:pt idx="483">
                  <c:v>8.4032464735571519</c:v>
                </c:pt>
                <c:pt idx="484">
                  <c:v>8.0890381452417959</c:v>
                </c:pt>
                <c:pt idx="485">
                  <c:v>7.7845752096633216</c:v>
                </c:pt>
                <c:pt idx="486">
                  <c:v>7.4897136168261191</c:v>
                </c:pt>
                <c:pt idx="487">
                  <c:v>7.2043145114461735</c:v>
                </c:pt>
                <c:pt idx="488">
                  <c:v>6.9282440815516084</c:v>
                </c:pt>
                <c:pt idx="489">
                  <c:v>6.6613734126346191</c:v>
                </c:pt>
                <c:pt idx="490">
                  <c:v>6.4035783470192591</c:v>
                </c:pt>
                <c:pt idx="491">
                  <c:v>6.1547393481139645</c:v>
                </c:pt>
                <c:pt idx="492">
                  <c:v>5.9147413692206259</c:v>
                </c:pt>
                <c:pt idx="493">
                  <c:v>5.6834737265735367</c:v>
                </c:pt>
                <c:pt idx="494">
                  <c:v>5.4608299762813308</c:v>
                </c:pt>
                <c:pt idx="495">
                  <c:v>5.2467077948435117</c:v>
                </c:pt>
                <c:pt idx="496">
                  <c:v>5.0410088629099805</c:v>
                </c:pt>
                <c:pt idx="497">
                  <c:v>4.8436387519476014</c:v>
                </c:pt>
                <c:pt idx="498">
                  <c:v>4.6545068134719223</c:v>
                </c:pt>
                <c:pt idx="499">
                  <c:v>4.4735260704953204</c:v>
                </c:pt>
                <c:pt idx="500">
                  <c:v>4.3006131108348944</c:v>
                </c:pt>
                <c:pt idx="501">
                  <c:v>4.1356879819149324</c:v>
                </c:pt>
                <c:pt idx="502">
                  <c:v>3.978674086689912</c:v>
                </c:pt>
                <c:pt idx="503">
                  <c:v>3.8294980803054863</c:v>
                </c:pt>
                <c:pt idx="504">
                  <c:v>3.6880897671071096</c:v>
                </c:pt>
                <c:pt idx="505">
                  <c:v>3.5543819975997666</c:v>
                </c:pt>
                <c:pt idx="506">
                  <c:v>3.4283105649587697</c:v>
                </c:pt>
                <c:pt idx="507">
                  <c:v>3.3098141006913195</c:v>
                </c:pt>
                <c:pt idx="508">
                  <c:v>3.1988339690534513</c:v>
                </c:pt>
                <c:pt idx="509">
                  <c:v>3.0953141598376264</c:v>
                </c:pt>
                <c:pt idx="510">
                  <c:v>2.9992011791647921</c:v>
                </c:pt>
                <c:pt idx="511">
                  <c:v>2.9104439379419187</c:v>
                </c:pt>
                <c:pt idx="512">
                  <c:v>2.8289936376838338</c:v>
                </c:pt>
                <c:pt idx="513">
                  <c:v>2.7548036534472868</c:v>
                </c:pt>
                <c:pt idx="514">
                  <c:v>2.6878294136866137</c:v>
                </c:pt>
                <c:pt idx="515">
                  <c:v>2.6280282769145575</c:v>
                </c:pt>
                <c:pt idx="516">
                  <c:v>2.5753594051380748</c:v>
                </c:pt>
                <c:pt idx="517">
                  <c:v>2.529783634136415</c:v>
                </c:pt>
                <c:pt idx="518">
                  <c:v>2.4912633407552192</c:v>
                </c:pt>
                <c:pt idx="519">
                  <c:v>2.4597623075026975</c:v>
                </c:pt>
                <c:pt idx="520">
                  <c:v>2.4352455848483254</c:v>
                </c:pt>
                <c:pt idx="521">
                  <c:v>2.4176793517360018</c:v>
                </c:pt>
                <c:pt idx="522">
                  <c:v>2.4070307749272875</c:v>
                </c:pt>
                <c:pt idx="523">
                  <c:v>2.4032678678806718</c:v>
                </c:pt>
                <c:pt idx="524">
                  <c:v>2.4063593499450002</c:v>
                </c:pt>
                <c:pt idx="525">
                  <c:v>2.416274506694974</c:v>
                </c:pt>
                <c:pt idx="526">
                  <c:v>2.432983052261076</c:v>
                </c:pt>
                <c:pt idx="527">
                  <c:v>2.4564549945039249</c:v>
                </c:pt>
                <c:pt idx="528">
                  <c:v>2.4866605038541101</c:v>
                </c:pt>
                <c:pt idx="529">
                  <c:v>2.523569786584829</c:v>
                </c:pt>
                <c:pt idx="530">
                  <c:v>2.5671529632095624</c:v>
                </c:pt>
                <c:pt idx="531">
                  <c:v>2.6173799526048422</c:v>
                </c:pt>
                <c:pt idx="532">
                  <c:v>2.6742203623541947</c:v>
                </c:pt>
                <c:pt idx="533">
                  <c:v>2.7376433856988394</c:v>
                </c:pt>
                <c:pt idx="534">
                  <c:v>2.8076177053688745</c:v>
                </c:pt>
                <c:pt idx="535">
                  <c:v>2.8841114044601999</c:v>
                </c:pt>
                <c:pt idx="536">
                  <c:v>2.9670918844209759</c:v>
                </c:pt>
                <c:pt idx="537">
                  <c:v>3.0565257901199976</c:v>
                </c:pt>
                <c:pt idx="538">
                  <c:v>3.1523789418898094</c:v>
                </c:pt>
                <c:pt idx="539">
                  <c:v>3.2546162743706386</c:v>
                </c:pt>
                <c:pt idx="540">
                  <c:v>3.3632017819275184</c:v>
                </c:pt>
                <c:pt idx="541">
                  <c:v>3.4780984703717825</c:v>
                </c:pt>
                <c:pt idx="542">
                  <c:v>3.5992683146885156</c:v>
                </c:pt>
                <c:pt idx="543">
                  <c:v>3.7266722224523101</c:v>
                </c:pt>
                <c:pt idx="544">
                  <c:v>3.8602700026033361</c:v>
                </c:pt>
                <c:pt idx="545">
                  <c:v>4.000020339252873</c:v>
                </c:pt>
                <c:pt idx="546">
                  <c:v>4.1458807701906384</c:v>
                </c:pt>
                <c:pt idx="547">
                  <c:v>4.2978076697740653</c:v>
                </c:pt>
                <c:pt idx="548">
                  <c:v>4.4557562358911573</c:v>
                </c:pt>
                <c:pt idx="549">
                  <c:v>4.6196804807023701</c:v>
                </c:pt>
                <c:pt idx="550">
                  <c:v>4.7895332248825735</c:v>
                </c:pt>
                <c:pt idx="551">
                  <c:v>4.9652660951005299</c:v>
                </c:pt>
                <c:pt idx="552">
                  <c:v>5.1468295244901459</c:v>
                </c:pt>
                <c:pt idx="553">
                  <c:v>5.3341727558845609</c:v>
                </c:pt>
                <c:pt idx="554">
                  <c:v>5.5272438476003574</c:v>
                </c:pt>
                <c:pt idx="555">
                  <c:v>5.7259896815749309</c:v>
                </c:pt>
                <c:pt idx="556">
                  <c:v>5.9303559736748994</c:v>
                </c:pt>
                <c:pt idx="557">
                  <c:v>6.1402872860074567</c:v>
                </c:pt>
                <c:pt idx="558">
                  <c:v>6.3557270410795361</c:v>
                </c:pt>
                <c:pt idx="559">
                  <c:v>6.5766175376617291</c:v>
                </c:pt>
                <c:pt idx="560">
                  <c:v>6.8028999682250353</c:v>
                </c:pt>
                <c:pt idx="561">
                  <c:v>7.0345144378285775</c:v>
                </c:pt>
                <c:pt idx="562">
                  <c:v>7.2713999843457948</c:v>
                </c:pt>
                <c:pt idx="563">
                  <c:v>7.5134945999249361</c:v>
                </c:pt>
                <c:pt idx="564">
                  <c:v>7.7607352535874989</c:v>
                </c:pt>
                <c:pt idx="565">
                  <c:v>8.0130579148749526</c:v>
                </c:pt>
                <c:pt idx="566">
                  <c:v>8.2703975784606047</c:v>
                </c:pt>
                <c:pt idx="567">
                  <c:v>8.5326882896489149</c:v>
                </c:pt>
                <c:pt idx="568">
                  <c:v>8.7998631706898909</c:v>
                </c:pt>
                <c:pt idx="569">
                  <c:v>9.0718544478405487</c:v>
                </c:pt>
                <c:pt idx="570">
                  <c:v>9.3485934791099012</c:v>
                </c:pt>
                <c:pt idx="571">
                  <c:v>9.6300107826274282</c:v>
                </c:pt>
                <c:pt idx="572">
                  <c:v>9.9160360655786306</c:v>
                </c:pt>
                <c:pt idx="573">
                  <c:v>10.206598253654141</c:v>
                </c:pt>
                <c:pt idx="574">
                  <c:v>10.501625520961827</c:v>
                </c:pt>
                <c:pt idx="575">
                  <c:v>10.801045320353861</c:v>
                </c:pt>
                <c:pt idx="576">
                  <c:v>11.104784414122832</c:v>
                </c:pt>
                <c:pt idx="577">
                  <c:v>11.412768905023535</c:v>
                </c:pt>
                <c:pt idx="578">
                  <c:v>11.724924267578478</c:v>
                </c:pt>
                <c:pt idx="579">
                  <c:v>12.041175379627377</c:v>
                </c:pt>
                <c:pt idx="580">
                  <c:v>12.361446554082299</c:v>
                </c:pt>
                <c:pt idx="581">
                  <c:v>12.68566157085178</c:v>
                </c:pt>
                <c:pt idx="582">
                  <c:v>13.013743708898485</c:v>
                </c:pt>
                <c:pt idx="583">
                  <c:v>13.345615778396523</c:v>
                </c:pt>
                <c:pt idx="584">
                  <c:v>13.681200152955633</c:v>
                </c:pt>
                <c:pt idx="585">
                  <c:v>14.020418801880529</c:v>
                </c:pt>
                <c:pt idx="586">
                  <c:v>14.363193322435079</c:v>
                </c:pt>
                <c:pt idx="587">
                  <c:v>14.709444972081743</c:v>
                </c:pt>
                <c:pt idx="588">
                  <c:v>15.059094700667828</c:v>
                </c:pt>
                <c:pt idx="589">
                  <c:v>15.412063182531098</c:v>
                </c:pt>
                <c:pt idx="590">
                  <c:v>15.768270848498148</c:v>
                </c:pt>
                <c:pt idx="591">
                  <c:v>16.127637917749745</c:v>
                </c:pt>
                <c:pt idx="592">
                  <c:v>16.490084429528412</c:v>
                </c:pt>
                <c:pt idx="593">
                  <c:v>16.855530274664197</c:v>
                </c:pt>
                <c:pt idx="594">
                  <c:v>17.223895226895358</c:v>
                </c:pt>
                <c:pt idx="595">
                  <c:v>17.595098973961584</c:v>
                </c:pt>
                <c:pt idx="596">
                  <c:v>17.96906114844823</c:v>
                </c:pt>
                <c:pt idx="597">
                  <c:v>18.345701358360419</c:v>
                </c:pt>
                <c:pt idx="598">
                  <c:v>18.724939217407197</c:v>
                </c:pt>
                <c:pt idx="599">
                  <c:v>19.106694374976065</c:v>
                </c:pt>
                <c:pt idx="600">
                  <c:v>19.490886545779428</c:v>
                </c:pt>
                <c:pt idx="601">
                  <c:v>19.877435539154909</c:v>
                </c:pt>
                <c:pt idx="602">
                  <c:v>20.26626128800234</c:v>
                </c:pt>
                <c:pt idx="603">
                  <c:v>20.657283877340841</c:v>
                </c:pt>
                <c:pt idx="604">
                  <c:v>21.050423572470287</c:v>
                </c:pt>
                <c:pt idx="605">
                  <c:v>21.445600846721856</c:v>
                </c:pt>
                <c:pt idx="606">
                  <c:v>21.84273640878336</c:v>
                </c:pt>
                <c:pt idx="607">
                  <c:v>22.241751229585446</c:v>
                </c:pt>
                <c:pt idx="608">
                  <c:v>22.642566568735784</c:v>
                </c:pt>
                <c:pt idx="609">
                  <c:v>23.045104000488482</c:v>
                </c:pt>
                <c:pt idx="610">
                  <c:v>23.449285439237386</c:v>
                </c:pt>
                <c:pt idx="611">
                  <c:v>23.855033164521753</c:v>
                </c:pt>
                <c:pt idx="612">
                  <c:v>24.262269845534167</c:v>
                </c:pt>
                <c:pt idx="613">
                  <c:v>24.670918565120726</c:v>
                </c:pt>
                <c:pt idx="614">
                  <c:v>25.080902843264347</c:v>
                </c:pt>
                <c:pt idx="615">
                  <c:v>25.492146660042707</c:v>
                </c:pt>
                <c:pt idx="616">
                  <c:v>25.904574478052929</c:v>
                </c:pt>
                <c:pt idx="617">
                  <c:v>26.318111264295702</c:v>
                </c:pt>
                <c:pt idx="618">
                  <c:v>26.732682511512113</c:v>
                </c:pt>
                <c:pt idx="619">
                  <c:v>27.148214258967261</c:v>
                </c:pt>
                <c:pt idx="620">
                  <c:v>27.564633112675065</c:v>
                </c:pt>
                <c:pt idx="621">
                  <c:v>27.981866265059455</c:v>
                </c:pt>
                <c:pt idx="622">
                  <c:v>28.399841514047679</c:v>
                </c:pt>
                <c:pt idx="623">
                  <c:v>28.818487281591818</c:v>
                </c:pt>
                <c:pt idx="624">
                  <c:v>29.237732631615621</c:v>
                </c:pt>
                <c:pt idx="625">
                  <c:v>29.657507287383925</c:v>
                </c:pt>
                <c:pt idx="626">
                  <c:v>30.077741648292438</c:v>
                </c:pt>
                <c:pt idx="627">
                  <c:v>30.498366806076589</c:v>
                </c:pt>
                <c:pt idx="628">
                  <c:v>30.919314560438394</c:v>
                </c:pt>
                <c:pt idx="629">
                  <c:v>31.340517434090632</c:v>
                </c:pt>
                <c:pt idx="630">
                  <c:v>31.761908687218583</c:v>
                </c:pt>
                <c:pt idx="631">
                  <c:v>32.183422331359566</c:v>
                </c:pt>
                <c:pt idx="632">
                  <c:v>32.604993142701709</c:v>
                </c:pt>
                <c:pt idx="633">
                  <c:v>33.026556674802535</c:v>
                </c:pt>
                <c:pt idx="634">
                  <c:v>33.448049270730088</c:v>
                </c:pt>
                <c:pt idx="635">
                  <c:v>33.869408074628623</c:v>
                </c:pt>
                <c:pt idx="636">
                  <c:v>34.290571042711271</c:v>
                </c:pt>
                <c:pt idx="637">
                  <c:v>34.711476953683452</c:v>
                </c:pt>
                <c:pt idx="638">
                  <c:v>35.132065418599986</c:v>
                </c:pt>
                <c:pt idx="639">
                  <c:v>35.5522768901604</c:v>
                </c:pt>
                <c:pt idx="640">
                  <c:v>35.972052671446299</c:v>
                </c:pt>
                <c:pt idx="641">
                  <c:v>36.391334924105934</c:v>
                </c:pt>
                <c:pt idx="642">
                  <c:v>36.810066675990505</c:v>
                </c:pt>
                <c:pt idx="643">
                  <c:v>37.2281918282481</c:v>
                </c:pt>
                <c:pt idx="644">
                  <c:v>37.64565516188059</c:v>
                </c:pt>
                <c:pt idx="645">
                  <c:v>38.062402343769705</c:v>
                </c:pt>
                <c:pt idx="646">
                  <c:v>38.478379932178456</c:v>
                </c:pt>
                <c:pt idx="647">
                  <c:v>38.893535381734686</c:v>
                </c:pt>
                <c:pt idx="648">
                  <c:v>39.307817047903363</c:v>
                </c:pt>
                <c:pt idx="649">
                  <c:v>39.721174190954983</c:v>
                </c:pt>
                <c:pt idx="650">
                  <c:v>40.133556979437358</c:v>
                </c:pt>
                <c:pt idx="651">
                  <c:v>40.544916493158247</c:v>
                </c:pt>
                <c:pt idx="652">
                  <c:v>40.955204725686905</c:v>
                </c:pt>
                <c:pt idx="653">
                  <c:v>41.364374586382411</c:v>
                </c:pt>
                <c:pt idx="654">
                  <c:v>41.772379901956882</c:v>
                </c:pt>
                <c:pt idx="655">
                  <c:v>42.179175417582336</c:v>
                </c:pt>
                <c:pt idx="656">
                  <c:v>42.584716797549255</c:v>
                </c:pt>
                <c:pt idx="657">
                  <c:v>42.988960625486094</c:v>
                </c:pt>
                <c:pt idx="658">
                  <c:v>43.391864404148031</c:v>
                </c:pt>
                <c:pt idx="659">
                  <c:v>43.79338655478459</c:v>
                </c:pt>
                <c:pt idx="660">
                  <c:v>44.19348641609453</c:v>
                </c:pt>
                <c:pt idx="661">
                  <c:v>44.592124242777828</c:v>
                </c:pt>
                <c:pt idx="662">
                  <c:v>44.989261203693772</c:v>
                </c:pt>
                <c:pt idx="663">
                  <c:v>45.384859379634335</c:v>
                </c:pt>
                <c:pt idx="664">
                  <c:v>45.77888176072301</c:v>
                </c:pt>
                <c:pt idx="665">
                  <c:v>46.171292243447674</c:v>
                </c:pt>
                <c:pt idx="666">
                  <c:v>46.562055627337863</c:v>
                </c:pt>
                <c:pt idx="667">
                  <c:v>46.951137611295742</c:v>
                </c:pt>
                <c:pt idx="668">
                  <c:v>47.338504789590232</c:v>
                </c:pt>
                <c:pt idx="669">
                  <c:v>47.724124647524476</c:v>
                </c:pt>
                <c:pt idx="670">
                  <c:v>48.107965556785764</c:v>
                </c:pt>
                <c:pt idx="671">
                  <c:v>48.489996770488005</c:v>
                </c:pt>
                <c:pt idx="672">
                  <c:v>48.870188417916246</c:v>
                </c:pt>
                <c:pt idx="673">
                  <c:v>49.248511498982921</c:v>
                </c:pt>
                <c:pt idx="674">
                  <c:v>49.624937878405611</c:v>
                </c:pt>
                <c:pt idx="675">
                  <c:v>49.999440279615591</c:v>
                </c:pt>
                <c:pt idx="676">
                  <c:v>50.371992278407191</c:v>
                </c:pt>
                <c:pt idx="677">
                  <c:v>50.742568296337033</c:v>
                </c:pt>
                <c:pt idx="678">
                  <c:v>51.111143593882915</c:v>
                </c:pt>
                <c:pt idx="679">
                  <c:v>51.477694263371873</c:v>
                </c:pt>
                <c:pt idx="680">
                  <c:v>51.842197221686071</c:v>
                </c:pt>
                <c:pt idx="681">
                  <c:v>52.204630202756697</c:v>
                </c:pt>
                <c:pt idx="682">
                  <c:v>52.564971749854514</c:v>
                </c:pt>
                <c:pt idx="683">
                  <c:v>52.923201207685985</c:v>
                </c:pt>
                <c:pt idx="684">
                  <c:v>53.279298714304687</c:v>
                </c:pt>
                <c:pt idx="685">
                  <c:v>53.633245192846047</c:v>
                </c:pt>
                <c:pt idx="686">
                  <c:v>53.98502234309499</c:v>
                </c:pt>
                <c:pt idx="687">
                  <c:v>54.33461263289454</c:v>
                </c:pt>
                <c:pt idx="688">
                  <c:v>54.681999289404409</c:v>
                </c:pt>
                <c:pt idx="689">
                  <c:v>55.027166290217842</c:v>
                </c:pt>
                <c:pt idx="690">
                  <c:v>55.370098354345025</c:v>
                </c:pt>
                <c:pt idx="691">
                  <c:v>55.710780933071419</c:v>
                </c:pt>
                <c:pt idx="692">
                  <c:v>56.049200200698998</c:v>
                </c:pt>
                <c:pt idx="693">
                  <c:v>56.385343045178281</c:v>
                </c:pt>
                <c:pt idx="694">
                  <c:v>56.719197058639196</c:v>
                </c:pt>
                <c:pt idx="695">
                  <c:v>57.050750527828271</c:v>
                </c:pt>
                <c:pt idx="696">
                  <c:v>57.379992424459751</c:v>
                </c:pt>
                <c:pt idx="697">
                  <c:v>57.706912395488068</c:v>
                </c:pt>
                <c:pt idx="698">
                  <c:v>58.031500753308769</c:v>
                </c:pt>
                <c:pt idx="699">
                  <c:v>58.353748465895414</c:v>
                </c:pt>
                <c:pt idx="700">
                  <c:v>58.673647146878821</c:v>
                </c:pt>
                <c:pt idx="701">
                  <c:v>58.991189045575972</c:v>
                </c:pt>
                <c:pt idx="702">
                  <c:v>59.306367036974819</c:v>
                </c:pt>
                <c:pt idx="703">
                  <c:v>59.619174611682247</c:v>
                </c:pt>
                <c:pt idx="704">
                  <c:v>59.92960586584006</c:v>
                </c:pt>
                <c:pt idx="705">
                  <c:v>60.237655491017236</c:v>
                </c:pt>
                <c:pt idx="706">
                  <c:v>60.23796048394086</c:v>
                </c:pt>
                <c:pt idx="707">
                  <c:v>60.238265474501993</c:v>
                </c:pt>
                <c:pt idx="708">
                  <c:v>60.238570462700643</c:v>
                </c:pt>
                <c:pt idx="709">
                  <c:v>60.238875448536767</c:v>
                </c:pt>
                <c:pt idx="710">
                  <c:v>60.23918043201045</c:v>
                </c:pt>
                <c:pt idx="711">
                  <c:v>60.239485413121642</c:v>
                </c:pt>
                <c:pt idx="712">
                  <c:v>60.239790391870308</c:v>
                </c:pt>
                <c:pt idx="713">
                  <c:v>60.240095368256483</c:v>
                </c:pt>
                <c:pt idx="714">
                  <c:v>60.240400342280168</c:v>
                </c:pt>
                <c:pt idx="715">
                  <c:v>60.240705313941319</c:v>
                </c:pt>
                <c:pt idx="716">
                  <c:v>60.241010283239959</c:v>
                </c:pt>
                <c:pt idx="717">
                  <c:v>60.241315250176044</c:v>
                </c:pt>
                <c:pt idx="718">
                  <c:v>60.241620214749652</c:v>
                </c:pt>
                <c:pt idx="719">
                  <c:v>60.241925176960727</c:v>
                </c:pt>
                <c:pt idx="720">
                  <c:v>60.242230136809255</c:v>
                </c:pt>
                <c:pt idx="721">
                  <c:v>60.242535094295235</c:v>
                </c:pt>
                <c:pt idx="722">
                  <c:v>60.242840049418675</c:v>
                </c:pt>
                <c:pt idx="723">
                  <c:v>60.243145002179581</c:v>
                </c:pt>
                <c:pt idx="724">
                  <c:v>60.24344995257794</c:v>
                </c:pt>
                <c:pt idx="725">
                  <c:v>60.243754900613737</c:v>
                </c:pt>
                <c:pt idx="726">
                  <c:v>60.244059846286952</c:v>
                </c:pt>
                <c:pt idx="727">
                  <c:v>60.244364789597654</c:v>
                </c:pt>
                <c:pt idx="728">
                  <c:v>60.244669730545766</c:v>
                </c:pt>
                <c:pt idx="729">
                  <c:v>60.244974669131309</c:v>
                </c:pt>
                <c:pt idx="730">
                  <c:v>60.245279605354277</c:v>
                </c:pt>
                <c:pt idx="731">
                  <c:v>60.245584539214683</c:v>
                </c:pt>
                <c:pt idx="732">
                  <c:v>60.245889470712484</c:v>
                </c:pt>
                <c:pt idx="733">
                  <c:v>60.246194399847667</c:v>
                </c:pt>
                <c:pt idx="734">
                  <c:v>60.246499326620317</c:v>
                </c:pt>
                <c:pt idx="735">
                  <c:v>60.246804251030369</c:v>
                </c:pt>
                <c:pt idx="736">
                  <c:v>60.247109173077746</c:v>
                </c:pt>
                <c:pt idx="737">
                  <c:v>60.247414092762568</c:v>
                </c:pt>
                <c:pt idx="738">
                  <c:v>60.247719010084772</c:v>
                </c:pt>
                <c:pt idx="739">
                  <c:v>60.248023925044379</c:v>
                </c:pt>
                <c:pt idx="740">
                  <c:v>60.24832883764136</c:v>
                </c:pt>
                <c:pt idx="741">
                  <c:v>60.248633747875722</c:v>
                </c:pt>
                <c:pt idx="742">
                  <c:v>60.248938655747466</c:v>
                </c:pt>
                <c:pt idx="743">
                  <c:v>60.249243561256577</c:v>
                </c:pt>
                <c:pt idx="744">
                  <c:v>60.249548464403048</c:v>
                </c:pt>
                <c:pt idx="745">
                  <c:v>60.249853365186858</c:v>
                </c:pt>
                <c:pt idx="746">
                  <c:v>60.250158263608057</c:v>
                </c:pt>
                <c:pt idx="747">
                  <c:v>60.250463159666616</c:v>
                </c:pt>
                <c:pt idx="748">
                  <c:v>60.250768053362513</c:v>
                </c:pt>
                <c:pt idx="749">
                  <c:v>60.251072944695721</c:v>
                </c:pt>
                <c:pt idx="750">
                  <c:v>60.251377833666318</c:v>
                </c:pt>
                <c:pt idx="751">
                  <c:v>60.251682720274239</c:v>
                </c:pt>
                <c:pt idx="752">
                  <c:v>60.251987604519485</c:v>
                </c:pt>
                <c:pt idx="753">
                  <c:v>60.252292486402091</c:v>
                </c:pt>
                <c:pt idx="754">
                  <c:v>60.252597365921957</c:v>
                </c:pt>
                <c:pt idx="755">
                  <c:v>60.252902243079184</c:v>
                </c:pt>
                <c:pt idx="756">
                  <c:v>60.253207117873728</c:v>
                </c:pt>
                <c:pt idx="757">
                  <c:v>60.253511990305554</c:v>
                </c:pt>
                <c:pt idx="758">
                  <c:v>60.253816860374705</c:v>
                </c:pt>
                <c:pt idx="759">
                  <c:v>60.254121728081159</c:v>
                </c:pt>
                <c:pt idx="760">
                  <c:v>60.254426593424924</c:v>
                </c:pt>
                <c:pt idx="761">
                  <c:v>60.254731456405956</c:v>
                </c:pt>
                <c:pt idx="762">
                  <c:v>60.25503631702432</c:v>
                </c:pt>
                <c:pt idx="763">
                  <c:v>60.255341175279916</c:v>
                </c:pt>
                <c:pt idx="764">
                  <c:v>60.255646031172837</c:v>
                </c:pt>
                <c:pt idx="765">
                  <c:v>60.25595088470304</c:v>
                </c:pt>
                <c:pt idx="766">
                  <c:v>60.256255735870482</c:v>
                </c:pt>
                <c:pt idx="767">
                  <c:v>60.256560584675213</c:v>
                </c:pt>
                <c:pt idx="768">
                  <c:v>60.256865431117227</c:v>
                </c:pt>
                <c:pt idx="769">
                  <c:v>60.257170275196465</c:v>
                </c:pt>
                <c:pt idx="770">
                  <c:v>60.257475116912985</c:v>
                </c:pt>
                <c:pt idx="771">
                  <c:v>60.257779956266759</c:v>
                </c:pt>
                <c:pt idx="772">
                  <c:v>60.25808479325778</c:v>
                </c:pt>
                <c:pt idx="773">
                  <c:v>60.258389627886054</c:v>
                </c:pt>
                <c:pt idx="774">
                  <c:v>60.258694460151546</c:v>
                </c:pt>
                <c:pt idx="775">
                  <c:v>60.258999290054305</c:v>
                </c:pt>
                <c:pt idx="776">
                  <c:v>60.259304117594276</c:v>
                </c:pt>
                <c:pt idx="777">
                  <c:v>60.259608942771472</c:v>
                </c:pt>
                <c:pt idx="778">
                  <c:v>60.259913765585878</c:v>
                </c:pt>
                <c:pt idx="779">
                  <c:v>60.260218586037539</c:v>
                </c:pt>
                <c:pt idx="780">
                  <c:v>60.260523404126417</c:v>
                </c:pt>
                <c:pt idx="781">
                  <c:v>60.260828219852485</c:v>
                </c:pt>
                <c:pt idx="782">
                  <c:v>60.261133033215756</c:v>
                </c:pt>
                <c:pt idx="783">
                  <c:v>60.261437844216239</c:v>
                </c:pt>
                <c:pt idx="784">
                  <c:v>60.261742652853904</c:v>
                </c:pt>
                <c:pt idx="785">
                  <c:v>60.262047459128766</c:v>
                </c:pt>
                <c:pt idx="786">
                  <c:v>60.262352263040832</c:v>
                </c:pt>
                <c:pt idx="787">
                  <c:v>60.262657064590073</c:v>
                </c:pt>
                <c:pt idx="788">
                  <c:v>60.262961863776518</c:v>
                </c:pt>
                <c:pt idx="789">
                  <c:v>60.263266660600138</c:v>
                </c:pt>
                <c:pt idx="790">
                  <c:v>60.263571455060905</c:v>
                </c:pt>
                <c:pt idx="791">
                  <c:v>60.263876247158841</c:v>
                </c:pt>
                <c:pt idx="792">
                  <c:v>60.264181036893973</c:v>
                </c:pt>
                <c:pt idx="793">
                  <c:v>60.264485824266259</c:v>
                </c:pt>
                <c:pt idx="794">
                  <c:v>60.264790609275664</c:v>
                </c:pt>
                <c:pt idx="795">
                  <c:v>60.265095391922287</c:v>
                </c:pt>
                <c:pt idx="796">
                  <c:v>60.265400172206007</c:v>
                </c:pt>
                <c:pt idx="797">
                  <c:v>60.265704950126889</c:v>
                </c:pt>
                <c:pt idx="798">
                  <c:v>60.266009725684931</c:v>
                </c:pt>
                <c:pt idx="799">
                  <c:v>60.266314498880078</c:v>
                </c:pt>
                <c:pt idx="800">
                  <c:v>60.266619269712372</c:v>
                </c:pt>
                <c:pt idx="801">
                  <c:v>60.266924038181777</c:v>
                </c:pt>
                <c:pt idx="802">
                  <c:v>60.267228804288322</c:v>
                </c:pt>
                <c:pt idx="803">
                  <c:v>60.267533568031972</c:v>
                </c:pt>
                <c:pt idx="804">
                  <c:v>60.267838329412761</c:v>
                </c:pt>
                <c:pt idx="805">
                  <c:v>60.268143088430648</c:v>
                </c:pt>
                <c:pt idx="806">
                  <c:v>60.268447845085632</c:v>
                </c:pt>
                <c:pt idx="807">
                  <c:v>60.268752599377741</c:v>
                </c:pt>
                <c:pt idx="808">
                  <c:v>60.269057351306948</c:v>
                </c:pt>
                <c:pt idx="809">
                  <c:v>60.269362100873252</c:v>
                </c:pt>
                <c:pt idx="810">
                  <c:v>60.269666848076618</c:v>
                </c:pt>
                <c:pt idx="811">
                  <c:v>60.269971592917095</c:v>
                </c:pt>
                <c:pt idx="812">
                  <c:v>60.270276335394655</c:v>
                </c:pt>
                <c:pt idx="813">
                  <c:v>60.270581075509277</c:v>
                </c:pt>
                <c:pt idx="814">
                  <c:v>60.270885813260961</c:v>
                </c:pt>
                <c:pt idx="815">
                  <c:v>60.271190548649741</c:v>
                </c:pt>
                <c:pt idx="816">
                  <c:v>60.271495281675584</c:v>
                </c:pt>
                <c:pt idx="817">
                  <c:v>60.271800012338488</c:v>
                </c:pt>
                <c:pt idx="818">
                  <c:v>60.27210474063844</c:v>
                </c:pt>
                <c:pt idx="819">
                  <c:v>60.272409466575454</c:v>
                </c:pt>
                <c:pt idx="820">
                  <c:v>60.272714190149514</c:v>
                </c:pt>
                <c:pt idx="821">
                  <c:v>60.273018911360602</c:v>
                </c:pt>
                <c:pt idx="822">
                  <c:v>60.273323630208751</c:v>
                </c:pt>
                <c:pt idx="823">
                  <c:v>60.273628346693947</c:v>
                </c:pt>
                <c:pt idx="824">
                  <c:v>60.273933060816148</c:v>
                </c:pt>
                <c:pt idx="825">
                  <c:v>60.27423777257539</c:v>
                </c:pt>
                <c:pt idx="826">
                  <c:v>60.274542481971658</c:v>
                </c:pt>
                <c:pt idx="827">
                  <c:v>60.274847189004952</c:v>
                </c:pt>
                <c:pt idx="828">
                  <c:v>60.275151893675265</c:v>
                </c:pt>
                <c:pt idx="829">
                  <c:v>60.275456595982561</c:v>
                </c:pt>
                <c:pt idx="830">
                  <c:v>60.275761295926891</c:v>
                </c:pt>
                <c:pt idx="831">
                  <c:v>60.276065993508219</c:v>
                </c:pt>
                <c:pt idx="832">
                  <c:v>60.27637068872653</c:v>
                </c:pt>
                <c:pt idx="833">
                  <c:v>60.27667538158186</c:v>
                </c:pt>
                <c:pt idx="834">
                  <c:v>60.27698007207416</c:v>
                </c:pt>
                <c:pt idx="835">
                  <c:v>60.277284760203457</c:v>
                </c:pt>
                <c:pt idx="836">
                  <c:v>60.277589445969738</c:v>
                </c:pt>
                <c:pt idx="837">
                  <c:v>60.277894129372996</c:v>
                </c:pt>
                <c:pt idx="838">
                  <c:v>60.278198810413222</c:v>
                </c:pt>
                <c:pt idx="839">
                  <c:v>60.278503489090426</c:v>
                </c:pt>
                <c:pt idx="840">
                  <c:v>60.278808165404598</c:v>
                </c:pt>
                <c:pt idx="841">
                  <c:v>60.279112839355712</c:v>
                </c:pt>
                <c:pt idx="842">
                  <c:v>60.279417510943823</c:v>
                </c:pt>
                <c:pt idx="843">
                  <c:v>60.279722180168861</c:v>
                </c:pt>
                <c:pt idx="844">
                  <c:v>60.280026847030861</c:v>
                </c:pt>
                <c:pt idx="845">
                  <c:v>60.280331511529802</c:v>
                </c:pt>
                <c:pt idx="846">
                  <c:v>60.280636173665663</c:v>
                </c:pt>
                <c:pt idx="847">
                  <c:v>60.280940833438478</c:v>
                </c:pt>
                <c:pt idx="848">
                  <c:v>60.281245490848256</c:v>
                </c:pt>
                <c:pt idx="849">
                  <c:v>60.281550145894897</c:v>
                </c:pt>
                <c:pt idx="850">
                  <c:v>60.281854798578522</c:v>
                </c:pt>
                <c:pt idx="851">
                  <c:v>60.282159448899044</c:v>
                </c:pt>
                <c:pt idx="852">
                  <c:v>60.282464096856486</c:v>
                </c:pt>
                <c:pt idx="853">
                  <c:v>60.282768742450834</c:v>
                </c:pt>
                <c:pt idx="854">
                  <c:v>60.283073385682094</c:v>
                </c:pt>
                <c:pt idx="855">
                  <c:v>60.283378026550267</c:v>
                </c:pt>
                <c:pt idx="856">
                  <c:v>60.283682665055302</c:v>
                </c:pt>
                <c:pt idx="857">
                  <c:v>60.283987301197271</c:v>
                </c:pt>
                <c:pt idx="858">
                  <c:v>60.28429193497611</c:v>
                </c:pt>
                <c:pt idx="859">
                  <c:v>60.284596566391876</c:v>
                </c:pt>
                <c:pt idx="860">
                  <c:v>60.284901195444469</c:v>
                </c:pt>
                <c:pt idx="861">
                  <c:v>60.285205822133989</c:v>
                </c:pt>
                <c:pt idx="862">
                  <c:v>60.285510446460364</c:v>
                </c:pt>
                <c:pt idx="863">
                  <c:v>60.285815068423602</c:v>
                </c:pt>
                <c:pt idx="864">
                  <c:v>60.286119688023739</c:v>
                </c:pt>
                <c:pt idx="865">
                  <c:v>60.286424305260702</c:v>
                </c:pt>
                <c:pt idx="866">
                  <c:v>60.286728920134529</c:v>
                </c:pt>
                <c:pt idx="867">
                  <c:v>60.287033532645218</c:v>
                </c:pt>
                <c:pt idx="868">
                  <c:v>60.287338142792748</c:v>
                </c:pt>
                <c:pt idx="869">
                  <c:v>60.287642750577149</c:v>
                </c:pt>
                <c:pt idx="870">
                  <c:v>60.287947355998384</c:v>
                </c:pt>
                <c:pt idx="871">
                  <c:v>60.288251959056439</c:v>
                </c:pt>
                <c:pt idx="872">
                  <c:v>60.288556559751328</c:v>
                </c:pt>
                <c:pt idx="873">
                  <c:v>60.28886115808308</c:v>
                </c:pt>
                <c:pt idx="874">
                  <c:v>60.289165754051616</c:v>
                </c:pt>
                <c:pt idx="875">
                  <c:v>60.289470347657002</c:v>
                </c:pt>
                <c:pt idx="876">
                  <c:v>60.289774938899214</c:v>
                </c:pt>
                <c:pt idx="877">
                  <c:v>60.290079527778211</c:v>
                </c:pt>
                <c:pt idx="878">
                  <c:v>60.290384114294056</c:v>
                </c:pt>
                <c:pt idx="879">
                  <c:v>60.290688698446651</c:v>
                </c:pt>
                <c:pt idx="880">
                  <c:v>60.290993280236073</c:v>
                </c:pt>
                <c:pt idx="881">
                  <c:v>60.291297859662308</c:v>
                </c:pt>
                <c:pt idx="882">
                  <c:v>60.291602436725313</c:v>
                </c:pt>
                <c:pt idx="883">
                  <c:v>60.291907011425145</c:v>
                </c:pt>
                <c:pt idx="884">
                  <c:v>60.292211583761684</c:v>
                </c:pt>
                <c:pt idx="885">
                  <c:v>60.292516153735079</c:v>
                </c:pt>
                <c:pt idx="886">
                  <c:v>60.292820721345208</c:v>
                </c:pt>
                <c:pt idx="887">
                  <c:v>60.293125286592137</c:v>
                </c:pt>
                <c:pt idx="888">
                  <c:v>60.293429849475814</c:v>
                </c:pt>
                <c:pt idx="889">
                  <c:v>60.293734409996269</c:v>
                </c:pt>
                <c:pt idx="890">
                  <c:v>60.294038968153451</c:v>
                </c:pt>
                <c:pt idx="891">
                  <c:v>60.29434352394744</c:v>
                </c:pt>
                <c:pt idx="892">
                  <c:v>60.29464807737817</c:v>
                </c:pt>
                <c:pt idx="893">
                  <c:v>60.294952628445607</c:v>
                </c:pt>
                <c:pt idx="894">
                  <c:v>60.295257177149821</c:v>
                </c:pt>
                <c:pt idx="895">
                  <c:v>60.295561723490778</c:v>
                </c:pt>
                <c:pt idx="896">
                  <c:v>60.295866267468448</c:v>
                </c:pt>
                <c:pt idx="897">
                  <c:v>60.296170809082874</c:v>
                </c:pt>
                <c:pt idx="898">
                  <c:v>60.296475348333985</c:v>
                </c:pt>
                <c:pt idx="899">
                  <c:v>60.296779885221888</c:v>
                </c:pt>
                <c:pt idx="900">
                  <c:v>60.297084419746454</c:v>
                </c:pt>
                <c:pt idx="901">
                  <c:v>60.297388951907735</c:v>
                </c:pt>
                <c:pt idx="902">
                  <c:v>60.297693481705764</c:v>
                </c:pt>
                <c:pt idx="903">
                  <c:v>60.297998009140471</c:v>
                </c:pt>
                <c:pt idx="904">
                  <c:v>60.298302534211878</c:v>
                </c:pt>
                <c:pt idx="905">
                  <c:v>60.298607056919998</c:v>
                </c:pt>
                <c:pt idx="906">
                  <c:v>60.298911577264818</c:v>
                </c:pt>
                <c:pt idx="907">
                  <c:v>60.299216095246329</c:v>
                </c:pt>
                <c:pt idx="908">
                  <c:v>60.299520610864512</c:v>
                </c:pt>
                <c:pt idx="909">
                  <c:v>60.299825124119373</c:v>
                </c:pt>
                <c:pt idx="910">
                  <c:v>60.300129635010933</c:v>
                </c:pt>
                <c:pt idx="911">
                  <c:v>60.300434143539135</c:v>
                </c:pt>
                <c:pt idx="912">
                  <c:v>60.300738649704023</c:v>
                </c:pt>
                <c:pt idx="913">
                  <c:v>60.301043153505574</c:v>
                </c:pt>
                <c:pt idx="914">
                  <c:v>60.301347654943783</c:v>
                </c:pt>
                <c:pt idx="915">
                  <c:v>60.301652154018676</c:v>
                </c:pt>
                <c:pt idx="916">
                  <c:v>60.301956650730212</c:v>
                </c:pt>
                <c:pt idx="917">
                  <c:v>60.30226114507839</c:v>
                </c:pt>
                <c:pt idx="918">
                  <c:v>60.302565637063218</c:v>
                </c:pt>
                <c:pt idx="919">
                  <c:v>60.302870126684674</c:v>
                </c:pt>
                <c:pt idx="920">
                  <c:v>60.303174613942765</c:v>
                </c:pt>
                <c:pt idx="921">
                  <c:v>60.303479098837485</c:v>
                </c:pt>
                <c:pt idx="922">
                  <c:v>60.303783581368847</c:v>
                </c:pt>
                <c:pt idx="923">
                  <c:v>60.304088061536817</c:v>
                </c:pt>
                <c:pt idx="924">
                  <c:v>60.304392539341414</c:v>
                </c:pt>
                <c:pt idx="925">
                  <c:v>60.304697014782654</c:v>
                </c:pt>
                <c:pt idx="926">
                  <c:v>60.305001487860508</c:v>
                </c:pt>
                <c:pt idx="927">
                  <c:v>60.305305958574941</c:v>
                </c:pt>
                <c:pt idx="928">
                  <c:v>60.305610426925988</c:v>
                </c:pt>
                <c:pt idx="929">
                  <c:v>60.305914892913641</c:v>
                </c:pt>
                <c:pt idx="930">
                  <c:v>60.306219356537866</c:v>
                </c:pt>
                <c:pt idx="931">
                  <c:v>60.306523817798698</c:v>
                </c:pt>
                <c:pt idx="932">
                  <c:v>60.30682827669613</c:v>
                </c:pt>
                <c:pt idx="933">
                  <c:v>60.307132733230141</c:v>
                </c:pt>
                <c:pt idx="934">
                  <c:v>60.307437187400723</c:v>
                </c:pt>
                <c:pt idx="935">
                  <c:v>60.307741639207876</c:v>
                </c:pt>
                <c:pt idx="936">
                  <c:v>60.308046088651622</c:v>
                </c:pt>
                <c:pt idx="937">
                  <c:v>60.308350535731911</c:v>
                </c:pt>
                <c:pt idx="938">
                  <c:v>60.308654980448772</c:v>
                </c:pt>
                <c:pt idx="939">
                  <c:v>60.308959422802182</c:v>
                </c:pt>
                <c:pt idx="940">
                  <c:v>60.309263862792164</c:v>
                </c:pt>
                <c:pt idx="941">
                  <c:v>60.309568300418682</c:v>
                </c:pt>
                <c:pt idx="942">
                  <c:v>60.309872735681765</c:v>
                </c:pt>
                <c:pt idx="943">
                  <c:v>60.310177168581376</c:v>
                </c:pt>
                <c:pt idx="944">
                  <c:v>60.310481599117558</c:v>
                </c:pt>
                <c:pt idx="945">
                  <c:v>60.310786027290256</c:v>
                </c:pt>
                <c:pt idx="946">
                  <c:v>60.311090453099453</c:v>
                </c:pt>
                <c:pt idx="947">
                  <c:v>60.311394876545222</c:v>
                </c:pt>
                <c:pt idx="948">
                  <c:v>60.311699297627506</c:v>
                </c:pt>
                <c:pt idx="949">
                  <c:v>60.312003716346304</c:v>
                </c:pt>
                <c:pt idx="950">
                  <c:v>60.31230813270156</c:v>
                </c:pt>
                <c:pt idx="951">
                  <c:v>60.312612546693401</c:v>
                </c:pt>
                <c:pt idx="952">
                  <c:v>60.312916958321736</c:v>
                </c:pt>
                <c:pt idx="953">
                  <c:v>60.313221367586536</c:v>
                </c:pt>
                <c:pt idx="954">
                  <c:v>60.313525774487864</c:v>
                </c:pt>
                <c:pt idx="955">
                  <c:v>60.313830179025672</c:v>
                </c:pt>
                <c:pt idx="956">
                  <c:v>60.314134581199959</c:v>
                </c:pt>
                <c:pt idx="957">
                  <c:v>60.314438981010767</c:v>
                </c:pt>
                <c:pt idx="958">
                  <c:v>60.314743378458047</c:v>
                </c:pt>
                <c:pt idx="959">
                  <c:v>60.315047773541785</c:v>
                </c:pt>
                <c:pt idx="960">
                  <c:v>60.315352166261988</c:v>
                </c:pt>
                <c:pt idx="961">
                  <c:v>60.315656556618706</c:v>
                </c:pt>
                <c:pt idx="962">
                  <c:v>60.315960944611845</c:v>
                </c:pt>
                <c:pt idx="963">
                  <c:v>60.316265330241471</c:v>
                </c:pt>
                <c:pt idx="964">
                  <c:v>60.316569713507526</c:v>
                </c:pt>
                <c:pt idx="965">
                  <c:v>60.316874094410075</c:v>
                </c:pt>
                <c:pt idx="966">
                  <c:v>60.317178472949031</c:v>
                </c:pt>
                <c:pt idx="967">
                  <c:v>60.317482849124467</c:v>
                </c:pt>
                <c:pt idx="968">
                  <c:v>60.317787222936339</c:v>
                </c:pt>
                <c:pt idx="969">
                  <c:v>60.318091594384633</c:v>
                </c:pt>
                <c:pt idx="970">
                  <c:v>60.318395963469378</c:v>
                </c:pt>
                <c:pt idx="971">
                  <c:v>60.318700330190559</c:v>
                </c:pt>
                <c:pt idx="972">
                  <c:v>60.319004694548141</c:v>
                </c:pt>
                <c:pt idx="973">
                  <c:v>60.319309056542181</c:v>
                </c:pt>
                <c:pt idx="974">
                  <c:v>60.319613416172608</c:v>
                </c:pt>
                <c:pt idx="975">
                  <c:v>60.319917773439435</c:v>
                </c:pt>
                <c:pt idx="976">
                  <c:v>60.320222128342671</c:v>
                </c:pt>
                <c:pt idx="977">
                  <c:v>60.3205264808823</c:v>
                </c:pt>
                <c:pt idx="978">
                  <c:v>60.320830831058373</c:v>
                </c:pt>
                <c:pt idx="979">
                  <c:v>60.321135178870833</c:v>
                </c:pt>
                <c:pt idx="980">
                  <c:v>60.321439524319658</c:v>
                </c:pt>
                <c:pt idx="981">
                  <c:v>60.321743867404891</c:v>
                </c:pt>
                <c:pt idx="982">
                  <c:v>60.322048208126496</c:v>
                </c:pt>
                <c:pt idx="983">
                  <c:v>60.322352546484474</c:v>
                </c:pt>
                <c:pt idx="984">
                  <c:v>60.322656882478874</c:v>
                </c:pt>
                <c:pt idx="985">
                  <c:v>60.322961216109611</c:v>
                </c:pt>
                <c:pt idx="986">
                  <c:v>60.323265547376707</c:v>
                </c:pt>
                <c:pt idx="987">
                  <c:v>60.323569876280168</c:v>
                </c:pt>
                <c:pt idx="988">
                  <c:v>60.323874202820022</c:v>
                </c:pt>
                <c:pt idx="989">
                  <c:v>60.324178526996214</c:v>
                </c:pt>
                <c:pt idx="990">
                  <c:v>60.324482848808742</c:v>
                </c:pt>
                <c:pt idx="991">
                  <c:v>60.324787168257622</c:v>
                </c:pt>
                <c:pt idx="992">
                  <c:v>60.32509148534286</c:v>
                </c:pt>
                <c:pt idx="993">
                  <c:v>60.325395800064435</c:v>
                </c:pt>
                <c:pt idx="994">
                  <c:v>60.325700112422325</c:v>
                </c:pt>
                <c:pt idx="995">
                  <c:v>60.326004422416574</c:v>
                </c:pt>
                <c:pt idx="996">
                  <c:v>60.326308730047131</c:v>
                </c:pt>
                <c:pt idx="997">
                  <c:v>60.326613035314018</c:v>
                </c:pt>
                <c:pt idx="998">
                  <c:v>60.326917338217207</c:v>
                </c:pt>
                <c:pt idx="999">
                  <c:v>60.327221638756754</c:v>
                </c:pt>
                <c:pt idx="1000">
                  <c:v>60.327525936932595</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Calculs!$I$4:$I$1004</c:f>
              <c:numCache>
                <c:formatCode>0.00</c:formatCode>
                <c:ptCount val="1001"/>
                <c:pt idx="0">
                  <c:v>0</c:v>
                </c:pt>
                <c:pt idx="1">
                  <c:v>7.672697009968309E-4</c:v>
                </c:pt>
                <c:pt idx="2">
                  <c:v>0.19633119279610939</c:v>
                </c:pt>
                <c:pt idx="3">
                  <c:v>0.58679635387578588</c:v>
                </c:pt>
                <c:pt idx="4">
                  <c:v>1.1723235922863167</c:v>
                </c:pt>
                <c:pt idx="5">
                  <c:v>1.9531291562966764</c:v>
                </c:pt>
                <c:pt idx="6">
                  <c:v>2.8307389000750214</c:v>
                </c:pt>
                <c:pt idx="7">
                  <c:v>3.7064984929101557</c:v>
                </c:pt>
                <c:pt idx="8">
                  <c:v>4.5803982500559774</c:v>
                </c:pt>
                <c:pt idx="9">
                  <c:v>5.4524285226269846</c:v>
                </c:pt>
                <c:pt idx="10">
                  <c:v>6.3225796979755913</c:v>
                </c:pt>
                <c:pt idx="11">
                  <c:v>7.1908422000664647</c:v>
                </c:pt>
                <c:pt idx="12">
                  <c:v>8.0572064898478359</c:v>
                </c:pt>
                <c:pt idx="13">
                  <c:v>8.92166306561972</c:v>
                </c:pt>
                <c:pt idx="14">
                  <c:v>9.784202463399037</c:v>
                </c:pt>
                <c:pt idx="15">
                  <c:v>10.644815257281588</c:v>
                </c:pt>
                <c:pt idx="16">
                  <c:v>11.503492059800841</c:v>
                </c:pt>
                <c:pt idx="17">
                  <c:v>12.360223522283537</c:v>
                </c:pt>
                <c:pt idx="18">
                  <c:v>13.215000335202019</c:v>
                </c:pt>
                <c:pt idx="19">
                  <c:v>14.067813228523324</c:v>
                </c:pt>
                <c:pt idx="20">
                  <c:v>14.918652972054963</c:v>
                </c:pt>
                <c:pt idx="21">
                  <c:v>15.767510375787362</c:v>
                </c:pt>
                <c:pt idx="22">
                  <c:v>16.614376290232958</c:v>
                </c:pt>
                <c:pt idx="23">
                  <c:v>17.459241606761907</c:v>
                </c:pt>
                <c:pt idx="24">
                  <c:v>18.302097257934356</c:v>
                </c:pt>
                <c:pt idx="25">
                  <c:v>19.142934217829307</c:v>
                </c:pt>
                <c:pt idx="26">
                  <c:v>19.98174350236998</c:v>
                </c:pt>
                <c:pt idx="27">
                  <c:v>20.818516169645687</c:v>
                </c:pt>
                <c:pt idx="28">
                  <c:v>21.653243320230196</c:v>
                </c:pt>
                <c:pt idx="29">
                  <c:v>22.485916097496531</c:v>
                </c:pt>
                <c:pt idx="30">
                  <c:v>23.316525687928202</c:v>
                </c:pt>
                <c:pt idx="31">
                  <c:v>24.145063321426839</c:v>
                </c:pt>
                <c:pt idx="32">
                  <c:v>24.971520271616214</c:v>
                </c:pt>
                <c:pt idx="33">
                  <c:v>25.795887856142588</c:v>
                </c:pt>
                <c:pt idx="34">
                  <c:v>26.61815743697143</c:v>
                </c:pt>
                <c:pt idx="35">
                  <c:v>27.438325549717526</c:v>
                </c:pt>
                <c:pt idx="36">
                  <c:v>28.256388992224466</c:v>
                </c:pt>
                <c:pt idx="37">
                  <c:v>29.072339029873341</c:v>
                </c:pt>
                <c:pt idx="38">
                  <c:v>29.886166985289403</c:v>
                </c:pt>
                <c:pt idx="39">
                  <c:v>30.697864237653739</c:v>
                </c:pt>
                <c:pt idx="40">
                  <c:v>31.507422222147884</c:v>
                </c:pt>
                <c:pt idx="41">
                  <c:v>32.314832429478294</c:v>
                </c:pt>
                <c:pt idx="42">
                  <c:v>33.120086405470254</c:v>
                </c:pt>
                <c:pt idx="43">
                  <c:v>33.923175750722329</c:v>
                </c:pt>
                <c:pt idx="44">
                  <c:v>34.72409212031382</c:v>
                </c:pt>
                <c:pt idx="45">
                  <c:v>35.522827223558593</c:v>
                </c:pt>
                <c:pt idx="46">
                  <c:v>36.319372823799682</c:v>
                </c:pt>
                <c:pt idx="47">
                  <c:v>37.113720738239707</c:v>
                </c:pt>
                <c:pt idx="48">
                  <c:v>37.905862837802864</c:v>
                </c:pt>
                <c:pt idx="49">
                  <c:v>38.695791047024734</c:v>
                </c:pt>
                <c:pt idx="50">
                  <c:v>39.483497343966569</c:v>
                </c:pt>
                <c:pt idx="51">
                  <c:v>40.269493302008406</c:v>
                </c:pt>
                <c:pt idx="52">
                  <c:v>41.054291281683348</c:v>
                </c:pt>
                <c:pt idx="53">
                  <c:v>41.837884408597787</c:v>
                </c:pt>
                <c:pt idx="54">
                  <c:v>42.620265834937726</c:v>
                </c:pt>
                <c:pt idx="55">
                  <c:v>43.401428739495849</c:v>
                </c:pt>
                <c:pt idx="56">
                  <c:v>44.181366327711146</c:v>
                </c:pt>
                <c:pt idx="57">
                  <c:v>44.960071831719766</c:v>
                </c:pt>
                <c:pt idx="58">
                  <c:v>45.737538510415952</c:v>
                </c:pt>
                <c:pt idx="59">
                  <c:v>46.513759649522157</c:v>
                </c:pt>
                <c:pt idx="60">
                  <c:v>47.288728561667327</c:v>
                </c:pt>
                <c:pt idx="61">
                  <c:v>48.062438586472645</c:v>
                </c:pt>
                <c:pt idx="62">
                  <c:v>48.834883090643878</c:v>
                </c:pt>
                <c:pt idx="63">
                  <c:v>49.606055468069769</c:v>
                </c:pt>
                <c:pt idx="64">
                  <c:v>50.375949139925758</c:v>
                </c:pt>
                <c:pt idx="65">
                  <c:v>51.144557554782587</c:v>
                </c:pt>
                <c:pt idx="66">
                  <c:v>51.911874188719175</c:v>
                </c:pt>
                <c:pt idx="67">
                  <c:v>52.677892545439406</c:v>
                </c:pt>
                <c:pt idx="68">
                  <c:v>53.442606156392252</c:v>
                </c:pt>
                <c:pt idx="69">
                  <c:v>54.206008580895102</c:v>
                </c:pt>
                <c:pt idx="70">
                  <c:v>54.968093406259634</c:v>
                </c:pt>
                <c:pt idx="71">
                  <c:v>55.728854247920125</c:v>
                </c:pt>
                <c:pt idx="72">
                  <c:v>56.488284749563839</c:v>
                </c:pt>
                <c:pt idx="73">
                  <c:v>57.246378583263116</c:v>
                </c:pt>
                <c:pt idx="74">
                  <c:v>58.003129449609148</c:v>
                </c:pt>
                <c:pt idx="75">
                  <c:v>58.758531077846889</c:v>
                </c:pt>
                <c:pt idx="76">
                  <c:v>59.512577226011132</c:v>
                </c:pt>
                <c:pt idx="77">
                  <c:v>60.26526168106345</c:v>
                </c:pt>
                <c:pt idx="78">
                  <c:v>61.016578259029828</c:v>
                </c:pt>
                <c:pt idx="79">
                  <c:v>61.766520805138761</c:v>
                </c:pt>
                <c:pt idx="80">
                  <c:v>62.515083193959789</c:v>
                </c:pt>
                <c:pt idx="81">
                  <c:v>63.26225932954214</c:v>
                </c:pt>
                <c:pt idx="82">
                  <c:v>64.008043145553501</c:v>
                </c:pt>
                <c:pt idx="83">
                  <c:v>64.752428605418672</c:v>
                </c:pt>
                <c:pt idx="84">
                  <c:v>65.49540970245809</c:v>
                </c:pt>
                <c:pt idx="85">
                  <c:v>66.236980460025933</c:v>
                </c:pt>
                <c:pt idx="86">
                  <c:v>66.977134931647925</c:v>
                </c:pt>
                <c:pt idx="87">
                  <c:v>67.715867201158616</c:v>
                </c:pt>
                <c:pt idx="88">
                  <c:v>68.453171382837922</c:v>
                </c:pt>
                <c:pt idx="89">
                  <c:v>69.189041621547076</c:v>
                </c:pt>
                <c:pt idx="90">
                  <c:v>69.923472092863918</c:v>
                </c:pt>
                <c:pt idx="91">
                  <c:v>70.656457003217</c:v>
                </c:pt>
                <c:pt idx="92">
                  <c:v>71.387990590019101</c:v>
                </c:pt>
                <c:pt idx="93">
                  <c:v>72.118067121799541</c:v>
                </c:pt>
                <c:pt idx="94">
                  <c:v>72.846680898335507</c:v>
                </c:pt>
                <c:pt idx="95">
                  <c:v>73.573826250782218</c:v>
                </c:pt>
                <c:pt idx="96">
                  <c:v>74.299497541801912</c:v>
                </c:pt>
                <c:pt idx="97">
                  <c:v>75.023689165691678</c:v>
                </c:pt>
                <c:pt idx="98">
                  <c:v>75.746395548509881</c:v>
                </c:pt>
                <c:pt idx="99">
                  <c:v>76.467611148201357</c:v>
                </c:pt>
                <c:pt idx="100">
                  <c:v>77.187330454721121</c:v>
                </c:pt>
                <c:pt idx="101">
                  <c:v>77.905308502745214</c:v>
                </c:pt>
                <c:pt idx="102">
                  <c:v>78.621300130708391</c:v>
                </c:pt>
                <c:pt idx="103">
                  <c:v>79.335299677857279</c:v>
                </c:pt>
                <c:pt idx="104">
                  <c:v>80.047301527590875</c:v>
                </c:pt>
                <c:pt idx="105">
                  <c:v>80.757300107550009</c:v>
                </c:pt>
                <c:pt idx="106">
                  <c:v>81.465289889704493</c:v>
                </c:pt>
                <c:pt idx="107">
                  <c:v>82.171265390437497</c:v>
                </c:pt>
                <c:pt idx="108">
                  <c:v>82.875221170627611</c:v>
                </c:pt>
                <c:pt idx="109">
                  <c:v>83.577151835728245</c:v>
                </c:pt>
                <c:pt idx="110">
                  <c:v>84.27705203584452</c:v>
                </c:pt>
                <c:pt idx="111">
                  <c:v>84.974916465807439</c:v>
                </c:pt>
                <c:pt idx="112">
                  <c:v>85.670739865245537</c:v>
                </c:pt>
                <c:pt idx="113">
                  <c:v>86.364517018653899</c:v>
                </c:pt>
                <c:pt idx="114">
                  <c:v>87.056242755460431</c:v>
                </c:pt>
                <c:pt idx="115">
                  <c:v>87.745911950089578</c:v>
                </c:pt>
                <c:pt idx="116">
                  <c:v>88.43351952202319</c:v>
                </c:pt>
                <c:pt idx="117">
                  <c:v>89.119060435858955</c:v>
                </c:pt>
                <c:pt idx="118">
                  <c:v>89.802529701365856</c:v>
                </c:pt>
                <c:pt idx="119">
                  <c:v>90.483922373537069</c:v>
                </c:pt>
                <c:pt idx="120">
                  <c:v>91.163233552640079</c:v>
                </c:pt>
                <c:pt idx="121">
                  <c:v>91.840458384264096</c:v>
                </c:pt>
                <c:pt idx="122">
                  <c:v>92.515592059364707</c:v>
                </c:pt>
                <c:pt idx="123">
                  <c:v>93.188629814305799</c:v>
                </c:pt>
                <c:pt idx="124">
                  <c:v>93.859566930898765</c:v>
                </c:pt>
                <c:pt idx="125">
                  <c:v>94.52839873643876</c:v>
                </c:pt>
                <c:pt idx="126">
                  <c:v>95.195120603738616</c:v>
                </c:pt>
                <c:pt idx="127">
                  <c:v>95.859727951159513</c:v>
                </c:pt>
                <c:pt idx="128">
                  <c:v>96.522216242639203</c:v>
                </c:pt>
                <c:pt idx="129">
                  <c:v>97.182580987717444</c:v>
                </c:pt>
                <c:pt idx="130">
                  <c:v>97.84081774155851</c:v>
                </c:pt>
                <c:pt idx="131">
                  <c:v>98.496922104971134</c:v>
                </c:pt>
                <c:pt idx="132">
                  <c:v>99.150889724425568</c:v>
                </c:pt>
                <c:pt idx="133">
                  <c:v>99.80271629206797</c:v>
                </c:pt>
                <c:pt idx="134">
                  <c:v>100.45239754573193</c:v>
                </c:pt>
                <c:pt idx="135">
                  <c:v>101.09992926894738</c:v>
                </c:pt>
                <c:pt idx="136">
                  <c:v>101.7453072909467</c:v>
                </c:pt>
                <c:pt idx="137">
                  <c:v>102.38852748666801</c:v>
                </c:pt>
                <c:pt idx="138">
                  <c:v>103.02958577675587</c:v>
                </c:pt>
                <c:pt idx="139">
                  <c:v>103.66847812755907</c:v>
                </c:pt>
                <c:pt idx="140">
                  <c:v>104.30520055112598</c:v>
                </c:pt>
                <c:pt idx="141">
                  <c:v>104.93974910519678</c:v>
                </c:pt>
                <c:pt idx="142">
                  <c:v>105.57211989319345</c:v>
                </c:pt>
                <c:pt idx="143">
                  <c:v>106.20230906420662</c:v>
                </c:pt>
                <c:pt idx="144">
                  <c:v>106.83031281298004</c:v>
                </c:pt>
                <c:pt idx="145">
                  <c:v>107.45612737989217</c:v>
                </c:pt>
                <c:pt idx="146">
                  <c:v>108.07974905093526</c:v>
                </c:pt>
                <c:pt idx="147">
                  <c:v>108.70117415769164</c:v>
                </c:pt>
                <c:pt idx="148">
                  <c:v>109.32039907730739</c:v>
                </c:pt>
                <c:pt idx="149">
                  <c:v>109.93742023246338</c:v>
                </c:pt>
                <c:pt idx="150">
                  <c:v>110.55223409134373</c:v>
                </c:pt>
                <c:pt idx="151">
                  <c:v>111.16491861732183</c:v>
                </c:pt>
                <c:pt idx="152">
                  <c:v>111.77555185698363</c:v>
                </c:pt>
                <c:pt idx="153">
                  <c:v>112.38413042553393</c:v>
                </c:pt>
                <c:pt idx="154">
                  <c:v>112.9906509798526</c:v>
                </c:pt>
                <c:pt idx="155">
                  <c:v>113.59511021846834</c:v>
                </c:pt>
                <c:pt idx="156">
                  <c:v>114.19750488152995</c:v>
                </c:pt>
                <c:pt idx="157">
                  <c:v>114.79783175077559</c:v>
                </c:pt>
                <c:pt idx="158">
                  <c:v>115.39608764949932</c:v>
                </c:pt>
                <c:pt idx="159">
                  <c:v>115.99226944251576</c:v>
                </c:pt>
                <c:pt idx="160">
                  <c:v>116.58637403612219</c:v>
                </c:pt>
                <c:pt idx="161">
                  <c:v>117.1783983780585</c:v>
                </c:pt>
                <c:pt idx="162">
                  <c:v>117.76833945746488</c:v>
                </c:pt>
                <c:pt idx="163">
                  <c:v>118.35619430483709</c:v>
                </c:pt>
                <c:pt idx="164">
                  <c:v>118.9419599919799</c:v>
                </c:pt>
                <c:pt idx="165">
                  <c:v>119.52563363195783</c:v>
                </c:pt>
                <c:pt idx="166">
                  <c:v>120.10721237904401</c:v>
                </c:pt>
                <c:pt idx="167">
                  <c:v>120.68669342866671</c:v>
                </c:pt>
                <c:pt idx="168">
                  <c:v>121.26407401735369</c:v>
                </c:pt>
                <c:pt idx="169">
                  <c:v>121.83935142267447</c:v>
                </c:pt>
                <c:pt idx="170">
                  <c:v>122.41252296318031</c:v>
                </c:pt>
                <c:pt idx="171">
                  <c:v>122.98358599834216</c:v>
                </c:pt>
                <c:pt idx="172">
                  <c:v>123.55253792848642</c:v>
                </c:pt>
                <c:pt idx="173">
                  <c:v>124.11937619472864</c:v>
                </c:pt>
                <c:pt idx="174">
                  <c:v>124.68409827890505</c:v>
                </c:pt>
                <c:pt idx="175">
                  <c:v>125.2467017035021</c:v>
                </c:pt>
                <c:pt idx="176">
                  <c:v>125.80718403158377</c:v>
                </c:pt>
                <c:pt idx="177">
                  <c:v>126.36554286671706</c:v>
                </c:pt>
                <c:pt idx="178">
                  <c:v>126.92177585289527</c:v>
                </c:pt>
                <c:pt idx="179">
                  <c:v>127.47588067445922</c:v>
                </c:pt>
                <c:pt idx="180">
                  <c:v>128.0278550560167</c:v>
                </c:pt>
                <c:pt idx="181">
                  <c:v>128.57769676235961</c:v>
                </c:pt>
                <c:pt idx="182">
                  <c:v>129.12540359837945</c:v>
                </c:pt>
                <c:pt idx="183">
                  <c:v>129.6709734089805</c:v>
                </c:pt>
                <c:pt idx="184">
                  <c:v>130.21440407899146</c:v>
                </c:pt>
                <c:pt idx="185">
                  <c:v>130.75569353307472</c:v>
                </c:pt>
                <c:pt idx="186">
                  <c:v>131.29483973563413</c:v>
                </c:pt>
                <c:pt idx="187">
                  <c:v>131.83184069072064</c:v>
                </c:pt>
                <c:pt idx="188">
                  <c:v>132.36669444193598</c:v>
                </c:pt>
                <c:pt idx="189">
                  <c:v>132.89939907233486</c:v>
                </c:pt>
                <c:pt idx="190">
                  <c:v>133.42995270432493</c:v>
                </c:pt>
                <c:pt idx="191">
                  <c:v>133.95835349956505</c:v>
                </c:pt>
                <c:pt idx="192">
                  <c:v>134.48459965886187</c:v>
                </c:pt>
                <c:pt idx="193">
                  <c:v>135.00868942206441</c:v>
                </c:pt>
                <c:pt idx="194">
                  <c:v>135.53062106795704</c:v>
                </c:pt>
                <c:pt idx="195">
                  <c:v>136.05039291415068</c:v>
                </c:pt>
                <c:pt idx="196">
                  <c:v>136.56800331697212</c:v>
                </c:pt>
                <c:pt idx="197">
                  <c:v>137.08345067135178</c:v>
                </c:pt>
                <c:pt idx="198">
                  <c:v>137.5967334107097</c:v>
                </c:pt>
                <c:pt idx="199">
                  <c:v>138.10785000683984</c:v>
                </c:pt>
                <c:pt idx="200">
                  <c:v>138.61679896979277</c:v>
                </c:pt>
                <c:pt idx="201">
                  <c:v>139.12357884775659</c:v>
                </c:pt>
                <c:pt idx="202">
                  <c:v>139.62818822693643</c:v>
                </c:pt>
                <c:pt idx="203">
                  <c:v>140.13062573143205</c:v>
                </c:pt>
                <c:pt idx="204">
                  <c:v>140.63089002311412</c:v>
                </c:pt>
                <c:pt idx="205">
                  <c:v>141.12897980149882</c:v>
                </c:pt>
                <c:pt idx="206">
                  <c:v>141.62489380362075</c:v>
                </c:pt>
                <c:pt idx="207">
                  <c:v>142.11863080390469</c:v>
                </c:pt>
                <c:pt idx="208">
                  <c:v>142.61018961403516</c:v>
                </c:pt>
                <c:pt idx="209">
                  <c:v>143.09956908282533</c:v>
                </c:pt>
                <c:pt idx="210">
                  <c:v>143.58676809608374</c:v>
                </c:pt>
                <c:pt idx="211">
                  <c:v>144.07178557647998</c:v>
                </c:pt>
                <c:pt idx="212">
                  <c:v>144.55462048340874</c:v>
                </c:pt>
                <c:pt idx="213">
                  <c:v>145.03527181285241</c:v>
                </c:pt>
                <c:pt idx="214">
                  <c:v>145.51373859724248</c:v>
                </c:pt>
                <c:pt idx="215">
                  <c:v>145.99001990531926</c:v>
                </c:pt>
                <c:pt idx="216">
                  <c:v>146.46411484199055</c:v>
                </c:pt>
                <c:pt idx="217">
                  <c:v>146.9360225481887</c:v>
                </c:pt>
                <c:pt idx="218">
                  <c:v>147.40574220072637</c:v>
                </c:pt>
                <c:pt idx="219">
                  <c:v>147.87327301215126</c:v>
                </c:pt>
                <c:pt idx="220">
                  <c:v>148.33861423059912</c:v>
                </c:pt>
                <c:pt idx="221">
                  <c:v>148.80176513964577</c:v>
                </c:pt>
                <c:pt idx="222">
                  <c:v>149.262725058158</c:v>
                </c:pt>
                <c:pt idx="223">
                  <c:v>149.72149334014262</c:v>
                </c:pt>
                <c:pt idx="224">
                  <c:v>150.17806937459511</c:v>
                </c:pt>
                <c:pt idx="225">
                  <c:v>150.6324525853465</c:v>
                </c:pt>
                <c:pt idx="226">
                  <c:v>151.08464243090921</c:v>
                </c:pt>
                <c:pt idx="227">
                  <c:v>151.53463840432184</c:v>
                </c:pt>
                <c:pt idx="228">
                  <c:v>151.98244003299277</c:v>
                </c:pt>
                <c:pt idx="229">
                  <c:v>152.42804687854255</c:v>
                </c:pt>
                <c:pt idx="230">
                  <c:v>152.87145853664529</c:v>
                </c:pt>
                <c:pt idx="231">
                  <c:v>153.31267463686896</c:v>
                </c:pt>
                <c:pt idx="232">
                  <c:v>153.75169484251455</c:v>
                </c:pt>
                <c:pt idx="233">
                  <c:v>154.18851885045439</c:v>
                </c:pt>
                <c:pt idx="234">
                  <c:v>154.62314639096894</c:v>
                </c:pt>
                <c:pt idx="235">
                  <c:v>155.05557722758343</c:v>
                </c:pt>
                <c:pt idx="236">
                  <c:v>155.48581115690268</c:v>
                </c:pt>
                <c:pt idx="237">
                  <c:v>155.91384800844531</c:v>
                </c:pt>
                <c:pt idx="238">
                  <c:v>156.3396876444771</c:v>
                </c:pt>
                <c:pt idx="239">
                  <c:v>156.76332995984316</c:v>
                </c:pt>
                <c:pt idx="240">
                  <c:v>157.18477488179948</c:v>
                </c:pt>
                <c:pt idx="241">
                  <c:v>157.60402236984331</c:v>
                </c:pt>
                <c:pt idx="242">
                  <c:v>158.02107241554285</c:v>
                </c:pt>
                <c:pt idx="243">
                  <c:v>158.43592504236597</c:v>
                </c:pt>
                <c:pt idx="244">
                  <c:v>158.84858030550816</c:v>
                </c:pt>
                <c:pt idx="245">
                  <c:v>159.25903829171983</c:v>
                </c:pt>
                <c:pt idx="246">
                  <c:v>159.66729911913225</c:v>
                </c:pt>
                <c:pt idx="247">
                  <c:v>160.07336293708349</c:v>
                </c:pt>
                <c:pt idx="248">
                  <c:v>160.47722992594294</c:v>
                </c:pt>
                <c:pt idx="249">
                  <c:v>160.8789002969354</c:v>
                </c:pt>
                <c:pt idx="250">
                  <c:v>161.2783742919645</c:v>
                </c:pt>
                <c:pt idx="251">
                  <c:v>161.67530132849708</c:v>
                </c:pt>
                <c:pt idx="252">
                  <c:v>162.06933098552946</c:v>
                </c:pt>
                <c:pt idx="253">
                  <c:v>162.4604640825363</c:v>
                </c:pt>
                <c:pt idx="254">
                  <c:v>162.84870148082732</c:v>
                </c:pt>
                <c:pt idx="255">
                  <c:v>163.234044083241</c:v>
                </c:pt>
                <c:pt idx="256">
                  <c:v>163.6164928338373</c:v>
                </c:pt>
                <c:pt idx="257">
                  <c:v>163.99604871758967</c:v>
                </c:pt>
                <c:pt idx="258">
                  <c:v>164.3727127600765</c:v>
                </c:pt>
                <c:pt idx="259">
                  <c:v>164.74648602717144</c:v>
                </c:pt>
                <c:pt idx="260">
                  <c:v>165.11736962473373</c:v>
                </c:pt>
                <c:pt idx="261">
                  <c:v>165.48536469829722</c:v>
                </c:pt>
                <c:pt idx="262">
                  <c:v>165.85047243275932</c:v>
                </c:pt>
                <c:pt idx="263">
                  <c:v>166.21269405206903</c:v>
                </c:pt>
                <c:pt idx="264">
                  <c:v>166.57203081891473</c:v>
                </c:pt>
                <c:pt idx="265">
                  <c:v>166.92848403441113</c:v>
                </c:pt>
                <c:pt idx="266">
                  <c:v>167.28205503778617</c:v>
                </c:pt>
                <c:pt idx="267">
                  <c:v>167.63274520606709</c:v>
                </c:pt>
                <c:pt idx="268">
                  <c:v>167.9805559537663</c:v>
                </c:pt>
                <c:pt idx="269">
                  <c:v>168.3254887325669</c:v>
                </c:pt>
                <c:pt idx="270">
                  <c:v>168.66754503100768</c:v>
                </c:pt>
                <c:pt idx="271">
                  <c:v>169.00672637416795</c:v>
                </c:pt>
                <c:pt idx="272">
                  <c:v>169.3430343233521</c:v>
                </c:pt>
                <c:pt idx="273">
                  <c:v>169.67647047577373</c:v>
                </c:pt>
                <c:pt idx="274">
                  <c:v>170.00703646423966</c:v>
                </c:pt>
                <c:pt idx="275">
                  <c:v>170.33473395683387</c:v>
                </c:pt>
                <c:pt idx="276">
                  <c:v>170.65956465660102</c:v>
                </c:pt>
                <c:pt idx="277">
                  <c:v>170.98153030122992</c:v>
                </c:pt>
                <c:pt idx="278">
                  <c:v>171.300632662737</c:v>
                </c:pt>
                <c:pt idx="279">
                  <c:v>171.61687354714948</c:v>
                </c:pt>
                <c:pt idx="280">
                  <c:v>171.93025479418881</c:v>
                </c:pt>
                <c:pt idx="281">
                  <c:v>172.24077827695351</c:v>
                </c:pt>
                <c:pt idx="282">
                  <c:v>172.54844590160272</c:v>
                </c:pt>
                <c:pt idx="283">
                  <c:v>172.85325960703915</c:v>
                </c:pt>
                <c:pt idx="284">
                  <c:v>173.15522136459253</c:v>
                </c:pt>
                <c:pt idx="285">
                  <c:v>173.45433317770272</c:v>
                </c:pt>
                <c:pt idx="286">
                  <c:v>173.75059708160336</c:v>
                </c:pt>
                <c:pt idx="287">
                  <c:v>174.04401514300525</c:v>
                </c:pt>
                <c:pt idx="288">
                  <c:v>174.33458945978018</c:v>
                </c:pt>
                <c:pt idx="289">
                  <c:v>174.6223221606447</c:v>
                </c:pt>
                <c:pt idx="290">
                  <c:v>174.90721540484435</c:v>
                </c:pt>
                <c:pt idx="291">
                  <c:v>175.18927138183778</c:v>
                </c:pt>
                <c:pt idx="292">
                  <c:v>175.46849231098153</c:v>
                </c:pt>
                <c:pt idx="293">
                  <c:v>175.7448804412146</c:v>
                </c:pt>
                <c:pt idx="294">
                  <c:v>176.01843805074384</c:v>
                </c:pt>
                <c:pt idx="295">
                  <c:v>176.28916744672924</c:v>
                </c:pt>
                <c:pt idx="296">
                  <c:v>176.55707096496982</c:v>
                </c:pt>
                <c:pt idx="297">
                  <c:v>176.82215096958981</c:v>
                </c:pt>
                <c:pt idx="298">
                  <c:v>177.08056203471969</c:v>
                </c:pt>
                <c:pt idx="299">
                  <c:v>177.32846176588001</c:v>
                </c:pt>
                <c:pt idx="300">
                  <c:v>177.5658606643488</c:v>
                </c:pt>
                <c:pt idx="301">
                  <c:v>177.79276944729548</c:v>
                </c:pt>
                <c:pt idx="302">
                  <c:v>178.00919904394533</c:v>
                </c:pt>
                <c:pt idx="303">
                  <c:v>178.21516059174874</c:v>
                </c:pt>
                <c:pt idx="304">
                  <c:v>178.41066543255496</c:v>
                </c:pt>
                <c:pt idx="305">
                  <c:v>178.59572510879212</c:v>
                </c:pt>
                <c:pt idx="306">
                  <c:v>178.77035135965338</c:v>
                </c:pt>
                <c:pt idx="307">
                  <c:v>178.93455611728999</c:v>
                </c:pt>
                <c:pt idx="308">
                  <c:v>179.08835150301201</c:v>
                </c:pt>
                <c:pt idx="309">
                  <c:v>179.23174982349732</c:v>
                </c:pt>
                <c:pt idx="310">
                  <c:v>179.36476356700911</c:v>
                </c:pt>
                <c:pt idx="311">
                  <c:v>179.4874053996229</c:v>
                </c:pt>
                <c:pt idx="312">
                  <c:v>179.59968816146352</c:v>
                </c:pt>
                <c:pt idx="313">
                  <c:v>179.70162486295229</c:v>
                </c:pt>
                <c:pt idx="314">
                  <c:v>179.79322868106547</c:v>
                </c:pt>
                <c:pt idx="315">
                  <c:v>179.87451295560388</c:v>
                </c:pt>
                <c:pt idx="316">
                  <c:v>179.94549118547479</c:v>
                </c:pt>
                <c:pt idx="317">
                  <c:v>180.00617702498633</c:v>
                </c:pt>
                <c:pt idx="318">
                  <c:v>180.05658428015474</c:v>
                </c:pt>
                <c:pt idx="319">
                  <c:v>180.09672690502521</c:v>
                </c:pt>
                <c:pt idx="320">
                  <c:v>180.12661899800671</c:v>
                </c:pt>
                <c:pt idx="321">
                  <c:v>180.14780452883244</c:v>
                </c:pt>
                <c:pt idx="322">
                  <c:v>180.16182562881664</c:v>
                </c:pt>
                <c:pt idx="323">
                  <c:v>180.16869241022349</c:v>
                </c:pt>
                <c:pt idx="324">
                  <c:v>180.16841504450329</c:v>
                </c:pt>
                <c:pt idx="325">
                  <c:v>180.16100376053842</c:v>
                </c:pt>
                <c:pt idx="326">
                  <c:v>180.14646884289837</c:v>
                </c:pt>
                <c:pt idx="327">
                  <c:v>180.12482063010404</c:v>
                </c:pt>
                <c:pt idx="328">
                  <c:v>180.09606951290107</c:v>
                </c:pt>
                <c:pt idx="329">
                  <c:v>180.06022593254315</c:v>
                </c:pt>
                <c:pt idx="330">
                  <c:v>180.01730037908419</c:v>
                </c:pt>
                <c:pt idx="331">
                  <c:v>179.96730338968075</c:v>
                </c:pt>
                <c:pt idx="332">
                  <c:v>179.91024554690381</c:v>
                </c:pt>
                <c:pt idx="333">
                  <c:v>179.84613747706052</c:v>
                </c:pt>
                <c:pt idx="334">
                  <c:v>179.77498984852588</c:v>
                </c:pt>
                <c:pt idx="335">
                  <c:v>179.69681337008427</c:v>
                </c:pt>
                <c:pt idx="336">
                  <c:v>179.61161878928147</c:v>
                </c:pt>
                <c:pt idx="337">
                  <c:v>179.51941689078635</c:v>
                </c:pt>
                <c:pt idx="338">
                  <c:v>179.42021849476322</c:v>
                </c:pt>
                <c:pt idx="339">
                  <c:v>179.31403445525433</c:v>
                </c:pt>
                <c:pt idx="340">
                  <c:v>179.20087565857264</c:v>
                </c:pt>
                <c:pt idx="341">
                  <c:v>179.0807530217055</c:v>
                </c:pt>
                <c:pt idx="342">
                  <c:v>178.95367749072827</c:v>
                </c:pt>
                <c:pt idx="343">
                  <c:v>178.81966003922901</c:v>
                </c:pt>
                <c:pt idx="344">
                  <c:v>178.67871166674342</c:v>
                </c:pt>
                <c:pt idx="345">
                  <c:v>178.53084339720098</c:v>
                </c:pt>
                <c:pt idx="346">
                  <c:v>178.3760662773812</c:v>
                </c:pt>
                <c:pt idx="347">
                  <c:v>178.21439137538124</c:v>
                </c:pt>
                <c:pt idx="348">
                  <c:v>178.04599471687172</c:v>
                </c:pt>
                <c:pt idx="349">
                  <c:v>177.87105207441499</c:v>
                </c:pt>
                <c:pt idx="350">
                  <c:v>177.68957401404074</c:v>
                </c:pt>
                <c:pt idx="351">
                  <c:v>177.50157111325493</c:v>
                </c:pt>
                <c:pt idx="352">
                  <c:v>177.30705395970946</c:v>
                </c:pt>
                <c:pt idx="353">
                  <c:v>177.10603314988231</c:v>
                </c:pt>
                <c:pt idx="354">
                  <c:v>176.89851928776696</c:v>
                </c:pt>
                <c:pt idx="355">
                  <c:v>176.68452298357261</c:v>
                </c:pt>
                <c:pt idx="356">
                  <c:v>176.46405485243378</c:v>
                </c:pt>
                <c:pt idx="357">
                  <c:v>176.23712551313056</c:v>
                </c:pt>
                <c:pt idx="358">
                  <c:v>176.00374558681852</c:v>
                </c:pt>
                <c:pt idx="359">
                  <c:v>175.76392569576879</c:v>
                </c:pt>
                <c:pt idx="360">
                  <c:v>175.52110661099704</c:v>
                </c:pt>
                <c:pt idx="361">
                  <c:v>175.27872304923477</c:v>
                </c:pt>
                <c:pt idx="362">
                  <c:v>175.0367735477702</c:v>
                </c:pt>
                <c:pt idx="363">
                  <c:v>174.79525665045014</c:v>
                </c:pt>
                <c:pt idx="364">
                  <c:v>174.55417090764323</c:v>
                </c:pt>
                <c:pt idx="365">
                  <c:v>174.31351487620341</c:v>
                </c:pt>
                <c:pt idx="366">
                  <c:v>174.07328711943359</c:v>
                </c:pt>
                <c:pt idx="367">
                  <c:v>173.8334862070497</c:v>
                </c:pt>
                <c:pt idx="368">
                  <c:v>173.59411071514501</c:v>
                </c:pt>
                <c:pt idx="369">
                  <c:v>173.35515922615443</c:v>
                </c:pt>
                <c:pt idx="370">
                  <c:v>173.11663032881927</c:v>
                </c:pt>
                <c:pt idx="371">
                  <c:v>172.87852261815226</c:v>
                </c:pt>
                <c:pt idx="372">
                  <c:v>172.64083469540265</c:v>
                </c:pt>
                <c:pt idx="373">
                  <c:v>172.40356516802166</c:v>
                </c:pt>
                <c:pt idx="374">
                  <c:v>172.16671264962815</c:v>
                </c:pt>
                <c:pt idx="375">
                  <c:v>171.93027575997448</c:v>
                </c:pt>
                <c:pt idx="376">
                  <c:v>171.69425312491262</c:v>
                </c:pt>
                <c:pt idx="377">
                  <c:v>171.45864337636044</c:v>
                </c:pt>
                <c:pt idx="378">
                  <c:v>171.22344515226843</c:v>
                </c:pt>
                <c:pt idx="379">
                  <c:v>170.98865709658631</c:v>
                </c:pt>
                <c:pt idx="380">
                  <c:v>170.75427785923014</c:v>
                </c:pt>
                <c:pt idx="381">
                  <c:v>170.52030609604952</c:v>
                </c:pt>
                <c:pt idx="382">
                  <c:v>170.28674046879502</c:v>
                </c:pt>
                <c:pt idx="383">
                  <c:v>170.05357964508596</c:v>
                </c:pt>
                <c:pt idx="384">
                  <c:v>169.82082229837809</c:v>
                </c:pt>
                <c:pt idx="385">
                  <c:v>169.58846710793185</c:v>
                </c:pt>
                <c:pt idx="386">
                  <c:v>169.35651275878061</c:v>
                </c:pt>
                <c:pt idx="387">
                  <c:v>169.12495794169922</c:v>
                </c:pt>
                <c:pt idx="388">
                  <c:v>168.89380135317268</c:v>
                </c:pt>
                <c:pt idx="389">
                  <c:v>168.66304169536511</c:v>
                </c:pt>
                <c:pt idx="390">
                  <c:v>168.4326776760889</c:v>
                </c:pt>
                <c:pt idx="391">
                  <c:v>168.20270800877404</c:v>
                </c:pt>
                <c:pt idx="392">
                  <c:v>167.97313141243771</c:v>
                </c:pt>
                <c:pt idx="393">
                  <c:v>167.74394661165388</c:v>
                </c:pt>
                <c:pt idx="394">
                  <c:v>167.51515233652339</c:v>
                </c:pt>
                <c:pt idx="395">
                  <c:v>167.28674732264412</c:v>
                </c:pt>
                <c:pt idx="396">
                  <c:v>167.05873031108115</c:v>
                </c:pt>
                <c:pt idx="397">
                  <c:v>166.83110004833753</c:v>
                </c:pt>
                <c:pt idx="398">
                  <c:v>166.60385528632474</c:v>
                </c:pt>
                <c:pt idx="399">
                  <c:v>166.3769947823339</c:v>
                </c:pt>
                <c:pt idx="400">
                  <c:v>166.15051729900659</c:v>
                </c:pt>
                <c:pt idx="401">
                  <c:v>163.8897162606078</c:v>
                </c:pt>
                <c:pt idx="402">
                  <c:v>161.6666942874553</c:v>
                </c:pt>
                <c:pt idx="403">
                  <c:v>159.48025571736153</c:v>
                </c:pt>
                <c:pt idx="404">
                  <c:v>157.32925509679313</c:v>
                </c:pt>
                <c:pt idx="405">
                  <c:v>155.2125945812987</c:v>
                </c:pt>
                <c:pt idx="406">
                  <c:v>153.12922149896602</c:v>
                </c:pt>
                <c:pt idx="407">
                  <c:v>151.07812606519647</c:v>
                </c:pt>
                <c:pt idx="408">
                  <c:v>149.05833923804843</c:v>
                </c:pt>
                <c:pt idx="409">
                  <c:v>147.06893070427753</c:v>
                </c:pt>
                <c:pt idx="410">
                  <c:v>145.10900698699811</c:v>
                </c:pt>
                <c:pt idx="411">
                  <c:v>143.17770966661601</c:v>
                </c:pt>
                <c:pt idx="412">
                  <c:v>141.27421370734496</c:v>
                </c:pt>
                <c:pt idx="413">
                  <c:v>139.39772588222246</c:v>
                </c:pt>
                <c:pt idx="414">
                  <c:v>137.54748329009234</c:v>
                </c:pt>
                <c:pt idx="415">
                  <c:v>135.72275195852731</c:v>
                </c:pt>
                <c:pt idx="416">
                  <c:v>133.92282552712473</c:v>
                </c:pt>
                <c:pt idx="417">
                  <c:v>132.14702400603463</c:v>
                </c:pt>
                <c:pt idx="418">
                  <c:v>130.39469260496543</c:v>
                </c:pt>
                <c:pt idx="419">
                  <c:v>128.66520062827149</c:v>
                </c:pt>
                <c:pt idx="420">
                  <c:v>126.95794043205322</c:v>
                </c:pt>
                <c:pt idx="421">
                  <c:v>125.27232643950376</c:v>
                </c:pt>
                <c:pt idx="422">
                  <c:v>123.60779421101364</c:v>
                </c:pt>
                <c:pt idx="423">
                  <c:v>121.96379956580245</c:v>
                </c:pt>
                <c:pt idx="424">
                  <c:v>120.33981775208269</c:v>
                </c:pt>
                <c:pt idx="425">
                  <c:v>118.73534266298181</c:v>
                </c:pt>
                <c:pt idx="426">
                  <c:v>117.14988609565029</c:v>
                </c:pt>
                <c:pt idx="427">
                  <c:v>115.58297705117279</c:v>
                </c:pt>
                <c:pt idx="428">
                  <c:v>114.03416107307437</c:v>
                </c:pt>
                <c:pt idx="429">
                  <c:v>112.50299962237636</c:v>
                </c:pt>
                <c:pt idx="430">
                  <c:v>110.98906948730856</c:v>
                </c:pt>
                <c:pt idx="431">
                  <c:v>109.49196222592573</c:v>
                </c:pt>
                <c:pt idx="432">
                  <c:v>108.01128364000928</c:v>
                </c:pt>
                <c:pt idx="433">
                  <c:v>106.54665327875878</c:v>
                </c:pt>
                <c:pt idx="434">
                  <c:v>105.09770397089545</c:v>
                </c:pt>
                <c:pt idx="435">
                  <c:v>103.66408138390877</c:v>
                </c:pt>
                <c:pt idx="436">
                  <c:v>102.24544360928203</c:v>
                </c:pt>
                <c:pt idx="437">
                  <c:v>100.84146077263105</c:v>
                </c:pt>
                <c:pt idx="438">
                  <c:v>99.451814667783111</c:v>
                </c:pt>
                <c:pt idx="439">
                  <c:v>98.076198413913488</c:v>
                </c:pt>
                <c:pt idx="440">
                  <c:v>96.714316134941797</c:v>
                </c:pt>
                <c:pt idx="441">
                  <c:v>95.365882660472593</c:v>
                </c:pt>
                <c:pt idx="442">
                  <c:v>94.030623247644471</c:v>
                </c:pt>
                <c:pt idx="443">
                  <c:v>92.708273323328442</c:v>
                </c:pt>
                <c:pt idx="444">
                  <c:v>91.398578246192145</c:v>
                </c:pt>
                <c:pt idx="445">
                  <c:v>90.101293088219094</c:v>
                </c:pt>
                <c:pt idx="446">
                  <c:v>88.816182435345809</c:v>
                </c:pt>
                <c:pt idx="447">
                  <c:v>87.543020206950729</c:v>
                </c:pt>
                <c:pt idx="448">
                  <c:v>86.281589494000613</c:v>
                </c:pt>
                <c:pt idx="449">
                  <c:v>85.031682415731865</c:v>
                </c:pt>
                <c:pt idx="450">
                  <c:v>83.79309999481633</c:v>
                </c:pt>
                <c:pt idx="451">
                  <c:v>82.565652051034149</c:v>
                </c:pt>
                <c:pt idx="452">
                  <c:v>81.349157113550504</c:v>
                </c:pt>
                <c:pt idx="453">
                  <c:v>80.143442351969313</c:v>
                </c:pt>
                <c:pt idx="454">
                  <c:v>78.948343526414803</c:v>
                </c:pt>
                <c:pt idx="455">
                  <c:v>77.763704956972418</c:v>
                </c:pt>
                <c:pt idx="456">
                  <c:v>76.589379512904102</c:v>
                </c:pt>
                <c:pt idx="457">
                  <c:v>75.425228622139329</c:v>
                </c:pt>
                <c:pt idx="458">
                  <c:v>74.271122301633866</c:v>
                </c:pt>
                <c:pt idx="459">
                  <c:v>73.126939209282085</c:v>
                </c:pt>
                <c:pt idx="460">
                  <c:v>71.992566718167708</c:v>
                </c:pt>
                <c:pt idx="461">
                  <c:v>70.867901014041067</c:v>
                </c:pt>
                <c:pt idx="462">
                  <c:v>69.752847217018896</c:v>
                </c:pt>
                <c:pt idx="463">
                  <c:v>68.647319528617174</c:v>
                </c:pt>
                <c:pt idx="464">
                  <c:v>67.55124140534538</c:v>
                </c:pt>
                <c:pt idx="465">
                  <c:v>66.464545760215941</c:v>
                </c:pt>
                <c:pt idx="466">
                  <c:v>65.387175193652268</c:v>
                </c:pt>
                <c:pt idx="467">
                  <c:v>64.319082255413804</c:v>
                </c:pt>
                <c:pt idx="468">
                  <c:v>63.260229739296975</c:v>
                </c:pt>
                <c:pt idx="469">
                  <c:v>62.210591012514747</c:v>
                </c:pt>
                <c:pt idx="470">
                  <c:v>61.170150381805406</c:v>
                </c:pt>
                <c:pt idx="471">
                  <c:v>60.138903498469816</c:v>
                </c:pt>
                <c:pt idx="472">
                  <c:v>59.1168578046858</c:v>
                </c:pt>
                <c:pt idx="473">
                  <c:v>58.104033023594361</c:v>
                </c:pt>
                <c:pt idx="474">
                  <c:v>57.100461695792312</c:v>
                </c:pt>
                <c:pt idx="475">
                  <c:v>56.106189764995506</c:v>
                </c:pt>
                <c:pt idx="476">
                  <c:v>55.121277215750105</c:v>
                </c:pt>
                <c:pt idx="477">
                  <c:v>54.145798766159061</c:v>
                </c:pt>
                <c:pt idx="478">
                  <c:v>53.179844618649128</c:v>
                </c:pt>
                <c:pt idx="479">
                  <c:v>52.223521271818406</c:v>
                </c:pt>
                <c:pt idx="480">
                  <c:v>51.276952396362368</c:v>
                </c:pt>
                <c:pt idx="481">
                  <c:v>50.34027977796098</c:v>
                </c:pt>
                <c:pt idx="482">
                  <c:v>49.41366432980076</c:v>
                </c:pt>
                <c:pt idx="483">
                  <c:v>48.497287177077865</c:v>
                </c:pt>
                <c:pt idx="484">
                  <c:v>47.591350815354083</c:v>
                </c:pt>
                <c:pt idx="485">
                  <c:v>46.696080343978892</c:v>
                </c:pt>
                <c:pt idx="486">
                  <c:v>45.811724774909131</c:v>
                </c:pt>
                <c:pt idx="487">
                  <c:v>44.938558416101486</c:v>
                </c:pt>
                <c:pt idx="488">
                  <c:v>44.076882327167525</c:v>
                </c:pt>
                <c:pt idx="489">
                  <c:v>43.227025843099781</c:v>
                </c:pt>
                <c:pt idx="490">
                  <c:v>42.389348159528055</c:v>
                </c:pt>
                <c:pt idx="491">
                  <c:v>41.564239970064861</c:v>
                </c:pt>
                <c:pt idx="492">
                  <c:v>40.752125142759695</c:v>
                </c:pt>
                <c:pt idx="493">
                  <c:v>39.953462418409238</c:v>
                </c:pt>
                <c:pt idx="494">
                  <c:v>39.168747108369125</c:v>
                </c:pt>
                <c:pt idx="495">
                  <c:v>38.39851276349242</c:v>
                </c:pt>
                <c:pt idx="496">
                  <c:v>37.643332778800115</c:v>
                </c:pt>
                <c:pt idx="497">
                  <c:v>36.90382189041685</c:v>
                </c:pt>
                <c:pt idx="498">
                  <c:v>36.180637512163131</c:v>
                </c:pt>
                <c:pt idx="499">
                  <c:v>35.474480849028957</c:v>
                </c:pt>
                <c:pt idx="500">
                  <c:v>34.786097713689507</c:v>
                </c:pt>
                <c:pt idx="501">
                  <c:v>34.116278960504864</c:v>
                </c:pt>
                <c:pt idx="502">
                  <c:v>33.465860439462048</c:v>
                </c:pt>
                <c:pt idx="503">
                  <c:v>32.835722360847029</c:v>
                </c:pt>
                <c:pt idx="504">
                  <c:v>32.226787950872406</c:v>
                </c:pt>
                <c:pt idx="505">
                  <c:v>31.640021270082777</c:v>
                </c:pt>
                <c:pt idx="506">
                  <c:v>31.076424061427851</c:v>
                </c:pt>
                <c:pt idx="507">
                  <c:v>30.537031495002363</c:v>
                </c:pt>
                <c:pt idx="508">
                  <c:v>30.022906683380416</c:v>
                </c:pt>
                <c:pt idx="509">
                  <c:v>29.535133857106143</c:v>
                </c:pt>
                <c:pt idx="510">
                  <c:v>29.074810116075511</c:v>
                </c:pt>
                <c:pt idx="511">
                  <c:v>28.643035710798205</c:v>
                </c:pt>
                <c:pt idx="512">
                  <c:v>28.240902858814753</c:v>
                </c:pt>
                <c:pt idx="513">
                  <c:v>27.869483165864057</c:v>
                </c:pt>
                <c:pt idx="514">
                  <c:v>27.529813797438678</c:v>
                </c:pt>
                <c:pt idx="515">
                  <c:v>27.222882631187467</c:v>
                </c:pt>
                <c:pt idx="516">
                  <c:v>26.949612709470898</c:v>
                </c:pt>
                <c:pt idx="517">
                  <c:v>26.710846397711734</c:v>
                </c:pt>
                <c:pt idx="518">
                  <c:v>26.507329730048745</c:v>
                </c:pt>
                <c:pt idx="519">
                  <c:v>26.339697480486347</c:v>
                </c:pt>
                <c:pt idx="520">
                  <c:v>26.208459526802635</c:v>
                </c:pt>
                <c:pt idx="521">
                  <c:v>26.113989069002418</c:v>
                </c:pt>
                <c:pt idx="522">
                  <c:v>26.056513219919683</c:v>
                </c:pt>
                <c:pt idx="523">
                  <c:v>26.036106402338241</c:v>
                </c:pt>
                <c:pt idx="524">
                  <c:v>26.052686868746548</c:v>
                </c:pt>
                <c:pt idx="525">
                  <c:v>26.106016514896904</c:v>
                </c:pt>
                <c:pt idx="526">
                  <c:v>26.195703998486202</c:v>
                </c:pt>
                <c:pt idx="527">
                  <c:v>26.321211013303714</c:v>
                </c:pt>
                <c:pt idx="528">
                  <c:v>26.481861421051789</c:v>
                </c:pt>
                <c:pt idx="529">
                  <c:v>26.676852819978954</c:v>
                </c:pt>
                <c:pt idx="530">
                  <c:v>26.905270040453377</c:v>
                </c:pt>
                <c:pt idx="531">
                  <c:v>27.166100007422312</c:v>
                </c:pt>
                <c:pt idx="532">
                  <c:v>27.458247398692457</c:v>
                </c:pt>
                <c:pt idx="533">
                  <c:v>27.780550552508014</c:v>
                </c:pt>
                <c:pt idx="534">
                  <c:v>28.131797131397889</c:v>
                </c:pt>
                <c:pt idx="535">
                  <c:v>28.510739123384347</c:v>
                </c:pt>
                <c:pt idx="536">
                  <c:v>28.916106847597824</c:v>
                </c:pt>
                <c:pt idx="537">
                  <c:v>29.346621720934603</c:v>
                </c:pt>
                <c:pt idx="538">
                  <c:v>29.801007628788152</c:v>
                </c:pt>
                <c:pt idx="539">
                  <c:v>30.278000820999999</c:v>
                </c:pt>
                <c:pt idx="540">
                  <c:v>30.77635832077307</c:v>
                </c:pt>
                <c:pt idx="541">
                  <c:v>31.294864887817127</c:v>
                </c:pt>
                <c:pt idx="542">
                  <c:v>31.832338617281877</c:v>
                </c:pt>
                <c:pt idx="543">
                  <c:v>32.387635283924894</c:v>
                </c:pt>
                <c:pt idx="544">
                  <c:v>32.959651557955382</c:v>
                </c:pt>
                <c:pt idx="545">
                  <c:v>33.547327226923066</c:v>
                </c:pt>
                <c:pt idx="546">
                  <c:v>34.14964655880059</c:v>
                </c:pt>
                <c:pt idx="547">
                  <c:v>34.765638936863198</c:v>
                </c:pt>
                <c:pt idx="548">
                  <c:v>35.394378888726195</c:v>
                </c:pt>
                <c:pt idx="549">
                  <c:v>36.034985621327344</c:v>
                </c:pt>
                <c:pt idx="550">
                  <c:v>36.686622161836794</c:v>
                </c:pt>
                <c:pt idx="551">
                  <c:v>37.348494192281017</c:v>
                </c:pt>
                <c:pt idx="552">
                  <c:v>38.019848653691277</c:v>
                </c:pt>
                <c:pt idx="553">
                  <c:v>38.699972184247763</c:v>
                </c:pt>
                <c:pt idx="554">
                  <c:v>39.388189445449505</c:v>
                </c:pt>
                <c:pt idx="555">
                  <c:v>40.083861380938046</c:v>
                </c:pt>
                <c:pt idx="556">
                  <c:v>40.786383444291786</c:v>
                </c:pt>
                <c:pt idx="557">
                  <c:v>41.495183824875824</c:v>
                </c:pt>
                <c:pt idx="558">
                  <c:v>42.209721694626531</c:v>
                </c:pt>
                <c:pt idx="559">
                  <c:v>42.929485493390871</c:v>
                </c:pt>
                <c:pt idx="560">
                  <c:v>43.65399126603608</c:v>
                </c:pt>
                <c:pt idx="561">
                  <c:v>44.382781060896683</c:v>
                </c:pt>
                <c:pt idx="562">
                  <c:v>45.115421396137833</c:v>
                </c:pt>
                <c:pt idx="563">
                  <c:v>45.851501798193617</c:v>
                </c:pt>
                <c:pt idx="564">
                  <c:v>46.59063341450269</c:v>
                </c:pt>
                <c:pt idx="565">
                  <c:v>47.332447701234827</c:v>
                </c:pt>
                <c:pt idx="566">
                  <c:v>48.076595185513995</c:v>
                </c:pt>
                <c:pt idx="567">
                  <c:v>48.822744300736524</c:v>
                </c:pt>
                <c:pt idx="568">
                  <c:v>49.570580292908254</c:v>
                </c:pt>
                <c:pt idx="569">
                  <c:v>50.319804195436546</c:v>
                </c:pt>
                <c:pt idx="570">
                  <c:v>51.070131869478274</c:v>
                </c:pt>
                <c:pt idx="571">
                  <c:v>51.821293106729641</c:v>
                </c:pt>
                <c:pt idx="572">
                  <c:v>52.573030791425907</c:v>
                </c:pt>
                <c:pt idx="573">
                  <c:v>53.325100118274555</c:v>
                </c:pt>
                <c:pt idx="574">
                  <c:v>54.077267863059603</c:v>
                </c:pt>
                <c:pt idx="575">
                  <c:v>54.829311702712246</c:v>
                </c:pt>
                <c:pt idx="576">
                  <c:v>55.581019581732107</c:v>
                </c:pt>
                <c:pt idx="577">
                  <c:v>56.332189121956667</c:v>
                </c:pt>
                <c:pt idx="578">
                  <c:v>57.08262707280452</c:v>
                </c:pt>
                <c:pt idx="579">
                  <c:v>57.832148799256792</c:v>
                </c:pt>
                <c:pt idx="580">
                  <c:v>58.580577804985175</c:v>
                </c:pt>
                <c:pt idx="581">
                  <c:v>59.327745288181049</c:v>
                </c:pt>
                <c:pt idx="582">
                  <c:v>60.07348972778567</c:v>
                </c:pt>
                <c:pt idx="583">
                  <c:v>60.817656497964201</c:v>
                </c:pt>
                <c:pt idx="584">
                  <c:v>61.560097508805043</c:v>
                </c:pt>
                <c:pt idx="585">
                  <c:v>62.300670871359436</c:v>
                </c:pt>
                <c:pt idx="586">
                  <c:v>63.039240585264096</c:v>
                </c:pt>
                <c:pt idx="587">
                  <c:v>63.775676247310564</c:v>
                </c:pt>
                <c:pt idx="588">
                  <c:v>64.509852779440337</c:v>
                </c:pt>
                <c:pt idx="589">
                  <c:v>65.241650174752408</c:v>
                </c:pt>
                <c:pt idx="590">
                  <c:v>65.970953260211914</c:v>
                </c:pt>
                <c:pt idx="591">
                  <c:v>66.697651474843113</c:v>
                </c:pt>
                <c:pt idx="592">
                  <c:v>67.42163866227952</c:v>
                </c:pt>
                <c:pt idx="593">
                  <c:v>68.142812876626166</c:v>
                </c:pt>
                <c:pt idx="594">
                  <c:v>68.861076200666517</c:v>
                </c:pt>
                <c:pt idx="595">
                  <c:v>69.576334575518089</c:v>
                </c:pt>
                <c:pt idx="596">
                  <c:v>70.288497640907508</c:v>
                </c:pt>
                <c:pt idx="597">
                  <c:v>70.997478585297145</c:v>
                </c:pt>
                <c:pt idx="598">
                  <c:v>71.703194005153023</c:v>
                </c:pt>
                <c:pt idx="599">
                  <c:v>72.405563772696524</c:v>
                </c:pt>
                <c:pt idx="600">
                  <c:v>73.10451091153125</c:v>
                </c:pt>
                <c:pt idx="601">
                  <c:v>73.799961479582066</c:v>
                </c:pt>
                <c:pt idx="602">
                  <c:v>74.491844458824943</c:v>
                </c:pt>
                <c:pt idx="603">
                  <c:v>75.180091651325256</c:v>
                </c:pt>
                <c:pt idx="604">
                  <c:v>75.864637581137814</c:v>
                </c:pt>
                <c:pt idx="605">
                  <c:v>76.54541940165511</c:v>
                </c:pt>
                <c:pt idx="606">
                  <c:v>77.222376808020954</c:v>
                </c:pt>
                <c:pt idx="607">
                  <c:v>77.895451954254568</c:v>
                </c:pt>
                <c:pt idx="608">
                  <c:v>78.564589374756864</c:v>
                </c:pt>
                <c:pt idx="609">
                  <c:v>79.229735909894401</c:v>
                </c:pt>
                <c:pt idx="610">
                  <c:v>79.890840635378908</c:v>
                </c:pt>
                <c:pt idx="611">
                  <c:v>80.547854795180939</c:v>
                </c:pt>
                <c:pt idx="612">
                  <c:v>81.20073173773531</c:v>
                </c:pt>
                <c:pt idx="613">
                  <c:v>81.849426855213636</c:v>
                </c:pt>
                <c:pt idx="614">
                  <c:v>82.493897525655356</c:v>
                </c:pt>
                <c:pt idx="615">
                  <c:v>83.134103057764023</c:v>
                </c:pt>
                <c:pt idx="616">
                  <c:v>83.770004638189619</c:v>
                </c:pt>
                <c:pt idx="617">
                  <c:v>84.401565281130161</c:v>
                </c:pt>
                <c:pt idx="618">
                  <c:v>85.028749780098352</c:v>
                </c:pt>
                <c:pt idx="619">
                  <c:v>85.651524661709786</c:v>
                </c:pt>
                <c:pt idx="620">
                  <c:v>86.269858141359606</c:v>
                </c:pt>
                <c:pt idx="621">
                  <c:v>86.88372008066392</c:v>
                </c:pt>
                <c:pt idx="622">
                  <c:v>87.493081946551371</c:v>
                </c:pt>
                <c:pt idx="623">
                  <c:v>88.097916771897957</c:v>
                </c:pt>
                <c:pt idx="624">
                  <c:v>88.698199117606308</c:v>
                </c:pt>
                <c:pt idx="625">
                  <c:v>89.293905036037273</c:v>
                </c:pt>
                <c:pt idx="626">
                  <c:v>89.885012035708357</c:v>
                </c:pt>
                <c:pt idx="627">
                  <c:v>90.471499047179591</c:v>
                </c:pt>
                <c:pt idx="628">
                  <c:v>91.053346390053065</c:v>
                </c:pt>
                <c:pt idx="629">
                  <c:v>91.630535741017468</c:v>
                </c:pt>
                <c:pt idx="630">
                  <c:v>92.203050102873931</c:v>
                </c:pt>
                <c:pt idx="631">
                  <c:v>92.770873774484002</c:v>
                </c:pt>
                <c:pt idx="632">
                  <c:v>93.333992321584759</c:v>
                </c:pt>
                <c:pt idx="633">
                  <c:v>93.892392548419664</c:v>
                </c:pt>
                <c:pt idx="634">
                  <c:v>94.446062470137946</c:v>
                </c:pt>
                <c:pt idx="635">
                  <c:v>94.994991285918303</c:v>
                </c:pt>
                <c:pt idx="636">
                  <c:v>95.539169352775701</c:v>
                </c:pt>
                <c:pt idx="637">
                  <c:v>96.078588160013481</c:v>
                </c:pt>
                <c:pt idx="638">
                  <c:v>96.613240304285</c:v>
                </c:pt>
                <c:pt idx="639">
                  <c:v>97.143119465232388</c:v>
                </c:pt>
                <c:pt idx="640">
                  <c:v>97.668220381671475</c:v>
                </c:pt>
                <c:pt idx="641">
                  <c:v>98.188538828294867</c:v>
                </c:pt>
                <c:pt idx="642">
                  <c:v>98.704071592866612</c:v>
                </c:pt>
                <c:pt idx="643">
                  <c:v>99.214816453884282</c:v>
                </c:pt>
                <c:pt idx="644">
                  <c:v>99.720772158685662</c:v>
                </c:pt>
                <c:pt idx="645">
                  <c:v>100.22193840197907</c:v>
                </c:pt>
                <c:pt idx="646">
                  <c:v>100.71831580477787</c:v>
                </c:pt>
                <c:pt idx="647">
                  <c:v>101.20990589372111</c:v>
                </c:pt>
                <c:pt idx="648">
                  <c:v>101.69671108076346</c:v>
                </c:pt>
                <c:pt idx="649">
                  <c:v>102.17873464321914</c:v>
                </c:pt>
                <c:pt idx="650">
                  <c:v>102.65598070414522</c:v>
                </c:pt>
                <c:pt idx="651">
                  <c:v>103.12845421305124</c:v>
                </c:pt>
                <c:pt idx="652">
                  <c:v>103.59616092692268</c:v>
                </c:pt>
                <c:pt idx="653">
                  <c:v>104.059107391547</c:v>
                </c:pt>
                <c:pt idx="654">
                  <c:v>104.51730092313166</c:v>
                </c:pt>
                <c:pt idx="655">
                  <c:v>104.97074959020442</c:v>
                </c:pt>
                <c:pt idx="656">
                  <c:v>105.41946219578695</c:v>
                </c:pt>
                <c:pt idx="657">
                  <c:v>105.86344825983345</c:v>
                </c:pt>
                <c:pt idx="658">
                  <c:v>106.30271800192652</c:v>
                </c:pt>
                <c:pt idx="659">
                  <c:v>106.73728232422347</c:v>
                </c:pt>
                <c:pt idx="660">
                  <c:v>107.1671527946461</c:v>
                </c:pt>
                <c:pt idx="661">
                  <c:v>107.59234163030844</c:v>
                </c:pt>
                <c:pt idx="662">
                  <c:v>108.01286168117662</c:v>
                </c:pt>
                <c:pt idx="663">
                  <c:v>108.42872641395567</c:v>
                </c:pt>
                <c:pt idx="664">
                  <c:v>108.83994989619896</c:v>
                </c:pt>
                <c:pt idx="665">
                  <c:v>109.24654678063538</c:v>
                </c:pt>
                <c:pt idx="666">
                  <c:v>109.6485322897108</c:v>
                </c:pt>
                <c:pt idx="667">
                  <c:v>110.0459222003398</c:v>
                </c:pt>
                <c:pt idx="668">
                  <c:v>110.43873282886445</c:v>
                </c:pt>
                <c:pt idx="669">
                  <c:v>110.82698101621688</c:v>
                </c:pt>
                <c:pt idx="670">
                  <c:v>111.21068411328304</c:v>
                </c:pt>
                <c:pt idx="671">
                  <c:v>111.58985996646466</c:v>
                </c:pt>
                <c:pt idx="672">
                  <c:v>111.96452690343715</c:v>
                </c:pt>
                <c:pt idx="673">
                  <c:v>112.33470371910144</c:v>
                </c:pt>
                <c:pt idx="674">
                  <c:v>112.70040966172715</c:v>
                </c:pt>
                <c:pt idx="675">
                  <c:v>113.06166441928556</c:v>
                </c:pt>
                <c:pt idx="676">
                  <c:v>113.41848810597061</c:v>
                </c:pt>
                <c:pt idx="677">
                  <c:v>113.77090124890603</c:v>
                </c:pt>
                <c:pt idx="678">
                  <c:v>114.11892477503724</c:v>
                </c:pt>
                <c:pt idx="679">
                  <c:v>114.46257999820673</c:v>
                </c:pt>
                <c:pt idx="680">
                  <c:v>114.80188860641118</c:v>
                </c:pt>
                <c:pt idx="681">
                  <c:v>115.13687264923949</c:v>
                </c:pt>
                <c:pt idx="682">
                  <c:v>115.4675545254903</c:v>
                </c:pt>
                <c:pt idx="683">
                  <c:v>115.79395697096786</c:v>
                </c:pt>
                <c:pt idx="684">
                  <c:v>116.11610304645554</c:v>
                </c:pt>
                <c:pt idx="685">
                  <c:v>116.43401612586536</c:v>
                </c:pt>
                <c:pt idx="686">
                  <c:v>116.74771988456324</c:v>
                </c:pt>
                <c:pt idx="687">
                  <c:v>117.05723828786857</c:v>
                </c:pt>
                <c:pt idx="688">
                  <c:v>117.3625955797273</c:v>
                </c:pt>
                <c:pt idx="689">
                  <c:v>117.66381627155791</c:v>
                </c:pt>
                <c:pt idx="690">
                  <c:v>117.96092513126898</c:v>
                </c:pt>
                <c:pt idx="691">
                  <c:v>118.25394717244804</c:v>
                </c:pt>
                <c:pt idx="692">
                  <c:v>118.54290764372031</c:v>
                </c:pt>
                <c:pt idx="693">
                  <c:v>118.82783201827691</c:v>
                </c:pt>
                <c:pt idx="694">
                  <c:v>119.10874598357154</c:v>
                </c:pt>
                <c:pt idx="695">
                  <c:v>119.38567543118485</c:v>
                </c:pt>
                <c:pt idx="696">
                  <c:v>119.6586464468557</c:v>
                </c:pt>
                <c:pt idx="697">
                  <c:v>119.92768530067828</c:v>
                </c:pt>
                <c:pt idx="698">
                  <c:v>120.19281843746457</c:v>
                </c:pt>
                <c:pt idx="699">
                  <c:v>120.45407246727103</c:v>
                </c:pt>
                <c:pt idx="700">
                  <c:v>120.71147415608871</c:v>
                </c:pt>
                <c:pt idx="701">
                  <c:v>120.96505041669595</c:v>
                </c:pt>
                <c:pt idx="702">
                  <c:v>121.21482829967269</c:v>
                </c:pt>
                <c:pt idx="703">
                  <c:v>121.46083498457564</c:v>
                </c:pt>
                <c:pt idx="704">
                  <c:v>121.70309777127302</c:v>
                </c:pt>
                <c:pt idx="705">
                  <c:v>121.9416440714384</c:v>
                </c:pt>
                <c:pt idx="706">
                  <c:v>121.94187888087886</c:v>
                </c:pt>
                <c:pt idx="707">
                  <c:v>121.94211368666762</c:v>
                </c:pt>
                <c:pt idx="708">
                  <c:v>121.9423484888047</c:v>
                </c:pt>
                <c:pt idx="709">
                  <c:v>121.94258328729011</c:v>
                </c:pt>
                <c:pt idx="710">
                  <c:v>121.94281808212391</c:v>
                </c:pt>
                <c:pt idx="711">
                  <c:v>121.94305287330613</c:v>
                </c:pt>
                <c:pt idx="712">
                  <c:v>121.94328766083676</c:v>
                </c:pt>
                <c:pt idx="713">
                  <c:v>121.94352244471584</c:v>
                </c:pt>
                <c:pt idx="714">
                  <c:v>121.94375722494343</c:v>
                </c:pt>
                <c:pt idx="715">
                  <c:v>121.94399200151952</c:v>
                </c:pt>
                <c:pt idx="716">
                  <c:v>121.94422677444413</c:v>
                </c:pt>
                <c:pt idx="717">
                  <c:v>121.94446154371731</c:v>
                </c:pt>
                <c:pt idx="718">
                  <c:v>121.94469630933909</c:v>
                </c:pt>
                <c:pt idx="719">
                  <c:v>121.9449310713095</c:v>
                </c:pt>
                <c:pt idx="720">
                  <c:v>121.94516582962856</c:v>
                </c:pt>
                <c:pt idx="721">
                  <c:v>121.94540058429629</c:v>
                </c:pt>
                <c:pt idx="722">
                  <c:v>121.94563533531272</c:v>
                </c:pt>
                <c:pt idx="723">
                  <c:v>121.94587008267789</c:v>
                </c:pt>
                <c:pt idx="724">
                  <c:v>121.94610482639179</c:v>
                </c:pt>
                <c:pt idx="725">
                  <c:v>121.9463395664545</c:v>
                </c:pt>
                <c:pt idx="726">
                  <c:v>121.94657430286601</c:v>
                </c:pt>
                <c:pt idx="727">
                  <c:v>121.94680903562637</c:v>
                </c:pt>
                <c:pt idx="728">
                  <c:v>121.9470437647356</c:v>
                </c:pt>
                <c:pt idx="729">
                  <c:v>121.94727849019371</c:v>
                </c:pt>
                <c:pt idx="730">
                  <c:v>121.94751321200076</c:v>
                </c:pt>
                <c:pt idx="731">
                  <c:v>121.94774793015675</c:v>
                </c:pt>
                <c:pt idx="732">
                  <c:v>121.94798264466172</c:v>
                </c:pt>
                <c:pt idx="733">
                  <c:v>121.94821735551568</c:v>
                </c:pt>
                <c:pt idx="734">
                  <c:v>121.94845206271867</c:v>
                </c:pt>
                <c:pt idx="735">
                  <c:v>121.94868676627074</c:v>
                </c:pt>
                <c:pt idx="736">
                  <c:v>121.94892146617187</c:v>
                </c:pt>
                <c:pt idx="737">
                  <c:v>121.94915616242211</c:v>
                </c:pt>
                <c:pt idx="738">
                  <c:v>121.94939085502151</c:v>
                </c:pt>
                <c:pt idx="739">
                  <c:v>121.94962554397007</c:v>
                </c:pt>
                <c:pt idx="740">
                  <c:v>121.94986022926781</c:v>
                </c:pt>
                <c:pt idx="741">
                  <c:v>121.95009491091479</c:v>
                </c:pt>
                <c:pt idx="742">
                  <c:v>121.95032958891102</c:v>
                </c:pt>
                <c:pt idx="743">
                  <c:v>121.95056426325652</c:v>
                </c:pt>
                <c:pt idx="744">
                  <c:v>121.95079893395133</c:v>
                </c:pt>
                <c:pt idx="745">
                  <c:v>121.95103360099546</c:v>
                </c:pt>
                <c:pt idx="746">
                  <c:v>121.95126826438896</c:v>
                </c:pt>
                <c:pt idx="747">
                  <c:v>121.95150292413186</c:v>
                </c:pt>
                <c:pt idx="748">
                  <c:v>121.95173758022415</c:v>
                </c:pt>
                <c:pt idx="749">
                  <c:v>121.95197223266588</c:v>
                </c:pt>
                <c:pt idx="750">
                  <c:v>121.95220688145707</c:v>
                </c:pt>
                <c:pt idx="751">
                  <c:v>121.95244152659778</c:v>
                </c:pt>
                <c:pt idx="752">
                  <c:v>121.95267616808799</c:v>
                </c:pt>
                <c:pt idx="753">
                  <c:v>121.95291080592777</c:v>
                </c:pt>
                <c:pt idx="754">
                  <c:v>121.9531454401171</c:v>
                </c:pt>
                <c:pt idx="755">
                  <c:v>121.95338007065605</c:v>
                </c:pt>
                <c:pt idx="756">
                  <c:v>121.95361469754464</c:v>
                </c:pt>
                <c:pt idx="757">
                  <c:v>121.95384932078287</c:v>
                </c:pt>
                <c:pt idx="758">
                  <c:v>121.95408394037079</c:v>
                </c:pt>
                <c:pt idx="759">
                  <c:v>121.95431855630842</c:v>
                </c:pt>
                <c:pt idx="760">
                  <c:v>121.95455316859581</c:v>
                </c:pt>
                <c:pt idx="761">
                  <c:v>121.95478777723295</c:v>
                </c:pt>
                <c:pt idx="762">
                  <c:v>121.95502238221989</c:v>
                </c:pt>
                <c:pt idx="763">
                  <c:v>121.95525698355665</c:v>
                </c:pt>
                <c:pt idx="764">
                  <c:v>121.95549158124327</c:v>
                </c:pt>
                <c:pt idx="765">
                  <c:v>121.95572617527976</c:v>
                </c:pt>
                <c:pt idx="766">
                  <c:v>121.95596076566616</c:v>
                </c:pt>
                <c:pt idx="767">
                  <c:v>121.95619535240249</c:v>
                </c:pt>
                <c:pt idx="768">
                  <c:v>121.95642993548877</c:v>
                </c:pt>
                <c:pt idx="769">
                  <c:v>121.95666451492504</c:v>
                </c:pt>
                <c:pt idx="770">
                  <c:v>121.95689909071133</c:v>
                </c:pt>
                <c:pt idx="771">
                  <c:v>121.95713366284767</c:v>
                </c:pt>
                <c:pt idx="772">
                  <c:v>121.95736823133407</c:v>
                </c:pt>
                <c:pt idx="773">
                  <c:v>121.95760279617056</c:v>
                </c:pt>
                <c:pt idx="774">
                  <c:v>121.95783735735719</c:v>
                </c:pt>
                <c:pt idx="775">
                  <c:v>121.95807191489396</c:v>
                </c:pt>
                <c:pt idx="776">
                  <c:v>121.9583064687809</c:v>
                </c:pt>
                <c:pt idx="777">
                  <c:v>121.95854101901804</c:v>
                </c:pt>
                <c:pt idx="778">
                  <c:v>121.95877556560544</c:v>
                </c:pt>
                <c:pt idx="779">
                  <c:v>121.95901010854308</c:v>
                </c:pt>
                <c:pt idx="780">
                  <c:v>121.95924464783101</c:v>
                </c:pt>
                <c:pt idx="781">
                  <c:v>121.95947918346927</c:v>
                </c:pt>
                <c:pt idx="782">
                  <c:v>121.95971371545785</c:v>
                </c:pt>
                <c:pt idx="783">
                  <c:v>121.9599482437968</c:v>
                </c:pt>
                <c:pt idx="784">
                  <c:v>121.96018276848615</c:v>
                </c:pt>
                <c:pt idx="785">
                  <c:v>121.96041728952592</c:v>
                </c:pt>
                <c:pt idx="786">
                  <c:v>121.96065180691615</c:v>
                </c:pt>
                <c:pt idx="787">
                  <c:v>121.96088632065685</c:v>
                </c:pt>
                <c:pt idx="788">
                  <c:v>121.96112083074806</c:v>
                </c:pt>
                <c:pt idx="789">
                  <c:v>121.96135533718981</c:v>
                </c:pt>
                <c:pt idx="790">
                  <c:v>121.96158983998211</c:v>
                </c:pt>
                <c:pt idx="791">
                  <c:v>121.96182433912499</c:v>
                </c:pt>
                <c:pt idx="792">
                  <c:v>121.96205883461849</c:v>
                </c:pt>
                <c:pt idx="793">
                  <c:v>121.96229332646264</c:v>
                </c:pt>
                <c:pt idx="794">
                  <c:v>121.96252781465745</c:v>
                </c:pt>
                <c:pt idx="795">
                  <c:v>121.96276229920298</c:v>
                </c:pt>
                <c:pt idx="796">
                  <c:v>121.9629967800992</c:v>
                </c:pt>
                <c:pt idx="797">
                  <c:v>121.96323125734619</c:v>
                </c:pt>
                <c:pt idx="798">
                  <c:v>121.96346573094397</c:v>
                </c:pt>
                <c:pt idx="799">
                  <c:v>121.96370020089253</c:v>
                </c:pt>
                <c:pt idx="800">
                  <c:v>121.96393466719194</c:v>
                </c:pt>
                <c:pt idx="801">
                  <c:v>121.9641691298422</c:v>
                </c:pt>
                <c:pt idx="802">
                  <c:v>121.96440358884337</c:v>
                </c:pt>
                <c:pt idx="803">
                  <c:v>121.96463804419542</c:v>
                </c:pt>
                <c:pt idx="804">
                  <c:v>121.96487249589845</c:v>
                </c:pt>
                <c:pt idx="805">
                  <c:v>121.96510694395242</c:v>
                </c:pt>
                <c:pt idx="806">
                  <c:v>121.9653413883574</c:v>
                </c:pt>
                <c:pt idx="807">
                  <c:v>121.9655758291134</c:v>
                </c:pt>
                <c:pt idx="808">
                  <c:v>121.96581026622046</c:v>
                </c:pt>
                <c:pt idx="809">
                  <c:v>121.9660446996786</c:v>
                </c:pt>
                <c:pt idx="810">
                  <c:v>121.96627912948784</c:v>
                </c:pt>
                <c:pt idx="811">
                  <c:v>121.96651355564822</c:v>
                </c:pt>
                <c:pt idx="812">
                  <c:v>121.96674797815976</c:v>
                </c:pt>
                <c:pt idx="813">
                  <c:v>121.96698239702249</c:v>
                </c:pt>
                <c:pt idx="814">
                  <c:v>121.96721681223643</c:v>
                </c:pt>
                <c:pt idx="815">
                  <c:v>121.96745122380162</c:v>
                </c:pt>
                <c:pt idx="816">
                  <c:v>121.96768563171807</c:v>
                </c:pt>
                <c:pt idx="817">
                  <c:v>121.96792003598583</c:v>
                </c:pt>
                <c:pt idx="818">
                  <c:v>121.96815443660491</c:v>
                </c:pt>
                <c:pt idx="819">
                  <c:v>121.96838883357535</c:v>
                </c:pt>
                <c:pt idx="820">
                  <c:v>121.96862322689715</c:v>
                </c:pt>
                <c:pt idx="821">
                  <c:v>121.96885761657035</c:v>
                </c:pt>
                <c:pt idx="822">
                  <c:v>121.969092002595</c:v>
                </c:pt>
                <c:pt idx="823">
                  <c:v>121.96932638497113</c:v>
                </c:pt>
                <c:pt idx="824">
                  <c:v>121.96956076369872</c:v>
                </c:pt>
                <c:pt idx="825">
                  <c:v>121.96979513877784</c:v>
                </c:pt>
                <c:pt idx="826">
                  <c:v>121.97002951020851</c:v>
                </c:pt>
                <c:pt idx="827">
                  <c:v>121.97026387799075</c:v>
                </c:pt>
                <c:pt idx="828">
                  <c:v>121.97049824212458</c:v>
                </c:pt>
                <c:pt idx="829">
                  <c:v>121.97073260261003</c:v>
                </c:pt>
                <c:pt idx="830">
                  <c:v>121.97096695944714</c:v>
                </c:pt>
                <c:pt idx="831">
                  <c:v>121.97120131263593</c:v>
                </c:pt>
                <c:pt idx="832">
                  <c:v>121.9714356621764</c:v>
                </c:pt>
                <c:pt idx="833">
                  <c:v>121.97167000806866</c:v>
                </c:pt>
                <c:pt idx="834">
                  <c:v>121.97190435031264</c:v>
                </c:pt>
                <c:pt idx="835">
                  <c:v>121.97213868890843</c:v>
                </c:pt>
                <c:pt idx="836">
                  <c:v>121.97237302385602</c:v>
                </c:pt>
                <c:pt idx="837">
                  <c:v>121.97260735515547</c:v>
                </c:pt>
                <c:pt idx="838">
                  <c:v>121.97284168280679</c:v>
                </c:pt>
                <c:pt idx="839">
                  <c:v>121.97307600681</c:v>
                </c:pt>
                <c:pt idx="840">
                  <c:v>121.97331032716515</c:v>
                </c:pt>
                <c:pt idx="841">
                  <c:v>121.97354464387224</c:v>
                </c:pt>
                <c:pt idx="842">
                  <c:v>121.97377895693131</c:v>
                </c:pt>
                <c:pt idx="843">
                  <c:v>121.9740132663424</c:v>
                </c:pt>
                <c:pt idx="844">
                  <c:v>121.97424757210553</c:v>
                </c:pt>
                <c:pt idx="845">
                  <c:v>121.97448187422071</c:v>
                </c:pt>
                <c:pt idx="846">
                  <c:v>121.97471617268798</c:v>
                </c:pt>
                <c:pt idx="847">
                  <c:v>121.97495046750737</c:v>
                </c:pt>
                <c:pt idx="848">
                  <c:v>121.97518475867891</c:v>
                </c:pt>
                <c:pt idx="849">
                  <c:v>121.9754190462026</c:v>
                </c:pt>
                <c:pt idx="850">
                  <c:v>121.97565333007852</c:v>
                </c:pt>
                <c:pt idx="851">
                  <c:v>121.97588761030664</c:v>
                </c:pt>
                <c:pt idx="852">
                  <c:v>121.97612188688703</c:v>
                </c:pt>
                <c:pt idx="853">
                  <c:v>121.9763561598197</c:v>
                </c:pt>
                <c:pt idx="854">
                  <c:v>121.97659042910468</c:v>
                </c:pt>
                <c:pt idx="855">
                  <c:v>121.97682469474199</c:v>
                </c:pt>
                <c:pt idx="856">
                  <c:v>121.97705895673165</c:v>
                </c:pt>
                <c:pt idx="857">
                  <c:v>121.97729321507373</c:v>
                </c:pt>
                <c:pt idx="858">
                  <c:v>121.97752746976821</c:v>
                </c:pt>
                <c:pt idx="859">
                  <c:v>121.97776172081514</c:v>
                </c:pt>
                <c:pt idx="860">
                  <c:v>121.97799596821453</c:v>
                </c:pt>
                <c:pt idx="861">
                  <c:v>121.97823021196643</c:v>
                </c:pt>
                <c:pt idx="862">
                  <c:v>121.97846445207085</c:v>
                </c:pt>
                <c:pt idx="863">
                  <c:v>121.97869868852784</c:v>
                </c:pt>
                <c:pt idx="864">
                  <c:v>121.9789329213374</c:v>
                </c:pt>
                <c:pt idx="865">
                  <c:v>121.97916715049956</c:v>
                </c:pt>
                <c:pt idx="866">
                  <c:v>121.97940137601438</c:v>
                </c:pt>
                <c:pt idx="867">
                  <c:v>121.97963559788185</c:v>
                </c:pt>
                <c:pt idx="868">
                  <c:v>121.97986981610202</c:v>
                </c:pt>
                <c:pt idx="869">
                  <c:v>121.98010403067491</c:v>
                </c:pt>
                <c:pt idx="870">
                  <c:v>121.98033824160053</c:v>
                </c:pt>
                <c:pt idx="871">
                  <c:v>121.98057244887892</c:v>
                </c:pt>
                <c:pt idx="872">
                  <c:v>121.98080665251013</c:v>
                </c:pt>
                <c:pt idx="873">
                  <c:v>121.98104085249416</c:v>
                </c:pt>
                <c:pt idx="874">
                  <c:v>121.98127504883104</c:v>
                </c:pt>
                <c:pt idx="875">
                  <c:v>121.98150924152081</c:v>
                </c:pt>
                <c:pt idx="876">
                  <c:v>121.98174343056348</c:v>
                </c:pt>
                <c:pt idx="877">
                  <c:v>121.98197761595911</c:v>
                </c:pt>
                <c:pt idx="878">
                  <c:v>121.98221179770769</c:v>
                </c:pt>
                <c:pt idx="879">
                  <c:v>121.98244597580926</c:v>
                </c:pt>
                <c:pt idx="880">
                  <c:v>121.98268015026383</c:v>
                </c:pt>
                <c:pt idx="881">
                  <c:v>121.98291432107148</c:v>
                </c:pt>
                <c:pt idx="882">
                  <c:v>121.98314848823217</c:v>
                </c:pt>
                <c:pt idx="883">
                  <c:v>121.983382651746</c:v>
                </c:pt>
                <c:pt idx="884">
                  <c:v>121.98361681161292</c:v>
                </c:pt>
                <c:pt idx="885">
                  <c:v>121.98385096783302</c:v>
                </c:pt>
                <c:pt idx="886">
                  <c:v>121.98408512040629</c:v>
                </c:pt>
                <c:pt idx="887">
                  <c:v>121.98431926933279</c:v>
                </c:pt>
                <c:pt idx="888">
                  <c:v>121.98455341461251</c:v>
                </c:pt>
                <c:pt idx="889">
                  <c:v>121.98478755624548</c:v>
                </c:pt>
                <c:pt idx="890">
                  <c:v>121.98502169423176</c:v>
                </c:pt>
                <c:pt idx="891">
                  <c:v>121.98525582857137</c:v>
                </c:pt>
                <c:pt idx="892">
                  <c:v>121.98548995926433</c:v>
                </c:pt>
                <c:pt idx="893">
                  <c:v>121.98572408631064</c:v>
                </c:pt>
                <c:pt idx="894">
                  <c:v>121.98595820971036</c:v>
                </c:pt>
                <c:pt idx="895">
                  <c:v>121.98619232946352</c:v>
                </c:pt>
                <c:pt idx="896">
                  <c:v>121.98642644557012</c:v>
                </c:pt>
                <c:pt idx="897">
                  <c:v>121.98666055803022</c:v>
                </c:pt>
                <c:pt idx="898">
                  <c:v>121.98689466684382</c:v>
                </c:pt>
                <c:pt idx="899">
                  <c:v>121.98712877201098</c:v>
                </c:pt>
                <c:pt idx="900">
                  <c:v>121.98736287353168</c:v>
                </c:pt>
                <c:pt idx="901">
                  <c:v>121.98759697140598</c:v>
                </c:pt>
                <c:pt idx="902">
                  <c:v>121.9878310656339</c:v>
                </c:pt>
                <c:pt idx="903">
                  <c:v>121.98806515621547</c:v>
                </c:pt>
                <c:pt idx="904">
                  <c:v>121.98829924315071</c:v>
                </c:pt>
                <c:pt idx="905">
                  <c:v>121.98853332643966</c:v>
                </c:pt>
                <c:pt idx="906">
                  <c:v>121.98876740608233</c:v>
                </c:pt>
                <c:pt idx="907">
                  <c:v>121.98900148207878</c:v>
                </c:pt>
                <c:pt idx="908">
                  <c:v>121.98923555442899</c:v>
                </c:pt>
                <c:pt idx="909">
                  <c:v>121.98946962313302</c:v>
                </c:pt>
                <c:pt idx="910">
                  <c:v>121.98970368819089</c:v>
                </c:pt>
                <c:pt idx="911">
                  <c:v>121.98993774960262</c:v>
                </c:pt>
                <c:pt idx="912">
                  <c:v>121.99017180736824</c:v>
                </c:pt>
                <c:pt idx="913">
                  <c:v>121.99040586148779</c:v>
                </c:pt>
                <c:pt idx="914">
                  <c:v>121.99063991196128</c:v>
                </c:pt>
                <c:pt idx="915">
                  <c:v>121.99087395878875</c:v>
                </c:pt>
                <c:pt idx="916">
                  <c:v>121.99110800197023</c:v>
                </c:pt>
                <c:pt idx="917">
                  <c:v>121.99134204150575</c:v>
                </c:pt>
                <c:pt idx="918">
                  <c:v>121.99157607739531</c:v>
                </c:pt>
                <c:pt idx="919">
                  <c:v>121.99181010963895</c:v>
                </c:pt>
                <c:pt idx="920">
                  <c:v>121.99204413823671</c:v>
                </c:pt>
                <c:pt idx="921">
                  <c:v>121.9922781631886</c:v>
                </c:pt>
                <c:pt idx="922">
                  <c:v>121.99251218449466</c:v>
                </c:pt>
                <c:pt idx="923">
                  <c:v>121.99274620215492</c:v>
                </c:pt>
                <c:pt idx="924">
                  <c:v>121.99298021616939</c:v>
                </c:pt>
                <c:pt idx="925">
                  <c:v>121.99321422653811</c:v>
                </c:pt>
                <c:pt idx="926">
                  <c:v>121.99344823326113</c:v>
                </c:pt>
                <c:pt idx="927">
                  <c:v>121.99368223633844</c:v>
                </c:pt>
                <c:pt idx="928">
                  <c:v>121.99391623577009</c:v>
                </c:pt>
                <c:pt idx="929">
                  <c:v>121.99415023155608</c:v>
                </c:pt>
                <c:pt idx="930">
                  <c:v>121.99438422369644</c:v>
                </c:pt>
                <c:pt idx="931">
                  <c:v>121.99461821219124</c:v>
                </c:pt>
                <c:pt idx="932">
                  <c:v>121.99485219704047</c:v>
                </c:pt>
                <c:pt idx="933">
                  <c:v>121.99508617824418</c:v>
                </c:pt>
                <c:pt idx="934">
                  <c:v>121.99532015580237</c:v>
                </c:pt>
                <c:pt idx="935">
                  <c:v>121.99555412971509</c:v>
                </c:pt>
                <c:pt idx="936">
                  <c:v>121.99578809998236</c:v>
                </c:pt>
                <c:pt idx="937">
                  <c:v>121.9960220666042</c:v>
                </c:pt>
                <c:pt idx="938">
                  <c:v>121.99625602958065</c:v>
                </c:pt>
                <c:pt idx="939">
                  <c:v>121.99648998891173</c:v>
                </c:pt>
                <c:pt idx="940">
                  <c:v>121.99672394459746</c:v>
                </c:pt>
                <c:pt idx="941">
                  <c:v>121.99695789663789</c:v>
                </c:pt>
                <c:pt idx="942">
                  <c:v>121.99719184503303</c:v>
                </c:pt>
                <c:pt idx="943">
                  <c:v>121.99742578978291</c:v>
                </c:pt>
                <c:pt idx="944">
                  <c:v>121.99765973088756</c:v>
                </c:pt>
                <c:pt idx="945">
                  <c:v>121.997893668347</c:v>
                </c:pt>
                <c:pt idx="946">
                  <c:v>121.99812760216126</c:v>
                </c:pt>
                <c:pt idx="947">
                  <c:v>121.99836153233038</c:v>
                </c:pt>
                <c:pt idx="948">
                  <c:v>121.99859545885438</c:v>
                </c:pt>
                <c:pt idx="949">
                  <c:v>121.99882938173329</c:v>
                </c:pt>
                <c:pt idx="950">
                  <c:v>121.99906330096709</c:v>
                </c:pt>
                <c:pt idx="951">
                  <c:v>121.99929721655589</c:v>
                </c:pt>
                <c:pt idx="952">
                  <c:v>121.99953112849967</c:v>
                </c:pt>
                <c:pt idx="953">
                  <c:v>121.99976503679844</c:v>
                </c:pt>
                <c:pt idx="954">
                  <c:v>121.99999894145228</c:v>
                </c:pt>
                <c:pt idx="955">
                  <c:v>122.00023284246117</c:v>
                </c:pt>
                <c:pt idx="956">
                  <c:v>122.00046673982516</c:v>
                </c:pt>
                <c:pt idx="957">
                  <c:v>122.00070063354428</c:v>
                </c:pt>
                <c:pt idx="958">
                  <c:v>122.00093452361854</c:v>
                </c:pt>
                <c:pt idx="959">
                  <c:v>122.00116841004798</c:v>
                </c:pt>
                <c:pt idx="960">
                  <c:v>122.00140229283262</c:v>
                </c:pt>
                <c:pt idx="961">
                  <c:v>122.00163617197252</c:v>
                </c:pt>
                <c:pt idx="962">
                  <c:v>122.00187004746766</c:v>
                </c:pt>
                <c:pt idx="963">
                  <c:v>122.00210391931809</c:v>
                </c:pt>
                <c:pt idx="964">
                  <c:v>122.00233778752384</c:v>
                </c:pt>
                <c:pt idx="965">
                  <c:v>122.00257165208492</c:v>
                </c:pt>
                <c:pt idx="966">
                  <c:v>122.00280551300138</c:v>
                </c:pt>
                <c:pt idx="967">
                  <c:v>122.00303937027323</c:v>
                </c:pt>
                <c:pt idx="968">
                  <c:v>122.00327322390051</c:v>
                </c:pt>
                <c:pt idx="969">
                  <c:v>122.00350707388323</c:v>
                </c:pt>
                <c:pt idx="970">
                  <c:v>122.00374092022145</c:v>
                </c:pt>
                <c:pt idx="971">
                  <c:v>122.00397476291518</c:v>
                </c:pt>
                <c:pt idx="972">
                  <c:v>122.00420860196442</c:v>
                </c:pt>
                <c:pt idx="973">
                  <c:v>122.00444243736924</c:v>
                </c:pt>
                <c:pt idx="974">
                  <c:v>122.00467626912963</c:v>
                </c:pt>
                <c:pt idx="975">
                  <c:v>122.00491009724564</c:v>
                </c:pt>
                <c:pt idx="976">
                  <c:v>122.00514392171729</c:v>
                </c:pt>
                <c:pt idx="977">
                  <c:v>122.0053777425446</c:v>
                </c:pt>
                <c:pt idx="978">
                  <c:v>122.00561155972763</c:v>
                </c:pt>
                <c:pt idx="979">
                  <c:v>122.00584537326637</c:v>
                </c:pt>
                <c:pt idx="980">
                  <c:v>122.00607918316086</c:v>
                </c:pt>
                <c:pt idx="981">
                  <c:v>122.00631298941113</c:v>
                </c:pt>
                <c:pt idx="982">
                  <c:v>122.00654679201722</c:v>
                </c:pt>
                <c:pt idx="983">
                  <c:v>122.00678059097913</c:v>
                </c:pt>
                <c:pt idx="984">
                  <c:v>122.00701438629692</c:v>
                </c:pt>
                <c:pt idx="985">
                  <c:v>122.00724817797058</c:v>
                </c:pt>
                <c:pt idx="986">
                  <c:v>122.00748196600016</c:v>
                </c:pt>
                <c:pt idx="987">
                  <c:v>122.00771575038569</c:v>
                </c:pt>
                <c:pt idx="988">
                  <c:v>122.00794953112718</c:v>
                </c:pt>
                <c:pt idx="989">
                  <c:v>122.00818330822467</c:v>
                </c:pt>
                <c:pt idx="990">
                  <c:v>122.00841708167819</c:v>
                </c:pt>
                <c:pt idx="991">
                  <c:v>122.00865085148776</c:v>
                </c:pt>
                <c:pt idx="992">
                  <c:v>122.00888461765341</c:v>
                </c:pt>
                <c:pt idx="993">
                  <c:v>122.00911838017517</c:v>
                </c:pt>
                <c:pt idx="994">
                  <c:v>122.00935213905305</c:v>
                </c:pt>
                <c:pt idx="995">
                  <c:v>122.00958589428711</c:v>
                </c:pt>
                <c:pt idx="996">
                  <c:v>122.00981964587736</c:v>
                </c:pt>
                <c:pt idx="997">
                  <c:v>122.01005339382381</c:v>
                </c:pt>
                <c:pt idx="998">
                  <c:v>122.01028713812651</c:v>
                </c:pt>
                <c:pt idx="999">
                  <c:v>122.0105208787855</c:v>
                </c:pt>
                <c:pt idx="1000">
                  <c:v>122.01075461580076</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Calculs!$AG$4:$AG$1004</c:f>
              <c:numCache>
                <c:formatCode>0.00</c:formatCode>
                <c:ptCount val="1001"/>
                <c:pt idx="0">
                  <c:v>0</c:v>
                </c:pt>
                <c:pt idx="1">
                  <c:v>7.6726924938398611E-2</c:v>
                </c:pt>
                <c:pt idx="2">
                  <c:v>19.556392351848046</c:v>
                </c:pt>
                <c:pt idx="3">
                  <c:v>39.046516106006464</c:v>
                </c:pt>
                <c:pt idx="4">
                  <c:v>58.552723838264946</c:v>
                </c:pt>
                <c:pt idx="5">
                  <c:v>78.080556397505489</c:v>
                </c:pt>
                <c:pt idx="6">
                  <c:v>87.760974373924029</c:v>
                </c:pt>
                <c:pt idx="7">
                  <c:v>87.575959279589654</c:v>
                </c:pt>
                <c:pt idx="8">
                  <c:v>87.389975710656444</c:v>
                </c:pt>
                <c:pt idx="9">
                  <c:v>87.203027253177112</c:v>
                </c:pt>
                <c:pt idx="10">
                  <c:v>87.015117530940898</c:v>
                </c:pt>
                <c:pt idx="11">
                  <c:v>86.826250205172499</c:v>
                </c:pt>
                <c:pt idx="12">
                  <c:v>86.636428974227471</c:v>
                </c:pt>
                <c:pt idx="13">
                  <c:v>86.445657573284379</c:v>
                </c:pt>
                <c:pt idx="14">
                  <c:v>86.253939774033583</c:v>
                </c:pt>
                <c:pt idx="15">
                  <c:v>86.061279384362777</c:v>
                </c:pt>
                <c:pt idx="16">
                  <c:v>85.867680248039306</c:v>
                </c:pt>
                <c:pt idx="17">
                  <c:v>85.673146244389372</c:v>
                </c:pt>
                <c:pt idx="18">
                  <c:v>85.477681287974164</c:v>
                </c:pt>
                <c:pt idx="19">
                  <c:v>85.281289328262716</c:v>
                </c:pt>
                <c:pt idx="20">
                  <c:v>85.083974349302082</c:v>
                </c:pt>
                <c:pt idx="21">
                  <c:v>84.885740369384223</c:v>
                </c:pt>
                <c:pt idx="22">
                  <c:v>84.686591440710146</c:v>
                </c:pt>
                <c:pt idx="23">
                  <c:v>84.486531649051258</c:v>
                </c:pt>
                <c:pt idx="24">
                  <c:v>84.285565113407699</c:v>
                </c:pt>
                <c:pt idx="25">
                  <c:v>84.083695985663979</c:v>
                </c:pt>
                <c:pt idx="26">
                  <c:v>83.880928450242124</c:v>
                </c:pt>
                <c:pt idx="27">
                  <c:v>83.677266723751814</c:v>
                </c:pt>
                <c:pt idx="28">
                  <c:v>83.472715054638087</c:v>
                </c:pt>
                <c:pt idx="29">
                  <c:v>83.267277722826634</c:v>
                </c:pt>
                <c:pt idx="30">
                  <c:v>83.06095903936621</c:v>
                </c:pt>
                <c:pt idx="31">
                  <c:v>82.853763346069101</c:v>
                </c:pt>
                <c:pt idx="32">
                  <c:v>82.645695015148647</c:v>
                </c:pt>
                <c:pt idx="33">
                  <c:v>82.43675844885486</c:v>
                </c:pt>
                <c:pt idx="34">
                  <c:v>82.226958079107561</c:v>
                </c:pt>
                <c:pt idx="35">
                  <c:v>82.016298367127291</c:v>
                </c:pt>
                <c:pt idx="36">
                  <c:v>81.805827193220296</c:v>
                </c:pt>
                <c:pt idx="37">
                  <c:v>81.594497777491341</c:v>
                </c:pt>
                <c:pt idx="38">
                  <c:v>81.382300056863286</c:v>
                </c:pt>
                <c:pt idx="39">
                  <c:v>81.16923973047551</c:v>
                </c:pt>
                <c:pt idx="40">
                  <c:v>80.955322437507505</c:v>
                </c:pt>
                <c:pt idx="41">
                  <c:v>80.740553765714182</c:v>
                </c:pt>
                <c:pt idx="42">
                  <c:v>80.524939258841115</c:v>
                </c:pt>
                <c:pt idx="43">
                  <c:v>80.308484423085829</c:v>
                </c:pt>
                <c:pt idx="44">
                  <c:v>80.091194732741229</c:v>
                </c:pt>
                <c:pt idx="45">
                  <c:v>79.873075635136573</c:v>
                </c:pt>
                <c:pt idx="46">
                  <c:v>79.654132554971909</c:v>
                </c:pt>
                <c:pt idx="47">
                  <c:v>79.434370898127142</c:v>
                </c:pt>
                <c:pt idx="48">
                  <c:v>79.213796055014342</c:v>
                </c:pt>
                <c:pt idx="49">
                  <c:v>78.992413403531586</c:v>
                </c:pt>
                <c:pt idx="50">
                  <c:v>78.770228311668276</c:v>
                </c:pt>
                <c:pt idx="51">
                  <c:v>78.599200330611353</c:v>
                </c:pt>
                <c:pt idx="52">
                  <c:v>78.479408193241937</c:v>
                </c:pt>
                <c:pt idx="53">
                  <c:v>78.358928418134724</c:v>
                </c:pt>
                <c:pt idx="54">
                  <c:v>78.237763673688235</c:v>
                </c:pt>
                <c:pt idx="55">
                  <c:v>78.115916630278477</c:v>
                </c:pt>
                <c:pt idx="56">
                  <c:v>77.993389961571211</c:v>
                </c:pt>
                <c:pt idx="57">
                  <c:v>77.870186345703502</c:v>
                </c:pt>
                <c:pt idx="58">
                  <c:v>77.746308466348097</c:v>
                </c:pt>
                <c:pt idx="59">
                  <c:v>77.621759013672161</c:v>
                </c:pt>
                <c:pt idx="60">
                  <c:v>77.496540685201239</c:v>
                </c:pt>
                <c:pt idx="61">
                  <c:v>77.370656186597273</c:v>
                </c:pt>
                <c:pt idx="62">
                  <c:v>77.244108232359153</c:v>
                </c:pt>
                <c:pt idx="63">
                  <c:v>77.116899546452927</c:v>
                </c:pt>
                <c:pt idx="64">
                  <c:v>76.989032862878119</c:v>
                </c:pt>
                <c:pt idx="65">
                  <c:v>76.860510926176019</c:v>
                </c:pt>
                <c:pt idx="66">
                  <c:v>76.731336491885131</c:v>
                </c:pt>
                <c:pt idx="67">
                  <c:v>76.60151232694831</c:v>
                </c:pt>
                <c:pt idx="68">
                  <c:v>76.471041210075626</c:v>
                </c:pt>
                <c:pt idx="69">
                  <c:v>76.339925932067132</c:v>
                </c:pt>
                <c:pt idx="70">
                  <c:v>76.208169296098205</c:v>
                </c:pt>
                <c:pt idx="71">
                  <c:v>76.075774117971307</c:v>
                </c:pt>
                <c:pt idx="72">
                  <c:v>75.942743226336006</c:v>
                </c:pt>
                <c:pt idx="73">
                  <c:v>75.809079462880504</c:v>
                </c:pt>
                <c:pt idx="74">
                  <c:v>75.674785682496577</c:v>
                </c:pt>
                <c:pt idx="75">
                  <c:v>75.539864753419664</c:v>
                </c:pt>
                <c:pt idx="76">
                  <c:v>75.404319557346824</c:v>
                </c:pt>
                <c:pt idx="77">
                  <c:v>75.268152989533093</c:v>
                </c:pt>
                <c:pt idx="78">
                  <c:v>75.131367958868879</c:v>
                </c:pt>
                <c:pt idx="79">
                  <c:v>74.993967387938923</c:v>
                </c:pt>
                <c:pt idx="80">
                  <c:v>74.855954213064763</c:v>
                </c:pt>
                <c:pt idx="81">
                  <c:v>74.717331384331345</c:v>
                </c:pt>
                <c:pt idx="82">
                  <c:v>74.578101865599308</c:v>
                </c:pt>
                <c:pt idx="83">
                  <c:v>74.438268634503586</c:v>
                </c:pt>
                <c:pt idx="84">
                  <c:v>74.297834682439415</c:v>
                </c:pt>
                <c:pt idx="85">
                  <c:v>74.156803014536564</c:v>
                </c:pt>
                <c:pt idx="86">
                  <c:v>74.015176649622447</c:v>
                </c:pt>
                <c:pt idx="87">
                  <c:v>73.872958620175055</c:v>
                </c:pt>
                <c:pt idx="88">
                  <c:v>73.730151972266</c:v>
                </c:pt>
                <c:pt idx="89">
                  <c:v>73.586759765494691</c:v>
                </c:pt>
                <c:pt idx="90">
                  <c:v>73.442785072913964</c:v>
                </c:pt>
                <c:pt idx="91">
                  <c:v>73.298230980947594</c:v>
                </c:pt>
                <c:pt idx="92">
                  <c:v>73.153100589300493</c:v>
                </c:pt>
                <c:pt idx="93">
                  <c:v>73.007397010861709</c:v>
                </c:pt>
                <c:pt idx="94">
                  <c:v>72.861123371600897</c:v>
                </c:pt>
                <c:pt idx="95">
                  <c:v>72.714282810458414</c:v>
                </c:pt>
                <c:pt idx="96">
                  <c:v>72.566878479229729</c:v>
                </c:pt>
                <c:pt idx="97">
                  <c:v>72.418913542443988</c:v>
                </c:pt>
                <c:pt idx="98">
                  <c:v>72.270391177237656</c:v>
                </c:pt>
                <c:pt idx="99">
                  <c:v>72.121314573223088</c:v>
                </c:pt>
                <c:pt idx="100">
                  <c:v>71.971686932352299</c:v>
                </c:pt>
                <c:pt idx="101">
                  <c:v>71.797562726879875</c:v>
                </c:pt>
                <c:pt idx="102">
                  <c:v>71.598922332836494</c:v>
                </c:pt>
                <c:pt idx="103">
                  <c:v>71.399715832303556</c:v>
                </c:pt>
                <c:pt idx="104">
                  <c:v>71.199947641377193</c:v>
                </c:pt>
                <c:pt idx="105">
                  <c:v>70.999622185072042</c:v>
                </c:pt>
                <c:pt idx="106">
                  <c:v>70.798743897074829</c:v>
                </c:pt>
                <c:pt idx="107">
                  <c:v>70.597317219494755</c:v>
                </c:pt>
                <c:pt idx="108">
                  <c:v>70.395346602611568</c:v>
                </c:pt>
                <c:pt idx="109">
                  <c:v>70.192836504620914</c:v>
                </c:pt>
                <c:pt idx="110">
                  <c:v>69.989791391377366</c:v>
                </c:pt>
                <c:pt idx="111">
                  <c:v>69.786215736135375</c:v>
                </c:pt>
                <c:pt idx="112">
                  <c:v>69.582114019288269</c:v>
                </c:pt>
                <c:pt idx="113">
                  <c:v>69.377490728105286</c:v>
                </c:pt>
                <c:pt idx="114">
                  <c:v>69.172350356467177</c:v>
                </c:pt>
                <c:pt idx="115">
                  <c:v>68.966697404600126</c:v>
                </c:pt>
                <c:pt idx="116">
                  <c:v>68.760536378808212</c:v>
                </c:pt>
                <c:pt idx="117">
                  <c:v>68.55387179120487</c:v>
                </c:pt>
                <c:pt idx="118">
                  <c:v>68.346708159442912</c:v>
                </c:pt>
                <c:pt idx="119">
                  <c:v>68.139050006443682</c:v>
                </c:pt>
                <c:pt idx="120">
                  <c:v>67.930901860125374</c:v>
                </c:pt>
                <c:pt idx="121">
                  <c:v>67.722268253130466</c:v>
                </c:pt>
                <c:pt idx="122">
                  <c:v>67.513153722552289</c:v>
                </c:pt>
                <c:pt idx="123">
                  <c:v>67.303562809661443</c:v>
                </c:pt>
                <c:pt idx="124">
                  <c:v>67.09350005963114</c:v>
                </c:pt>
                <c:pt idx="125">
                  <c:v>66.882970021262679</c:v>
                </c:pt>
                <c:pt idx="126">
                  <c:v>66.671977246710185</c:v>
                </c:pt>
                <c:pt idx="127">
                  <c:v>66.460526291205397</c:v>
                </c:pt>
                <c:pt idx="128">
                  <c:v>66.248621712782068</c:v>
                </c:pt>
                <c:pt idx="129">
                  <c:v>66.036268072000468</c:v>
                </c:pt>
                <c:pt idx="130">
                  <c:v>65.823469931671767</c:v>
                </c:pt>
                <c:pt idx="131">
                  <c:v>65.610231856582544</c:v>
                </c:pt>
                <c:pt idx="132">
                  <c:v>65.396558413219395</c:v>
                </c:pt>
                <c:pt idx="133">
                  <c:v>65.182454169493838</c:v>
                </c:pt>
                <c:pt idx="134">
                  <c:v>64.967923694467331</c:v>
                </c:pt>
                <c:pt idx="135">
                  <c:v>64.752971558076737</c:v>
                </c:pt>
                <c:pt idx="136">
                  <c:v>64.537602330860167</c:v>
                </c:pt>
                <c:pt idx="137">
                  <c:v>64.321820583683319</c:v>
                </c:pt>
                <c:pt idx="138">
                  <c:v>64.105630887466219</c:v>
                </c:pt>
                <c:pt idx="139">
                  <c:v>63.889037812910608</c:v>
                </c:pt>
                <c:pt idx="140">
                  <c:v>63.672045930227938</c:v>
                </c:pt>
                <c:pt idx="141">
                  <c:v>63.454659808868065</c:v>
                </c:pt>
                <c:pt idx="142">
                  <c:v>63.236884017248627</c:v>
                </c:pt>
                <c:pt idx="143">
                  <c:v>63.018723122485234</c:v>
                </c:pt>
                <c:pt idx="144">
                  <c:v>62.800181690122407</c:v>
                </c:pt>
                <c:pt idx="145">
                  <c:v>62.581264283865465</c:v>
                </c:pt>
                <c:pt idx="146">
                  <c:v>62.361975465313357</c:v>
                </c:pt>
                <c:pt idx="147">
                  <c:v>62.142319793692323</c:v>
                </c:pt>
                <c:pt idx="148">
                  <c:v>61.922301825590644</c:v>
                </c:pt>
                <c:pt idx="149">
                  <c:v>61.701926114694466</c:v>
                </c:pt>
                <c:pt idx="150">
                  <c:v>61.481197211524545</c:v>
                </c:pt>
                <c:pt idx="151">
                  <c:v>61.26826463534664</c:v>
                </c:pt>
                <c:pt idx="152">
                  <c:v>61.06313670774108</c:v>
                </c:pt>
                <c:pt idx="153">
                  <c:v>60.857670290769562</c:v>
                </c:pt>
                <c:pt idx="154">
                  <c:v>60.651869552114981</c:v>
                </c:pt>
                <c:pt idx="155">
                  <c:v>60.445738656826862</c:v>
                </c:pt>
                <c:pt idx="156">
                  <c:v>60.239281767089025</c:v>
                </c:pt>
                <c:pt idx="157">
                  <c:v>60.032503041988285</c:v>
                </c:pt>
                <c:pt idx="158">
                  <c:v>59.825406637284168</c:v>
                </c:pt>
                <c:pt idx="159">
                  <c:v>59.617996705179806</c:v>
                </c:pt>
                <c:pt idx="160">
                  <c:v>59.410277394093832</c:v>
                </c:pt>
                <c:pt idx="161">
                  <c:v>59.202252848433531</c:v>
                </c:pt>
                <c:pt idx="162">
                  <c:v>58.993927208369044</c:v>
                </c:pt>
                <c:pt idx="163">
                  <c:v>58.785304609608851</c:v>
                </c:pt>
                <c:pt idx="164">
                  <c:v>58.576389183176566</c:v>
                </c:pt>
                <c:pt idx="165">
                  <c:v>58.367185055188678</c:v>
                </c:pt>
                <c:pt idx="166">
                  <c:v>58.157696346633934</c:v>
                </c:pt>
                <c:pt idx="167">
                  <c:v>57.947927173153758</c:v>
                </c:pt>
                <c:pt idx="168">
                  <c:v>57.737881644824078</c:v>
                </c:pt>
                <c:pt idx="169">
                  <c:v>57.527563865938575</c:v>
                </c:pt>
                <c:pt idx="170">
                  <c:v>57.316977934793144</c:v>
                </c:pt>
                <c:pt idx="171">
                  <c:v>57.106127943471876</c:v>
                </c:pt>
                <c:pt idx="172">
                  <c:v>56.895017977634318</c:v>
                </c:pt>
                <c:pt idx="173">
                  <c:v>56.68365211630438</c:v>
                </c:pt>
                <c:pt idx="174">
                  <c:v>56.472034431660425</c:v>
                </c:pt>
                <c:pt idx="175">
                  <c:v>56.260168988826976</c:v>
                </c:pt>
                <c:pt idx="176">
                  <c:v>56.048059845667993</c:v>
                </c:pt>
                <c:pt idx="177">
                  <c:v>55.835711052581445</c:v>
                </c:pt>
                <c:pt idx="178">
                  <c:v>55.623126652295554</c:v>
                </c:pt>
                <c:pt idx="179">
                  <c:v>55.410310679666566</c:v>
                </c:pt>
                <c:pt idx="180">
                  <c:v>55.197267161478074</c:v>
                </c:pt>
                <c:pt idx="181">
                  <c:v>54.984000116241887</c:v>
                </c:pt>
                <c:pt idx="182">
                  <c:v>54.770513554000495</c:v>
                </c:pt>
                <c:pt idx="183">
                  <c:v>54.556811476131202</c:v>
                </c:pt>
                <c:pt idx="184">
                  <c:v>54.342897875151877</c:v>
                </c:pt>
                <c:pt idx="185">
                  <c:v>54.128776734528188</c:v>
                </c:pt>
                <c:pt idx="186">
                  <c:v>53.914452028482735</c:v>
                </c:pt>
                <c:pt idx="187">
                  <c:v>53.699927721805679</c:v>
                </c:pt>
                <c:pt idx="188">
                  <c:v>53.485207769667056</c:v>
                </c:pt>
                <c:pt idx="189">
                  <c:v>53.270296117430917</c:v>
                </c:pt>
                <c:pt idx="190">
                  <c:v>53.055196700471022</c:v>
                </c:pt>
                <c:pt idx="191">
                  <c:v>52.839913443988301</c:v>
                </c:pt>
                <c:pt idx="192">
                  <c:v>52.624450262830102</c:v>
                </c:pt>
                <c:pt idx="193">
                  <c:v>52.408811061311162</c:v>
                </c:pt>
                <c:pt idx="194">
                  <c:v>52.192999733036196</c:v>
                </c:pt>
                <c:pt idx="195">
                  <c:v>51.977020160724479</c:v>
                </c:pt>
                <c:pt idx="196">
                  <c:v>51.760876216035996</c:v>
                </c:pt>
                <c:pt idx="197">
                  <c:v>51.54457175939951</c:v>
                </c:pt>
                <c:pt idx="198">
                  <c:v>51.328110639842308</c:v>
                </c:pt>
                <c:pt idx="199">
                  <c:v>51.111496694821874</c:v>
                </c:pt>
                <c:pt idx="200">
                  <c:v>50.894733750059316</c:v>
                </c:pt>
                <c:pt idx="201">
                  <c:v>50.677825619374488</c:v>
                </c:pt>
                <c:pt idx="202">
                  <c:v>50.460776104523177</c:v>
                </c:pt>
                <c:pt idx="203">
                  <c:v>50.243588995035942</c:v>
                </c:pt>
                <c:pt idx="204">
                  <c:v>50.026268068058862</c:v>
                </c:pt>
                <c:pt idx="205">
                  <c:v>49.808817088196093</c:v>
                </c:pt>
                <c:pt idx="206">
                  <c:v>49.591239807354334</c:v>
                </c:pt>
                <c:pt idx="207">
                  <c:v>49.373539964589057</c:v>
                </c:pt>
                <c:pt idx="208">
                  <c:v>49.155721285952758</c:v>
                </c:pt>
                <c:pt idx="209">
                  <c:v>48.937787484344874</c:v>
                </c:pt>
                <c:pt idx="210">
                  <c:v>48.719742259363791</c:v>
                </c:pt>
                <c:pt idx="211">
                  <c:v>48.50158929716055</c:v>
                </c:pt>
                <c:pt idx="212">
                  <c:v>48.283332270294522</c:v>
                </c:pt>
                <c:pt idx="213">
                  <c:v>48.064974837591009</c:v>
                </c:pt>
                <c:pt idx="214">
                  <c:v>47.846520644000606</c:v>
                </c:pt>
                <c:pt idx="215">
                  <c:v>47.627973320460619</c:v>
                </c:pt>
                <c:pt idx="216">
                  <c:v>47.409336483758239</c:v>
                </c:pt>
                <c:pt idx="217">
                  <c:v>47.190613736395683</c:v>
                </c:pt>
                <c:pt idx="218">
                  <c:v>46.971808666457278</c:v>
                </c:pt>
                <c:pt idx="219">
                  <c:v>46.752924847478354</c:v>
                </c:pt>
                <c:pt idx="220">
                  <c:v>46.533965838316107</c:v>
                </c:pt>
                <c:pt idx="221">
                  <c:v>46.314935183022342</c:v>
                </c:pt>
                <c:pt idx="222">
                  <c:v>46.095836410718192</c:v>
                </c:pt>
                <c:pt idx="223">
                  <c:v>45.876673035470617</c:v>
                </c:pt>
                <c:pt idx="224">
                  <c:v>45.657448556170891</c:v>
                </c:pt>
                <c:pt idx="225">
                  <c:v>45.438166456415068</c:v>
                </c:pt>
                <c:pt idx="226">
                  <c:v>45.218830204386194</c:v>
                </c:pt>
                <c:pt idx="227">
                  <c:v>44.999443252738622</c:v>
                </c:pt>
                <c:pt idx="228">
                  <c:v>44.780009038483982</c:v>
                </c:pt>
                <c:pt idx="229">
                  <c:v>44.560530982879349</c:v>
                </c:pt>
                <c:pt idx="230">
                  <c:v>44.341012491317159</c:v>
                </c:pt>
                <c:pt idx="231">
                  <c:v>44.121456953216914</c:v>
                </c:pt>
                <c:pt idx="232">
                  <c:v>43.901867741919162</c:v>
                </c:pt>
                <c:pt idx="233">
                  <c:v>43.682248214580916</c:v>
                </c:pt>
                <c:pt idx="234">
                  <c:v>43.462601712073308</c:v>
                </c:pt>
                <c:pt idx="235">
                  <c:v>43.242931558881054</c:v>
                </c:pt>
                <c:pt idx="236">
                  <c:v>43.023241063003681</c:v>
                </c:pt>
                <c:pt idx="237">
                  <c:v>42.803533515858874</c:v>
                </c:pt>
                <c:pt idx="238">
                  <c:v>42.583812192187516</c:v>
                </c:pt>
                <c:pt idx="239">
                  <c:v>42.364080349960673</c:v>
                </c:pt>
                <c:pt idx="240">
                  <c:v>42.144341230288575</c:v>
                </c:pt>
                <c:pt idx="241">
                  <c:v>41.924598057331167</c:v>
                </c:pt>
                <c:pt idx="242">
                  <c:v>41.704854038210989</c:v>
                </c:pt>
                <c:pt idx="243">
                  <c:v>41.485112362927453</c:v>
                </c:pt>
                <c:pt idx="244">
                  <c:v>41.265376204273295</c:v>
                </c:pt>
                <c:pt idx="245">
                  <c:v>41.045648717752812</c:v>
                </c:pt>
                <c:pt idx="246">
                  <c:v>40.825933041501798</c:v>
                </c:pt>
                <c:pt idx="247">
                  <c:v>40.60623229620964</c:v>
                </c:pt>
                <c:pt idx="248">
                  <c:v>40.386549585042864</c:v>
                </c:pt>
                <c:pt idx="249">
                  <c:v>40.166887993570953</c:v>
                </c:pt>
                <c:pt idx="250">
                  <c:v>39.947250589693517</c:v>
                </c:pt>
                <c:pt idx="251">
                  <c:v>39.692554929444313</c:v>
                </c:pt>
                <c:pt idx="252">
                  <c:v>39.402817165470381</c:v>
                </c:pt>
                <c:pt idx="253">
                  <c:v>39.113161345637138</c:v>
                </c:pt>
                <c:pt idx="254">
                  <c:v>38.823591653487995</c:v>
                </c:pt>
                <c:pt idx="255">
                  <c:v>38.534112241923268</c:v>
                </c:pt>
                <c:pt idx="256">
                  <c:v>38.244727233121353</c:v>
                </c:pt>
                <c:pt idx="257">
                  <c:v>37.955440718463208</c:v>
                </c:pt>
                <c:pt idx="258">
                  <c:v>37.666256758460058</c:v>
                </c:pt>
                <c:pt idx="259">
                  <c:v>37.377179382684346</c:v>
                </c:pt>
                <c:pt idx="260">
                  <c:v>37.088212589703986</c:v>
                </c:pt>
                <c:pt idx="261">
                  <c:v>36.799360347019686</c:v>
                </c:pt>
                <c:pt idx="262">
                  <c:v>36.510626591005554</c:v>
                </c:pt>
                <c:pt idx="263">
                  <c:v>36.222015226852804</c:v>
                </c:pt>
                <c:pt idx="264">
                  <c:v>35.933530128516665</c:v>
                </c:pt>
                <c:pt idx="265">
                  <c:v>35.645175138666325</c:v>
                </c:pt>
                <c:pt idx="266">
                  <c:v>35.356954068638018</c:v>
                </c:pt>
                <c:pt idx="267">
                  <c:v>35.068870698391201</c:v>
                </c:pt>
                <c:pt idx="268">
                  <c:v>34.780928776467718</c:v>
                </c:pt>
                <c:pt idx="269">
                  <c:v>34.493132019954096</c:v>
                </c:pt>
                <c:pt idx="270">
                  <c:v>34.205484114446662</c:v>
                </c:pt>
                <c:pt idx="271">
                  <c:v>33.917988714019842</c:v>
                </c:pt>
                <c:pt idx="272">
                  <c:v>33.630649441197342</c:v>
                </c:pt>
                <c:pt idx="273">
                  <c:v>33.343469886926208</c:v>
                </c:pt>
                <c:pt idx="274">
                  <c:v>33.056453610553817</c:v>
                </c:pt>
                <c:pt idx="275">
                  <c:v>32.769604139807889</c:v>
                </c:pt>
                <c:pt idx="276">
                  <c:v>32.482924970779109</c:v>
                </c:pt>
                <c:pt idx="277">
                  <c:v>32.196419567906815</c:v>
                </c:pt>
                <c:pt idx="278">
                  <c:v>31.910091363967332</c:v>
                </c:pt>
                <c:pt idx="279">
                  <c:v>31.623943760065295</c:v>
                </c:pt>
                <c:pt idx="280">
                  <c:v>31.33798012562746</c:v>
                </c:pt>
                <c:pt idx="281">
                  <c:v>31.052203798399457</c:v>
                </c:pt>
                <c:pt idx="282">
                  <c:v>30.766618084445248</c:v>
                </c:pt>
                <c:pt idx="283">
                  <c:v>30.481226258149107</c:v>
                </c:pt>
                <c:pt idx="284">
                  <c:v>30.196031562220462</c:v>
                </c:pt>
                <c:pt idx="285">
                  <c:v>29.911037207701238</c:v>
                </c:pt>
                <c:pt idx="286">
                  <c:v>29.626246373975821</c:v>
                </c:pt>
                <c:pt idx="287">
                  <c:v>29.341662208783703</c:v>
                </c:pt>
                <c:pt idx="288">
                  <c:v>29.057287828234518</c:v>
                </c:pt>
                <c:pt idx="289">
                  <c:v>28.773126316825756</c:v>
                </c:pt>
                <c:pt idx="290">
                  <c:v>28.489180727462912</c:v>
                </c:pt>
                <c:pt idx="291">
                  <c:v>28.205454081482095</c:v>
                </c:pt>
                <c:pt idx="292">
                  <c:v>27.921949368675126</c:v>
                </c:pt>
                <c:pt idx="293">
                  <c:v>27.638669547317033</c:v>
                </c:pt>
                <c:pt idx="294">
                  <c:v>27.355617544195923</c:v>
                </c:pt>
                <c:pt idx="295">
                  <c:v>27.072796254645297</c:v>
                </c:pt>
                <c:pt idx="296">
                  <c:v>26.790208542578622</c:v>
                </c:pt>
                <c:pt idx="297">
                  <c:v>26.507857240526224</c:v>
                </c:pt>
                <c:pt idx="298">
                  <c:v>25.840963346025653</c:v>
                </c:pt>
                <c:pt idx="299">
                  <c:v>24.789829995001821</c:v>
                </c:pt>
                <c:pt idx="300">
                  <c:v>23.739746763243545</c:v>
                </c:pt>
                <c:pt idx="301">
                  <c:v>22.690735239929836</c:v>
                </c:pt>
                <c:pt idx="302">
                  <c:v>21.64281663069297</c:v>
                </c:pt>
                <c:pt idx="303">
                  <c:v>20.596011758061771</c:v>
                </c:pt>
                <c:pt idx="304">
                  <c:v>19.550341061969952</c:v>
                </c:pt>
                <c:pt idx="305">
                  <c:v>18.505824600328815</c:v>
                </c:pt>
                <c:pt idx="306">
                  <c:v>17.462482049662821</c:v>
                </c:pt>
                <c:pt idx="307">
                  <c:v>16.420332705807013</c:v>
                </c:pt>
                <c:pt idx="308">
                  <c:v>15.3793954846651</c:v>
                </c:pt>
                <c:pt idx="309">
                  <c:v>14.339688923027133</c:v>
                </c:pt>
                <c:pt idx="310">
                  <c:v>13.301231179445436</c:v>
                </c:pt>
                <c:pt idx="311">
                  <c:v>12.264040035167913</c:v>
                </c:pt>
                <c:pt idx="312">
                  <c:v>11.228132895127242</c:v>
                </c:pt>
                <c:pt idx="313">
                  <c:v>10.193526788984942</c:v>
                </c:pt>
                <c:pt idx="314">
                  <c:v>9.1602383722292764</c:v>
                </c:pt>
                <c:pt idx="315">
                  <c:v>8.1282839273255938</c:v>
                </c:pt>
                <c:pt idx="316">
                  <c:v>7.0976793649180099</c:v>
                </c:pt>
                <c:pt idx="317">
                  <c:v>6.0684402250814067</c:v>
                </c:pt>
                <c:pt idx="318">
                  <c:v>5.0405816786223525</c:v>
                </c:pt>
                <c:pt idx="319">
                  <c:v>4.0141185284279484</c:v>
                </c:pt>
                <c:pt idx="320">
                  <c:v>2.9890652108614066</c:v>
                </c:pt>
                <c:pt idx="321">
                  <c:v>2.1184088595526944</c:v>
                </c:pt>
                <c:pt idx="322">
                  <c:v>1.401965633825462</c:v>
                </c:pt>
                <c:pt idx="323">
                  <c:v>0.6865336286516861</c:v>
                </c:pt>
                <c:pt idx="324">
                  <c:v>-2.7881237368417189E-2</c:v>
                </c:pt>
                <c:pt idx="325">
                  <c:v>-0.74127322104239468</c:v>
                </c:pt>
                <c:pt idx="326">
                  <c:v>-1.4536367536767525</c:v>
                </c:pt>
                <c:pt idx="327">
                  <c:v>-2.1649664401563466</c:v>
                </c:pt>
                <c:pt idx="328">
                  <c:v>-2.8752570580124592</c:v>
                </c:pt>
                <c:pt idx="329">
                  <c:v>-3.584503556479623</c:v>
                </c:pt>
                <c:pt idx="330">
                  <c:v>-4.2927010555420688</c:v>
                </c:pt>
                <c:pt idx="331">
                  <c:v>-4.9998448449696724</c:v>
                </c:pt>
                <c:pt idx="332">
                  <c:v>-5.7059303833441852</c:v>
                </c:pt>
                <c:pt idx="333">
                  <c:v>-6.4109532970758289</c:v>
                </c:pt>
                <c:pt idx="334">
                  <c:v>-7.1149093794108325</c:v>
                </c:pt>
                <c:pt idx="335">
                  <c:v>-7.8177945894301475</c:v>
                </c:pt>
                <c:pt idx="336">
                  <c:v>-8.5196050510397825</c:v>
                </c:pt>
                <c:pt idx="337">
                  <c:v>-9.2203370519530754</c:v>
                </c:pt>
                <c:pt idx="338">
                  <c:v>-9.9199870426653032</c:v>
                </c:pt>
                <c:pt idx="339">
                  <c:v>-10.618551635420893</c:v>
                </c:pt>
                <c:pt idx="340">
                  <c:v>-11.316027603173785</c:v>
                </c:pt>
                <c:pt idx="341">
                  <c:v>-12.012411878540966</c:v>
                </c:pt>
                <c:pt idx="342">
                  <c:v>-12.707701552749938</c:v>
                </c:pt>
                <c:pt idx="343">
                  <c:v>-13.401893874580061</c:v>
                </c:pt>
                <c:pt idx="344">
                  <c:v>-14.094986249298366</c:v>
                </c:pt>
                <c:pt idx="345">
                  <c:v>-14.786976237590064</c:v>
                </c:pt>
                <c:pt idx="346">
                  <c:v>-15.477861554484143</c:v>
                </c:pt>
                <c:pt idx="347">
                  <c:v>-16.167640068274302</c:v>
                </c:pt>
                <c:pt idx="348">
                  <c:v>-16.839816021513251</c:v>
                </c:pt>
                <c:pt idx="349">
                  <c:v>-17.494414724950872</c:v>
                </c:pt>
                <c:pt idx="350">
                  <c:v>-18.147956831899567</c:v>
                </c:pt>
                <c:pt idx="351">
                  <c:v>-18.800441194787119</c:v>
                </c:pt>
                <c:pt idx="352">
                  <c:v>-19.451866799062337</c:v>
                </c:pt>
                <c:pt idx="353">
                  <c:v>-20.102232762194511</c:v>
                </c:pt>
                <c:pt idx="354">
                  <c:v>-20.751538332671316</c:v>
                </c:pt>
                <c:pt idx="355">
                  <c:v>-21.399782888995304</c:v>
                </c:pt>
                <c:pt idx="356">
                  <c:v>-22.046965938679335</c:v>
                </c:pt>
                <c:pt idx="357">
                  <c:v>-22.693087117241117</c:v>
                </c:pt>
                <c:pt idx="358">
                  <c:v>-23.338146187197154</c:v>
                </c:pt>
                <c:pt idx="359">
                  <c:v>-23.982143037056325</c:v>
                </c:pt>
                <c:pt idx="360">
                  <c:v>-24.282062789411626</c:v>
                </c:pt>
                <c:pt idx="361">
                  <c:v>-24.238510869696483</c:v>
                </c:pt>
                <c:pt idx="362">
                  <c:v>-24.195105222238212</c:v>
                </c:pt>
                <c:pt idx="363">
                  <c:v>-24.151845191184009</c:v>
                </c:pt>
                <c:pt idx="364">
                  <c:v>-24.10873012435723</c:v>
                </c:pt>
                <c:pt idx="365">
                  <c:v>-24.065759373232339</c:v>
                </c:pt>
                <c:pt idx="366">
                  <c:v>-24.022932292910156</c:v>
                </c:pt>
                <c:pt idx="367">
                  <c:v>-23.980248242093225</c:v>
                </c:pt>
                <c:pt idx="368">
                  <c:v>-23.937706583061455</c:v>
                </c:pt>
                <c:pt idx="369">
                  <c:v>-23.89530668164786</c:v>
                </c:pt>
                <c:pt idx="370">
                  <c:v>-23.853047907214606</c:v>
                </c:pt>
                <c:pt idx="371">
                  <c:v>-23.810929632629104</c:v>
                </c:pt>
                <c:pt idx="372">
                  <c:v>-23.768951234240429</c:v>
                </c:pt>
                <c:pt idx="373">
                  <c:v>-23.727112091855837</c:v>
                </c:pt>
                <c:pt idx="374">
                  <c:v>-23.685411588717479</c:v>
                </c:pt>
                <c:pt idx="375">
                  <c:v>-23.643849111479316</c:v>
                </c:pt>
                <c:pt idx="376">
                  <c:v>-23.60242405018424</c:v>
                </c:pt>
                <c:pt idx="377">
                  <c:v>-23.561135798241295</c:v>
                </c:pt>
                <c:pt idx="378">
                  <c:v>-23.519983752403128</c:v>
                </c:pt>
                <c:pt idx="379">
                  <c:v>-23.478967312743634</c:v>
                </c:pt>
                <c:pt idx="380">
                  <c:v>-23.43808588263574</c:v>
                </c:pt>
                <c:pt idx="381">
                  <c:v>-23.397338868729346</c:v>
                </c:pt>
                <c:pt idx="382">
                  <c:v>-23.356725680929507</c:v>
                </c:pt>
                <c:pt idx="383">
                  <c:v>-23.316245732374686</c:v>
                </c:pt>
                <c:pt idx="384">
                  <c:v>-23.275898439415275</c:v>
                </c:pt>
                <c:pt idx="385">
                  <c:v>-23.235683221592208</c:v>
                </c:pt>
                <c:pt idx="386">
                  <c:v>-23.195599501615767</c:v>
                </c:pt>
                <c:pt idx="387">
                  <c:v>-23.155646705344587</c:v>
                </c:pt>
                <c:pt idx="388">
                  <c:v>-23.115824261764722</c:v>
                </c:pt>
                <c:pt idx="389">
                  <c:v>-23.076131602968985</c:v>
                </c:pt>
                <c:pt idx="390">
                  <c:v>-23.036568164136394</c:v>
                </c:pt>
                <c:pt idx="391">
                  <c:v>-22.997133383511759</c:v>
                </c:pt>
                <c:pt idx="392">
                  <c:v>-22.957826702385468</c:v>
                </c:pt>
                <c:pt idx="393">
                  <c:v>-22.918647565073393</c:v>
                </c:pt>
                <c:pt idx="394">
                  <c:v>-22.879595418896965</c:v>
                </c:pt>
                <c:pt idx="395">
                  <c:v>-22.840669714163404</c:v>
                </c:pt>
                <c:pt idx="396">
                  <c:v>-22.801869904146109</c:v>
                </c:pt>
                <c:pt idx="397">
                  <c:v>-22.763195445065126</c:v>
                </c:pt>
                <c:pt idx="398">
                  <c:v>-22.724645796067918</c:v>
                </c:pt>
                <c:pt idx="399">
                  <c:v>-22.686220419210066</c:v>
                </c:pt>
                <c:pt idx="400">
                  <c:v>-22.647918779436363</c:v>
                </c:pt>
                <c:pt idx="401">
                  <c:v>-22.609740344561818</c:v>
                </c:pt>
                <c:pt idx="402">
                  <c:v>-22.231993902640824</c:v>
                </c:pt>
                <c:pt idx="403">
                  <c:v>-21.866205420039666</c:v>
                </c:pt>
                <c:pt idx="404">
                  <c:v>-21.511872863450336</c:v>
                </c:pt>
                <c:pt idx="405">
                  <c:v>-21.168520197750688</c:v>
                </c:pt>
                <c:pt idx="406">
                  <c:v>-20.835695755845133</c:v>
                </c:pt>
                <c:pt idx="407">
                  <c:v>-20.512970725633867</c:v>
                </c:pt>
                <c:pt idx="408">
                  <c:v>-20.19993774447336</c:v>
                </c:pt>
                <c:pt idx="409">
                  <c:v>-19.896209592369612</c:v>
                </c:pt>
                <c:pt idx="410">
                  <c:v>-19.601417975936332</c:v>
                </c:pt>
                <c:pt idx="411">
                  <c:v>-19.315212395860932</c:v>
                </c:pt>
                <c:pt idx="412">
                  <c:v>-19.037259091262214</c:v>
                </c:pt>
                <c:pt idx="413">
                  <c:v>-18.767240054901276</c:v>
                </c:pt>
                <c:pt idx="414">
                  <c:v>-18.504852113728596</c:v>
                </c:pt>
                <c:pt idx="415">
                  <c:v>-18.249806069721629</c:v>
                </c:pt>
                <c:pt idx="416">
                  <c:v>-18.00182589639352</c:v>
                </c:pt>
                <c:pt idx="417">
                  <c:v>-17.760647986738888</c:v>
                </c:pt>
                <c:pt idx="418">
                  <c:v>-17.526020448732744</c:v>
                </c:pt>
                <c:pt idx="419">
                  <c:v>-17.297702444814878</c:v>
                </c:pt>
                <c:pt idx="420">
                  <c:v>-17.075463572079951</c:v>
                </c:pt>
                <c:pt idx="421">
                  <c:v>-16.859083280154241</c:v>
                </c:pt>
                <c:pt idx="422">
                  <c:v>-16.648350323977379</c:v>
                </c:pt>
                <c:pt idx="423">
                  <c:v>-16.443062248922629</c:v>
                </c:pt>
                <c:pt idx="424">
                  <c:v>-16.243024905885619</c:v>
                </c:pt>
                <c:pt idx="425">
                  <c:v>-16.048051994149304</c:v>
                </c:pt>
                <c:pt idx="426">
                  <c:v>-15.857964629995546</c:v>
                </c:pt>
                <c:pt idx="427">
                  <c:v>-15.672590939181063</c:v>
                </c:pt>
                <c:pt idx="428">
                  <c:v>-15.491765671529908</c:v>
                </c:pt>
                <c:pt idx="429">
                  <c:v>-15.315329836016824</c:v>
                </c:pt>
                <c:pt idx="430">
                  <c:v>-15.143130354827047</c:v>
                </c:pt>
                <c:pt idx="431">
                  <c:v>-14.975019734978966</c:v>
                </c:pt>
                <c:pt idx="432">
                  <c:v>-14.81085575618793</c:v>
                </c:pt>
                <c:pt idx="433">
                  <c:v>-14.650501173732449</c:v>
                </c:pt>
                <c:pt idx="434">
                  <c:v>-14.493823435159506</c:v>
                </c:pt>
                <c:pt idx="435">
                  <c:v>-14.340694409733523</c:v>
                </c:pt>
                <c:pt idx="436">
                  <c:v>-14.190990129594795</c:v>
                </c:pt>
                <c:pt idx="437">
                  <c:v>-14.044590541648104</c:v>
                </c:pt>
                <c:pt idx="438">
                  <c:v>-13.901379269251375</c:v>
                </c:pt>
                <c:pt idx="439">
                  <c:v>-13.761243382817526</c:v>
                </c:pt>
                <c:pt idx="440">
                  <c:v>-13.624073178481302</c:v>
                </c:pt>
                <c:pt idx="441">
                  <c:v>-13.489761964016036</c:v>
                </c:pt>
                <c:pt idx="442">
                  <c:v>-13.358205851214109</c:v>
                </c:pt>
                <c:pt idx="443">
                  <c:v>-13.229303553969178</c:v>
                </c:pt>
                <c:pt idx="444">
                  <c:v>-13.102956191318057</c:v>
                </c:pt>
                <c:pt idx="445">
                  <c:v>-12.979067094716012</c:v>
                </c:pt>
                <c:pt idx="446">
                  <c:v>-12.85754161883081</c:v>
                </c:pt>
                <c:pt idx="447">
                  <c:v>-12.738286955148775</c:v>
                </c:pt>
                <c:pt idx="448">
                  <c:v>-12.621211947689677</c:v>
                </c:pt>
                <c:pt idx="449">
                  <c:v>-12.506226910127456</c:v>
                </c:pt>
                <c:pt idx="450">
                  <c:v>-12.393243443609705</c:v>
                </c:pt>
                <c:pt idx="451">
                  <c:v>-12.282174254561227</c:v>
                </c:pt>
                <c:pt idx="452">
                  <c:v>-12.172932971745279</c:v>
                </c:pt>
                <c:pt idx="453">
                  <c:v>-12.065433961840743</c:v>
                </c:pt>
                <c:pt idx="454">
                  <c:v>-11.959592142774088</c:v>
                </c:pt>
                <c:pt idx="455">
                  <c:v>-11.855322794021841</c:v>
                </c:pt>
                <c:pt idx="456">
                  <c:v>-11.752541363072071</c:v>
                </c:pt>
                <c:pt idx="457">
                  <c:v>-11.651163267202392</c:v>
                </c:pt>
                <c:pt idx="458">
                  <c:v>-11.55110368969723</c:v>
                </c:pt>
                <c:pt idx="459">
                  <c:v>-11.452277369588259</c:v>
                </c:pt>
                <c:pt idx="460">
                  <c:v>-11.354598383959722</c:v>
                </c:pt>
                <c:pt idx="461">
                  <c:v>-11.257979921814581</c:v>
                </c:pt>
                <c:pt idx="462">
                  <c:v>-11.16233404844845</c:v>
                </c:pt>
                <c:pt idx="463">
                  <c:v>-11.06757145922672</c:v>
                </c:pt>
                <c:pt idx="464">
                  <c:v>-10.973601221606501</c:v>
                </c:pt>
                <c:pt idx="465">
                  <c:v>-10.880330504189978</c:v>
                </c:pt>
                <c:pt idx="466">
                  <c:v>-10.787664291540413</c:v>
                </c:pt>
                <c:pt idx="467">
                  <c:v>-10.695505083437999</c:v>
                </c:pt>
                <c:pt idx="468">
                  <c:v>-10.603752577201499</c:v>
                </c:pt>
                <c:pt idx="469">
                  <c:v>-10.512303331655829</c:v>
                </c:pt>
                <c:pt idx="470">
                  <c:v>-10.421050411288119</c:v>
                </c:pt>
                <c:pt idx="471">
                  <c:v>-10.329883009109146</c:v>
                </c:pt>
                <c:pt idx="472">
                  <c:v>-10.238686046728146</c:v>
                </c:pt>
                <c:pt idx="473">
                  <c:v>-10.147339750162487</c:v>
                </c:pt>
                <c:pt idx="474">
                  <c:v>-10.055719199947031</c:v>
                </c:pt>
                <c:pt idx="475">
                  <c:v>-9.9636938541897813</c:v>
                </c:pt>
                <c:pt idx="476">
                  <c:v>-9.8711270433519722</c:v>
                </c:pt>
                <c:pt idx="477">
                  <c:v>-9.7778754357249706</c:v>
                </c:pt>
                <c:pt idx="478">
                  <c:v>-9.6837884728498871</c:v>
                </c:pt>
                <c:pt idx="479">
                  <c:v>-9.5887077744978928</c:v>
                </c:pt>
                <c:pt idx="480">
                  <c:v>-9.492466513323631</c:v>
                </c:pt>
                <c:pt idx="481">
                  <c:v>-9.3948887599489783</c:v>
                </c:pt>
                <c:pt idx="482">
                  <c:v>-9.2957888000628088</c:v>
                </c:pt>
                <c:pt idx="483">
                  <c:v>-9.1949704261743452</c:v>
                </c:pt>
                <c:pt idx="484">
                  <c:v>-9.092226207978138</c:v>
                </c:pt>
                <c:pt idx="485">
                  <c:v>-8.987336746931879</c:v>
                </c:pt>
                <c:pt idx="486">
                  <c:v>-8.8800699226737834</c:v>
                </c:pt>
                <c:pt idx="487">
                  <c:v>-8.7701801413833316</c:v>
                </c:pt>
                <c:pt idx="488">
                  <c:v>-8.6574075991924868</c:v>
                </c:pt>
                <c:pt idx="489">
                  <c:v>-8.5414775773661624</c:v>
                </c:pt>
                <c:pt idx="490">
                  <c:v>-8.4220997902751336</c:v>
                </c:pt>
                <c:pt idx="491">
                  <c:v>-8.2989678122668771</c:v>
                </c:pt>
                <c:pt idx="492">
                  <c:v>-8.1717586154779234</c:v>
                </c:pt>
                <c:pt idx="493">
                  <c:v>-8.0401322574883185</c:v>
                </c:pt>
                <c:pt idx="494">
                  <c:v>-7.9037317655294688</c:v>
                </c:pt>
                <c:pt idx="495">
                  <c:v>-7.7621832727108675</c:v>
                </c:pt>
                <c:pt idx="496">
                  <c:v>-7.6150964713507552</c:v>
                </c:pt>
                <c:pt idx="497">
                  <c:v>-7.4620654588053048</c:v>
                </c:pt>
                <c:pt idx="498">
                  <c:v>-7.30267006188219</c:v>
                </c:pt>
                <c:pt idx="499">
                  <c:v>-7.1364777365127186</c:v>
                </c:pt>
                <c:pt idx="500">
                  <c:v>-6.9630461491330591</c:v>
                </c:pt>
                <c:pt idx="501">
                  <c:v>-6.7819265542047269</c:v>
                </c:pt>
                <c:pt idx="502">
                  <c:v>-6.5926680871789003</c:v>
                </c:pt>
                <c:pt idx="503">
                  <c:v>-6.394823092310066</c:v>
                </c:pt>
                <c:pt idx="504">
                  <c:v>-6.1879535980131442</c:v>
                </c:pt>
                <c:pt idx="505">
                  <c:v>-5.9716390365587158</c:v>
                </c:pt>
                <c:pt idx="506">
                  <c:v>-5.7454852771992346</c:v>
                </c:pt>
                <c:pt idx="507">
                  <c:v>-5.5091349996564052</c:v>
                </c:pt>
                <c:pt idx="508">
                  <c:v>-5.2622793758818549</c:v>
                </c:pt>
                <c:pt idx="509">
                  <c:v>-5.0046709504469993</c:v>
                </c:pt>
                <c:pt idx="510">
                  <c:v>-4.7361375134353194</c:v>
                </c:pt>
                <c:pt idx="511">
                  <c:v>-4.4565966458972133</c:v>
                </c:pt>
                <c:pt idx="512">
                  <c:v>-4.1660704910898589</c:v>
                </c:pt>
                <c:pt idx="513">
                  <c:v>-3.8647001725065411</c:v>
                </c:pt>
                <c:pt idx="514">
                  <c:v>-3.5527591534356642</c:v>
                </c:pt>
                <c:pt idx="515">
                  <c:v>-3.2306647273483224</c:v>
                </c:pt>
                <c:pt idx="516">
                  <c:v>-2.8989867613139975</c:v>
                </c:pt>
                <c:pt idx="517">
                  <c:v>-2.5584528042807948</c:v>
                </c:pt>
                <c:pt idx="518">
                  <c:v>-2.2099487350271123</c:v>
                </c:pt>
                <c:pt idx="519">
                  <c:v>-1.854514272359852</c:v>
                </c:pt>
                <c:pt idx="520">
                  <c:v>-1.4933329055421518</c:v>
                </c:pt>
                <c:pt idx="521">
                  <c:v>-1.1277161173284704</c:v>
                </c:pt>
                <c:pt idx="522">
                  <c:v>-0.75908214384557482</c:v>
                </c:pt>
                <c:pt idx="523">
                  <c:v>-0.38892991138411326</c:v>
                </c:pt>
                <c:pt idx="524">
                  <c:v>-1.8809167989538911E-2</c:v>
                </c:pt>
                <c:pt idx="525">
                  <c:v>0.34971185700871715</c:v>
                </c:pt>
                <c:pt idx="526">
                  <c:v>0.71507971965468942</c:v>
                </c:pt>
                <c:pt idx="527">
                  <c:v>1.0757883263236683</c:v>
                </c:pt>
                <c:pt idx="528">
                  <c:v>1.4304092289987078</c:v>
                </c:pt>
                <c:pt idx="529">
                  <c:v>1.7776182767109923</c:v>
                </c:pt>
                <c:pt idx="530">
                  <c:v>2.1162175510831904</c:v>
                </c:pt>
                <c:pt idx="531">
                  <c:v>2.4451518857806791</c:v>
                </c:pt>
                <c:pt idx="532">
                  <c:v>2.7635196668842092</c:v>
                </c:pt>
                <c:pt idx="533">
                  <c:v>3.0705779907386583</c:v>
                </c:pt>
                <c:pt idx="534">
                  <c:v>3.3657425823291605</c:v>
                </c:pt>
                <c:pt idx="535">
                  <c:v>3.648583126927619</c:v>
                </c:pt>
                <c:pt idx="536">
                  <c:v>3.9188148298400005</c:v>
                </c:pt>
                <c:pt idx="537">
                  <c:v>4.1762870946969501</c:v>
                </c:pt>
                <c:pt idx="538">
                  <c:v>4.4209702102318609</c:v>
                </c:pt>
                <c:pt idx="539">
                  <c:v>4.6529408750139867</c:v>
                </c:pt>
                <c:pt idx="540">
                  <c:v>4.8723672876152184</c:v>
                </c:pt>
                <c:pt idx="541">
                  <c:v>5.0794944041545831</c:v>
                </c:pt>
                <c:pt idx="542">
                  <c:v>5.2746298316022724</c:v>
                </c:pt>
                <c:pt idx="543">
                  <c:v>5.4581306956692188</c:v>
                </c:pt>
                <c:pt idx="544">
                  <c:v>5.6303917048455343</c:v>
                </c:pt>
                <c:pt idx="545">
                  <c:v>5.7918345320092417</c:v>
                </c:pt>
                <c:pt idx="546">
                  <c:v>5.9428985539799424</c:v>
                </c:pt>
                <c:pt idx="547">
                  <c:v>6.0840329272909557</c:v>
                </c:pt>
                <c:pt idx="548">
                  <c:v>6.2156899337367335</c:v>
                </c:pt>
                <c:pt idx="549">
                  <c:v>6.3383194995577119</c:v>
                </c:pt>
                <c:pt idx="550">
                  <c:v>6.4523647747648418</c:v>
                </c:pt>
                <c:pt idx="551">
                  <c:v>6.5582586514026051</c:v>
                </c:pt>
                <c:pt idx="552">
                  <c:v>6.6564210990456116</c:v>
                </c:pt>
                <c:pt idx="553">
                  <c:v>6.7472572003973976</c:v>
                </c:pt>
                <c:pt idx="554">
                  <c:v>6.8311557777645247</c:v>
                </c:pt>
                <c:pt idx="555">
                  <c:v>6.9084885110385903</c:v>
                </c:pt>
                <c:pt idx="556">
                  <c:v>6.9796094585927886</c:v>
                </c:pt>
                <c:pt idx="557">
                  <c:v>7.0448549034363328</c:v>
                </c:pt>
                <c:pt idx="558">
                  <c:v>7.1045434575520208</c:v>
                </c:pt>
                <c:pt idx="559">
                  <c:v>7.1589763672385978</c:v>
                </c:pt>
                <c:pt idx="560">
                  <c:v>7.2084379712995519</c:v>
                </c:pt>
                <c:pt idx="561">
                  <c:v>7.2531962719758116</c:v>
                </c:pt>
                <c:pt idx="562">
                  <c:v>7.2935035855964969</c:v>
                </c:pt>
                <c:pt idx="563">
                  <c:v>7.3295972460518044</c:v>
                </c:pt>
                <c:pt idx="564">
                  <c:v>7.3617003394388529</c:v>
                </c:pt>
                <c:pt idx="565">
                  <c:v>7.3900224526740637</c:v>
                </c:pt>
                <c:pt idx="566">
                  <c:v>7.4147604225916455</c:v>
                </c:pt>
                <c:pt idx="567">
                  <c:v>7.4360990751445026</c:v>
                </c:pt>
                <c:pt idx="568">
                  <c:v>7.4542119468755086</c:v>
                </c:pt>
                <c:pt idx="569">
                  <c:v>7.4692619829116396</c:v>
                </c:pt>
                <c:pt idx="570">
                  <c:v>7.4814022074220254</c:v>
                </c:pt>
                <c:pt idx="571">
                  <c:v>7.4907763638359128</c:v>
                </c:pt>
                <c:pt idx="572">
                  <c:v>7.4975195231934784</c:v>
                </c:pt>
                <c:pt idx="573">
                  <c:v>7.5017586598485773</c:v>
                </c:pt>
                <c:pt idx="574">
                  <c:v>7.5036131943989401</c:v>
                </c:pt>
                <c:pt idx="575">
                  <c:v>7.5031955042203391</c:v>
                </c:pt>
                <c:pt idx="576">
                  <c:v>7.5006114023563804</c:v>
                </c:pt>
                <c:pt idx="577">
                  <c:v>7.4959605857886809</c:v>
                </c:pt>
                <c:pt idx="578">
                  <c:v>7.4893370543040252</c:v>
                </c:pt>
                <c:pt idx="579">
                  <c:v>7.4808295013020771</c:v>
                </c:pt>
                <c:pt idx="580">
                  <c:v>7.4705216779631778</c:v>
                </c:pt>
                <c:pt idx="581">
                  <c:v>7.4584927322321484</c:v>
                </c:pt>
                <c:pt idx="582">
                  <c:v>7.4448175240796104</c:v>
                </c:pt>
                <c:pt idx="583">
                  <c:v>7.4295669184849622</c:v>
                </c:pt>
                <c:pt idx="584">
                  <c:v>7.4128080575504898</c:v>
                </c:pt>
                <c:pt idx="585">
                  <c:v>7.3946046131089744</c:v>
                </c:pt>
                <c:pt idx="586">
                  <c:v>7.3750170211315593</c:v>
                </c:pt>
                <c:pt idx="587">
                  <c:v>7.354102699181154</c:v>
                </c:pt>
                <c:pt idx="588">
                  <c:v>7.3319162480921509</c:v>
                </c:pt>
                <c:pt idx="589">
                  <c:v>7.3085096389910511</c:v>
                </c:pt>
                <c:pt idx="590">
                  <c:v>7.2839323867062715</c:v>
                </c:pt>
                <c:pt idx="591">
                  <c:v>7.2582317105502385</c:v>
                </c:pt>
                <c:pt idx="592">
                  <c:v>7.2314526833932078</c:v>
                </c:pt>
                <c:pt idx="593">
                  <c:v>7.2036383698868311</c:v>
                </c:pt>
                <c:pt idx="594">
                  <c:v>7.174829954636877</c:v>
                </c:pt>
                <c:pt idx="595">
                  <c:v>7.1450668610685231</c:v>
                </c:pt>
                <c:pt idx="596">
                  <c:v>7.1143868616748698</c:v>
                </c:pt>
                <c:pt idx="597">
                  <c:v>7.082826180289409</c:v>
                </c:pt>
                <c:pt idx="598">
                  <c:v>7.0504195869764823</c:v>
                </c:pt>
                <c:pt idx="599">
                  <c:v>7.0172004860899388</c:v>
                </c:pt>
                <c:pt idx="600">
                  <c:v>6.9832009980093375</c:v>
                </c:pt>
                <c:pt idx="601">
                  <c:v>6.9484520350249586</c:v>
                </c:pt>
                <c:pt idx="602">
                  <c:v>6.9129833718074902</c:v>
                </c:pt>
                <c:pt idx="603">
                  <c:v>6.8768237108653683</c:v>
                </c:pt>
                <c:pt idx="604">
                  <c:v>6.8400007433622321</c:v>
                </c:pt>
                <c:pt idx="605">
                  <c:v>6.8025412056388266</c:v>
                </c:pt>
                <c:pt idx="606">
                  <c:v>6.764470931757419</c:v>
                </c:pt>
                <c:pt idx="607">
                  <c:v>6.7258149023627505</c:v>
                </c:pt>
                <c:pt idx="608">
                  <c:v>6.6865972901311981</c:v>
                </c:pt>
                <c:pt idx="609">
                  <c:v>6.6468415020591536</c:v>
                </c:pt>
                <c:pt idx="610">
                  <c:v>6.6065702188227107</c:v>
                </c:pt>
                <c:pt idx="611">
                  <c:v>6.5658054314230334</c:v>
                </c:pt>
                <c:pt idx="612">
                  <c:v>6.5245684753157764</c:v>
                </c:pt>
                <c:pt idx="613">
                  <c:v>6.4828800622077916</c:v>
                </c:pt>
                <c:pt idx="614">
                  <c:v>6.440760309690674</c:v>
                </c:pt>
                <c:pt idx="615">
                  <c:v>6.3982287688680142</c:v>
                </c:pt>
                <c:pt idx="616">
                  <c:v>6.3553044501213733</c:v>
                </c:pt>
                <c:pt idx="617">
                  <c:v>6.3120058471493188</c:v>
                </c:pt>
                <c:pt idx="618">
                  <c:v>6.2683509594038007</c:v>
                </c:pt>
                <c:pt idx="619">
                  <c:v>6.2243573130389365</c:v>
                </c:pt>
                <c:pt idx="620">
                  <c:v>6.1800419804788511</c:v>
                </c:pt>
                <c:pt idx="621">
                  <c:v>6.135421598703287</c:v>
                </c:pt>
                <c:pt idx="622">
                  <c:v>6.0905123863425477</c:v>
                </c:pt>
                <c:pt idx="623">
                  <c:v>6.0453301596665474</c:v>
                </c:pt>
                <c:pt idx="624">
                  <c:v>5.9998903475467378</c:v>
                </c:pt>
                <c:pt idx="625">
                  <c:v>5.9542080054637694</c:v>
                </c:pt>
                <c:pt idx="626">
                  <c:v>5.9082978286286458</c:v>
                </c:pt>
                <c:pt idx="627">
                  <c:v>5.8621741642801783</c:v>
                </c:pt>
                <c:pt idx="628">
                  <c:v>5.815851023217073</c:v>
                </c:pt>
                <c:pt idx="629">
                  <c:v>5.7693420906187525</c:v>
                </c:pt>
                <c:pt idx="630">
                  <c:v>5.7226607362052793</c:v>
                </c:pt>
                <c:pt idx="631">
                  <c:v>5.6758200237830216</c:v>
                </c:pt>
                <c:pt idx="632">
                  <c:v>5.6288327202195889</c:v>
                </c:pt>
                <c:pt idx="633">
                  <c:v>5.5817113038882118</c:v>
                </c:pt>
                <c:pt idx="634">
                  <c:v>5.5344679726193151</c:v>
                </c:pt>
                <c:pt idx="635">
                  <c:v>5.4871146511939699</c:v>
                </c:pt>
                <c:pt idx="636">
                  <c:v>5.4396629984117171</c:v>
                </c:pt>
                <c:pt idx="637">
                  <c:v>5.3921244137630371</c:v>
                </c:pt>
                <c:pt idx="638">
                  <c:v>5.3445100437343669</c:v>
                </c:pt>
                <c:pt idx="639">
                  <c:v>5.2968307877719605</c:v>
                </c:pt>
                <c:pt idx="640">
                  <c:v>5.2490973039287372</c:v>
                </c:pt>
                <c:pt idx="641">
                  <c:v>5.2013200142168756</c:v>
                </c:pt>
                <c:pt idx="642">
                  <c:v>5.1535091096871142</c:v>
                </c:pt>
                <c:pt idx="643">
                  <c:v>5.1056745552544003</c:v>
                </c:pt>
                <c:pt idx="644">
                  <c:v>5.0578260942881252</c:v>
                </c:pt>
                <c:pt idx="645">
                  <c:v>5.0099732529838965</c:v>
                </c:pt>
                <c:pt idx="646">
                  <c:v>4.9621253445326987</c:v>
                </c:pt>
                <c:pt idx="647">
                  <c:v>4.9142914731021161</c:v>
                </c:pt>
                <c:pt idx="648">
                  <c:v>4.8664805376433184</c:v>
                </c:pt>
                <c:pt idx="649">
                  <c:v>4.8187012355365972</c:v>
                </c:pt>
                <c:pt idx="650">
                  <c:v>4.7709620660872076</c:v>
                </c:pt>
                <c:pt idx="651">
                  <c:v>4.7232713338826775</c:v>
                </c:pt>
                <c:pt idx="652">
                  <c:v>4.6756371520217499</c:v>
                </c:pt>
                <c:pt idx="653">
                  <c:v>4.6280674452245396</c:v>
                </c:pt>
                <c:pt idx="654">
                  <c:v>4.5805699528327768</c:v>
                </c:pt>
                <c:pt idx="655">
                  <c:v>4.5331522317084101</c:v>
                </c:pt>
                <c:pt idx="656">
                  <c:v>4.4858216590381623</c:v>
                </c:pt>
                <c:pt idx="657">
                  <c:v>4.4385854350512499</c:v>
                </c:pt>
                <c:pt idx="658">
                  <c:v>4.3914505856568109</c:v>
                </c:pt>
                <c:pt idx="659">
                  <c:v>4.3444239650071959</c:v>
                </c:pt>
                <c:pt idx="660">
                  <c:v>4.2975122579928167</c:v>
                </c:pt>
                <c:pt idx="661">
                  <c:v>4.2507219826738254</c:v>
                </c:pt>
                <c:pt idx="662">
                  <c:v>4.2040594926534878</c:v>
                </c:pt>
                <c:pt idx="663">
                  <c:v>4.1575309793978059</c:v>
                </c:pt>
                <c:pt idx="664">
                  <c:v>4.1111424745055736</c:v>
                </c:pt>
                <c:pt idx="665">
                  <c:v>4.0648998519326573</c:v>
                </c:pt>
                <c:pt idx="666">
                  <c:v>4.0188088301742093</c:v>
                </c:pt>
                <c:pt idx="667">
                  <c:v>3.9728749744079765</c:v>
                </c:pt>
                <c:pt idx="668">
                  <c:v>3.9271036986017878</c:v>
                </c:pt>
                <c:pt idx="669">
                  <c:v>3.8815002675880512</c:v>
                </c:pt>
                <c:pt idx="670">
                  <c:v>3.8360697991077473</c:v>
                </c:pt>
                <c:pt idx="671">
                  <c:v>3.7908172658263659</c:v>
                </c:pt>
                <c:pt idx="672">
                  <c:v>3.745747497323844</c:v>
                </c:pt>
                <c:pt idx="673">
                  <c:v>3.7008651820605794</c:v>
                </c:pt>
                <c:pt idx="674">
                  <c:v>3.6561748693212381</c:v>
                </c:pt>
                <c:pt idx="675">
                  <c:v>3.6116809711380382</c:v>
                </c:pt>
                <c:pt idx="676">
                  <c:v>3.567387764195022</c:v>
                </c:pt>
                <c:pt idx="677">
                  <c:v>3.5232993917146018</c:v>
                </c:pt>
                <c:pt idx="678">
                  <c:v>3.4794198653276789</c:v>
                </c:pt>
                <c:pt idx="679">
                  <c:v>3.4357530669283891</c:v>
                </c:pt>
                <c:pt idx="680">
                  <c:v>3.3923027505144381</c:v>
                </c:pt>
                <c:pt idx="681">
                  <c:v>3.3490725440140219</c:v>
                </c:pt>
                <c:pt idx="682">
                  <c:v>3.3060659510999697</c:v>
                </c:pt>
                <c:pt idx="683">
                  <c:v>3.2632863529918925</c:v>
                </c:pt>
                <c:pt idx="684">
                  <c:v>3.2207370102469763</c:v>
                </c:pt>
                <c:pt idx="685">
                  <c:v>3.1784210645398305</c:v>
                </c:pt>
                <c:pt idx="686">
                  <c:v>3.1363415404319959</c:v>
                </c:pt>
                <c:pt idx="687">
                  <c:v>3.0945013471313914</c:v>
                </c:pt>
                <c:pt idx="688">
                  <c:v>3.0529032802420986</c:v>
                </c:pt>
                <c:pt idx="689">
                  <c:v>3.0115500235047303</c:v>
                </c:pt>
                <c:pt idx="690">
                  <c:v>2.9704441505276087</c:v>
                </c:pt>
                <c:pt idx="691">
                  <c:v>2.9295881265089179</c:v>
                </c:pt>
                <c:pt idx="692">
                  <c:v>2.8889843099499846</c:v>
                </c:pt>
                <c:pt idx="693">
                  <c:v>2.8486349543597385</c:v>
                </c:pt>
                <c:pt idx="694">
                  <c:v>2.8085422099504402</c:v>
                </c:pt>
                <c:pt idx="695">
                  <c:v>2.7687081253246619</c:v>
                </c:pt>
                <c:pt idx="696">
                  <c:v>2.7291346491535107</c:v>
                </c:pt>
                <c:pt idx="697">
                  <c:v>2.6898236318460889</c:v>
                </c:pt>
                <c:pt idx="698">
                  <c:v>2.6507768272100565</c:v>
                </c:pt>
                <c:pt idx="699">
                  <c:v>2.6119958941032797</c:v>
                </c:pt>
                <c:pt idx="700">
                  <c:v>2.5734823980763766</c:v>
                </c:pt>
                <c:pt idx="701">
                  <c:v>2.5352378130061055</c:v>
                </c:pt>
                <c:pt idx="702">
                  <c:v>2.4972635227193969</c:v>
                </c:pt>
                <c:pt idx="703">
                  <c:v>2.4595608226079078</c:v>
                </c:pt>
                <c:pt idx="704">
                  <c:v>2.4221309212328404</c:v>
                </c:pt>
                <c:pt idx="705">
                  <c:v>2.384974941920043</c:v>
                </c:pt>
                <c:pt idx="706">
                  <c:v>2.3480939243449148</c:v>
                </c:pt>
                <c:pt idx="707">
                  <c:v>2.3480574072857143</c:v>
                </c:pt>
                <c:pt idx="708">
                  <c:v>2.3480208904996083</c:v>
                </c:pt>
                <c:pt idx="709">
                  <c:v>2.347984373986594</c:v>
                </c:pt>
                <c:pt idx="710">
                  <c:v>2.3479478577466759</c:v>
                </c:pt>
                <c:pt idx="711">
                  <c:v>2.3479113417798505</c:v>
                </c:pt>
                <c:pt idx="712">
                  <c:v>2.3478748260861186</c:v>
                </c:pt>
                <c:pt idx="713">
                  <c:v>2.3478383106654839</c:v>
                </c:pt>
                <c:pt idx="714">
                  <c:v>2.3478017955179471</c:v>
                </c:pt>
                <c:pt idx="715">
                  <c:v>2.3477652806435039</c:v>
                </c:pt>
                <c:pt idx="716">
                  <c:v>2.3477287660421622</c:v>
                </c:pt>
                <c:pt idx="717">
                  <c:v>2.3476922517139212</c:v>
                </c:pt>
                <c:pt idx="718">
                  <c:v>2.3476557376587861</c:v>
                </c:pt>
                <c:pt idx="719">
                  <c:v>2.3476192238767446</c:v>
                </c:pt>
                <c:pt idx="720">
                  <c:v>2.3475827103678046</c:v>
                </c:pt>
                <c:pt idx="721">
                  <c:v>2.3475461971319733</c:v>
                </c:pt>
                <c:pt idx="722">
                  <c:v>2.3475096841692462</c:v>
                </c:pt>
                <c:pt idx="723">
                  <c:v>2.3474731714796215</c:v>
                </c:pt>
                <c:pt idx="724">
                  <c:v>2.3474366590631055</c:v>
                </c:pt>
                <c:pt idx="725">
                  <c:v>2.3474001469196919</c:v>
                </c:pt>
                <c:pt idx="726">
                  <c:v>2.3473636350493887</c:v>
                </c:pt>
                <c:pt idx="727">
                  <c:v>2.3473271234521951</c:v>
                </c:pt>
                <c:pt idx="728">
                  <c:v>2.3472906121281083</c:v>
                </c:pt>
                <c:pt idx="729">
                  <c:v>2.3472541010771319</c:v>
                </c:pt>
                <c:pt idx="730">
                  <c:v>2.3472175902992678</c:v>
                </c:pt>
                <c:pt idx="731">
                  <c:v>2.3471810797945167</c:v>
                </c:pt>
                <c:pt idx="732">
                  <c:v>2.3471445695628743</c:v>
                </c:pt>
                <c:pt idx="733">
                  <c:v>2.3471080596043477</c:v>
                </c:pt>
                <c:pt idx="734">
                  <c:v>2.3470715499189421</c:v>
                </c:pt>
                <c:pt idx="735">
                  <c:v>2.3470350405066442</c:v>
                </c:pt>
                <c:pt idx="736">
                  <c:v>2.3469985313674631</c:v>
                </c:pt>
                <c:pt idx="737">
                  <c:v>2.3469620225014101</c:v>
                </c:pt>
                <c:pt idx="738">
                  <c:v>2.3469255139084666</c:v>
                </c:pt>
                <c:pt idx="739">
                  <c:v>2.3468890055886451</c:v>
                </c:pt>
                <c:pt idx="740">
                  <c:v>2.3468524975419411</c:v>
                </c:pt>
                <c:pt idx="741">
                  <c:v>2.3468159897683583</c:v>
                </c:pt>
                <c:pt idx="742">
                  <c:v>2.3467794822678965</c:v>
                </c:pt>
                <c:pt idx="743">
                  <c:v>2.3467429750405584</c:v>
                </c:pt>
                <c:pt idx="744">
                  <c:v>2.346706468086345</c:v>
                </c:pt>
                <c:pt idx="745">
                  <c:v>2.3466699614052544</c:v>
                </c:pt>
                <c:pt idx="746">
                  <c:v>2.3466334549972938</c:v>
                </c:pt>
                <c:pt idx="747">
                  <c:v>2.3465969488624543</c:v>
                </c:pt>
                <c:pt idx="748">
                  <c:v>2.346560443000743</c:v>
                </c:pt>
                <c:pt idx="749">
                  <c:v>2.346523937412158</c:v>
                </c:pt>
                <c:pt idx="750">
                  <c:v>2.3464874320967102</c:v>
                </c:pt>
                <c:pt idx="751">
                  <c:v>2.3464509270543825</c:v>
                </c:pt>
                <c:pt idx="752">
                  <c:v>2.3464144222851884</c:v>
                </c:pt>
                <c:pt idx="753">
                  <c:v>2.3463779177891277</c:v>
                </c:pt>
                <c:pt idx="754">
                  <c:v>2.3463414135661953</c:v>
                </c:pt>
                <c:pt idx="755">
                  <c:v>2.3463049096164035</c:v>
                </c:pt>
                <c:pt idx="756">
                  <c:v>2.3462684059397381</c:v>
                </c:pt>
                <c:pt idx="757">
                  <c:v>2.3462319025362124</c:v>
                </c:pt>
                <c:pt idx="758">
                  <c:v>2.3461953994058229</c:v>
                </c:pt>
                <c:pt idx="759">
                  <c:v>2.3461588965485713</c:v>
                </c:pt>
                <c:pt idx="760">
                  <c:v>2.3461223939644542</c:v>
                </c:pt>
                <c:pt idx="761">
                  <c:v>2.3460858916534768</c:v>
                </c:pt>
                <c:pt idx="762">
                  <c:v>2.3460493896156409</c:v>
                </c:pt>
                <c:pt idx="763">
                  <c:v>2.3460128878509412</c:v>
                </c:pt>
                <c:pt idx="764">
                  <c:v>2.3459763863593892</c:v>
                </c:pt>
                <c:pt idx="765">
                  <c:v>2.3459398851409734</c:v>
                </c:pt>
                <c:pt idx="766">
                  <c:v>2.3459033841956991</c:v>
                </c:pt>
                <c:pt idx="767">
                  <c:v>2.3458668835235779</c:v>
                </c:pt>
                <c:pt idx="768">
                  <c:v>2.3458303831245946</c:v>
                </c:pt>
                <c:pt idx="769">
                  <c:v>2.3457938829987555</c:v>
                </c:pt>
                <c:pt idx="770">
                  <c:v>2.3457573831460676</c:v>
                </c:pt>
                <c:pt idx="771">
                  <c:v>2.345720883566524</c:v>
                </c:pt>
                <c:pt idx="772">
                  <c:v>2.3456843842601289</c:v>
                </c:pt>
                <c:pt idx="773">
                  <c:v>2.3456478852268843</c:v>
                </c:pt>
                <c:pt idx="774">
                  <c:v>2.3456113864667882</c:v>
                </c:pt>
                <c:pt idx="775">
                  <c:v>2.3455748879798453</c:v>
                </c:pt>
                <c:pt idx="776">
                  <c:v>2.3455383897660509</c:v>
                </c:pt>
                <c:pt idx="777">
                  <c:v>2.3455018918254105</c:v>
                </c:pt>
                <c:pt idx="778">
                  <c:v>2.3454653941579249</c:v>
                </c:pt>
                <c:pt idx="779">
                  <c:v>2.3454288967635959</c:v>
                </c:pt>
                <c:pt idx="780">
                  <c:v>2.3453923996424182</c:v>
                </c:pt>
                <c:pt idx="781">
                  <c:v>2.3453559027943944</c:v>
                </c:pt>
                <c:pt idx="782">
                  <c:v>2.3453194062195335</c:v>
                </c:pt>
                <c:pt idx="783">
                  <c:v>2.3452829099178292</c:v>
                </c:pt>
                <c:pt idx="784">
                  <c:v>2.3452464138892823</c:v>
                </c:pt>
                <c:pt idx="785">
                  <c:v>2.3452099181338983</c:v>
                </c:pt>
                <c:pt idx="786">
                  <c:v>2.3451734226516754</c:v>
                </c:pt>
                <c:pt idx="787">
                  <c:v>2.3451369274426108</c:v>
                </c:pt>
                <c:pt idx="788">
                  <c:v>2.34510043250671</c:v>
                </c:pt>
                <c:pt idx="789">
                  <c:v>2.3450639378439728</c:v>
                </c:pt>
                <c:pt idx="790">
                  <c:v>2.3450274434543958</c:v>
                </c:pt>
                <c:pt idx="791">
                  <c:v>2.3449909493379897</c:v>
                </c:pt>
                <c:pt idx="792">
                  <c:v>2.3449544554947481</c:v>
                </c:pt>
                <c:pt idx="793">
                  <c:v>2.3449179619246703</c:v>
                </c:pt>
                <c:pt idx="794">
                  <c:v>2.3448814686277597</c:v>
                </c:pt>
                <c:pt idx="795">
                  <c:v>2.3448449756040235</c:v>
                </c:pt>
                <c:pt idx="796">
                  <c:v>2.344808482853451</c:v>
                </c:pt>
                <c:pt idx="797">
                  <c:v>2.344771990376052</c:v>
                </c:pt>
                <c:pt idx="798">
                  <c:v>2.3447354981718229</c:v>
                </c:pt>
                <c:pt idx="799">
                  <c:v>2.3446990062407655</c:v>
                </c:pt>
                <c:pt idx="800">
                  <c:v>2.3446625145828817</c:v>
                </c:pt>
                <c:pt idx="801">
                  <c:v>2.344626023198173</c:v>
                </c:pt>
                <c:pt idx="802">
                  <c:v>2.3445895320866388</c:v>
                </c:pt>
                <c:pt idx="803">
                  <c:v>2.3445530412482798</c:v>
                </c:pt>
                <c:pt idx="804">
                  <c:v>2.3445165506830969</c:v>
                </c:pt>
                <c:pt idx="805">
                  <c:v>2.3444800603910911</c:v>
                </c:pt>
                <c:pt idx="806">
                  <c:v>2.3444435703722633</c:v>
                </c:pt>
                <c:pt idx="807">
                  <c:v>2.3444070806266168</c:v>
                </c:pt>
                <c:pt idx="808">
                  <c:v>2.3443705911541466</c:v>
                </c:pt>
                <c:pt idx="809">
                  <c:v>2.3443341019548587</c:v>
                </c:pt>
                <c:pt idx="810">
                  <c:v>2.3442976130287514</c:v>
                </c:pt>
                <c:pt idx="811">
                  <c:v>2.3442611243758309</c:v>
                </c:pt>
                <c:pt idx="812">
                  <c:v>2.3442246359960901</c:v>
                </c:pt>
                <c:pt idx="813">
                  <c:v>2.3441881478895334</c:v>
                </c:pt>
                <c:pt idx="814">
                  <c:v>2.3441516600561654</c:v>
                </c:pt>
                <c:pt idx="815">
                  <c:v>2.3441151724959841</c:v>
                </c:pt>
                <c:pt idx="816">
                  <c:v>2.3440786852089879</c:v>
                </c:pt>
                <c:pt idx="817">
                  <c:v>2.3440421981951776</c:v>
                </c:pt>
                <c:pt idx="818">
                  <c:v>2.3440057114545567</c:v>
                </c:pt>
                <c:pt idx="819">
                  <c:v>2.3439692249871271</c:v>
                </c:pt>
                <c:pt idx="820">
                  <c:v>2.3439327387928888</c:v>
                </c:pt>
                <c:pt idx="821">
                  <c:v>2.3438962528718399</c:v>
                </c:pt>
                <c:pt idx="822">
                  <c:v>2.3438597672239849</c:v>
                </c:pt>
                <c:pt idx="823">
                  <c:v>2.343823281849323</c:v>
                </c:pt>
                <c:pt idx="824">
                  <c:v>2.3437867967478505</c:v>
                </c:pt>
                <c:pt idx="825">
                  <c:v>2.3437503119195782</c:v>
                </c:pt>
                <c:pt idx="826">
                  <c:v>2.3437138273645015</c:v>
                </c:pt>
                <c:pt idx="827">
                  <c:v>2.3436773430826205</c:v>
                </c:pt>
                <c:pt idx="828">
                  <c:v>2.3436408590739353</c:v>
                </c:pt>
                <c:pt idx="829">
                  <c:v>2.3436043753384483</c:v>
                </c:pt>
                <c:pt idx="830">
                  <c:v>2.3435678918761651</c:v>
                </c:pt>
                <c:pt idx="831">
                  <c:v>2.3435314086870767</c:v>
                </c:pt>
                <c:pt idx="832">
                  <c:v>2.3434949257711928</c:v>
                </c:pt>
                <c:pt idx="833">
                  <c:v>2.3434584431285117</c:v>
                </c:pt>
                <c:pt idx="834">
                  <c:v>2.3434219607590281</c:v>
                </c:pt>
                <c:pt idx="835">
                  <c:v>2.3433854786627535</c:v>
                </c:pt>
                <c:pt idx="836">
                  <c:v>2.3433489968396835</c:v>
                </c:pt>
                <c:pt idx="837">
                  <c:v>2.3433125152898153</c:v>
                </c:pt>
                <c:pt idx="838">
                  <c:v>2.3432760340131562</c:v>
                </c:pt>
                <c:pt idx="839">
                  <c:v>2.3432395530097043</c:v>
                </c:pt>
                <c:pt idx="840">
                  <c:v>2.3432030722794597</c:v>
                </c:pt>
                <c:pt idx="841">
                  <c:v>2.3431665918224223</c:v>
                </c:pt>
                <c:pt idx="842">
                  <c:v>2.3431301116385983</c:v>
                </c:pt>
                <c:pt idx="843">
                  <c:v>2.3430936317279798</c:v>
                </c:pt>
                <c:pt idx="844">
                  <c:v>2.3430571520905783</c:v>
                </c:pt>
                <c:pt idx="845">
                  <c:v>2.3430206727263867</c:v>
                </c:pt>
                <c:pt idx="846">
                  <c:v>2.3429841936354068</c:v>
                </c:pt>
                <c:pt idx="847">
                  <c:v>2.3429477148176447</c:v>
                </c:pt>
                <c:pt idx="848">
                  <c:v>2.3429112362730971</c:v>
                </c:pt>
                <c:pt idx="849">
                  <c:v>2.342874758001761</c:v>
                </c:pt>
                <c:pt idx="850">
                  <c:v>2.3428382800036491</c:v>
                </c:pt>
                <c:pt idx="851">
                  <c:v>2.3428018022787498</c:v>
                </c:pt>
                <c:pt idx="852">
                  <c:v>2.3427653248270701</c:v>
                </c:pt>
                <c:pt idx="853">
                  <c:v>2.3427288476486083</c:v>
                </c:pt>
                <c:pt idx="854">
                  <c:v>2.3426923707433698</c:v>
                </c:pt>
                <c:pt idx="855">
                  <c:v>2.3426558941113509</c:v>
                </c:pt>
                <c:pt idx="856">
                  <c:v>2.3426194177525543</c:v>
                </c:pt>
                <c:pt idx="857">
                  <c:v>2.3425829416669846</c:v>
                </c:pt>
                <c:pt idx="858">
                  <c:v>2.3425464658546336</c:v>
                </c:pt>
                <c:pt idx="859">
                  <c:v>2.3425099903155102</c:v>
                </c:pt>
                <c:pt idx="860">
                  <c:v>2.3424735150496074</c:v>
                </c:pt>
                <c:pt idx="861">
                  <c:v>2.3424370400569394</c:v>
                </c:pt>
                <c:pt idx="862">
                  <c:v>2.3424005653374893</c:v>
                </c:pt>
                <c:pt idx="863">
                  <c:v>2.342364090891274</c:v>
                </c:pt>
                <c:pt idx="864">
                  <c:v>2.3423276167182863</c:v>
                </c:pt>
                <c:pt idx="865">
                  <c:v>2.3422911428185271</c:v>
                </c:pt>
                <c:pt idx="866">
                  <c:v>2.3422546691920001</c:v>
                </c:pt>
                <c:pt idx="867">
                  <c:v>2.3422181958387052</c:v>
                </c:pt>
                <c:pt idx="868">
                  <c:v>2.3421817227586432</c:v>
                </c:pt>
                <c:pt idx="869">
                  <c:v>2.3421452499518152</c:v>
                </c:pt>
                <c:pt idx="870">
                  <c:v>2.3421087774182174</c:v>
                </c:pt>
                <c:pt idx="871">
                  <c:v>2.3420723051578571</c:v>
                </c:pt>
                <c:pt idx="872">
                  <c:v>2.3420358331707343</c:v>
                </c:pt>
                <c:pt idx="873">
                  <c:v>2.3419993614568488</c:v>
                </c:pt>
                <c:pt idx="874">
                  <c:v>2.3419628900161964</c:v>
                </c:pt>
                <c:pt idx="875">
                  <c:v>2.3419264188487894</c:v>
                </c:pt>
                <c:pt idx="876">
                  <c:v>2.3418899479546171</c:v>
                </c:pt>
                <c:pt idx="877">
                  <c:v>2.3418534773336841</c:v>
                </c:pt>
                <c:pt idx="878">
                  <c:v>2.3418170069859983</c:v>
                </c:pt>
                <c:pt idx="879">
                  <c:v>2.3417805369115472</c:v>
                </c:pt>
                <c:pt idx="880">
                  <c:v>2.3417440671103451</c:v>
                </c:pt>
                <c:pt idx="881">
                  <c:v>2.3417075975823867</c:v>
                </c:pt>
                <c:pt idx="882">
                  <c:v>2.3416711283276692</c:v>
                </c:pt>
                <c:pt idx="883">
                  <c:v>2.3416346593462016</c:v>
                </c:pt>
                <c:pt idx="884">
                  <c:v>2.3415981906379733</c:v>
                </c:pt>
                <c:pt idx="885">
                  <c:v>2.3415617222030036</c:v>
                </c:pt>
                <c:pt idx="886">
                  <c:v>2.3415252540412732</c:v>
                </c:pt>
                <c:pt idx="887">
                  <c:v>2.3414887861527971</c:v>
                </c:pt>
                <c:pt idx="888">
                  <c:v>2.3414523185375682</c:v>
                </c:pt>
                <c:pt idx="889">
                  <c:v>2.3414158511955909</c:v>
                </c:pt>
                <c:pt idx="890">
                  <c:v>2.3413793841268671</c:v>
                </c:pt>
                <c:pt idx="891">
                  <c:v>2.3413429173313949</c:v>
                </c:pt>
                <c:pt idx="892">
                  <c:v>2.3413064508091734</c:v>
                </c:pt>
                <c:pt idx="893">
                  <c:v>2.3412699845602081</c:v>
                </c:pt>
                <c:pt idx="894">
                  <c:v>2.3412335185845015</c:v>
                </c:pt>
                <c:pt idx="895">
                  <c:v>2.3411970528820465</c:v>
                </c:pt>
                <c:pt idx="896">
                  <c:v>2.3411605874528485</c:v>
                </c:pt>
                <c:pt idx="897">
                  <c:v>2.341124122296911</c:v>
                </c:pt>
                <c:pt idx="898">
                  <c:v>2.3410876574142305</c:v>
                </c:pt>
                <c:pt idx="899">
                  <c:v>2.3410511928048123</c:v>
                </c:pt>
                <c:pt idx="900">
                  <c:v>2.3410147284686502</c:v>
                </c:pt>
                <c:pt idx="901">
                  <c:v>2.3409782644057531</c:v>
                </c:pt>
                <c:pt idx="902">
                  <c:v>2.3409418006161182</c:v>
                </c:pt>
                <c:pt idx="903">
                  <c:v>2.3409053370997439</c:v>
                </c:pt>
                <c:pt idx="904">
                  <c:v>2.3408688738566354</c:v>
                </c:pt>
                <c:pt idx="905">
                  <c:v>2.3408324108867919</c:v>
                </c:pt>
                <c:pt idx="906">
                  <c:v>2.3407959481902125</c:v>
                </c:pt>
                <c:pt idx="907">
                  <c:v>2.340759485766899</c:v>
                </c:pt>
                <c:pt idx="908">
                  <c:v>2.3407230236168539</c:v>
                </c:pt>
                <c:pt idx="909">
                  <c:v>2.3406865617400783</c:v>
                </c:pt>
                <c:pt idx="910">
                  <c:v>2.3406501001365703</c:v>
                </c:pt>
                <c:pt idx="911">
                  <c:v>2.3406136388063334</c:v>
                </c:pt>
                <c:pt idx="912">
                  <c:v>2.3405771777493687</c:v>
                </c:pt>
                <c:pt idx="913">
                  <c:v>2.3405407169656751</c:v>
                </c:pt>
                <c:pt idx="914">
                  <c:v>2.3405042564552545</c:v>
                </c:pt>
                <c:pt idx="915">
                  <c:v>2.340467796218106</c:v>
                </c:pt>
                <c:pt idx="916">
                  <c:v>2.3404313362542313</c:v>
                </c:pt>
                <c:pt idx="917">
                  <c:v>2.3403948765636313</c:v>
                </c:pt>
                <c:pt idx="918">
                  <c:v>2.3403584171463097</c:v>
                </c:pt>
                <c:pt idx="919">
                  <c:v>2.3403219580022654</c:v>
                </c:pt>
                <c:pt idx="920">
                  <c:v>2.3402854991314976</c:v>
                </c:pt>
                <c:pt idx="921">
                  <c:v>2.3402490405340117</c:v>
                </c:pt>
                <c:pt idx="922">
                  <c:v>2.3402125822098032</c:v>
                </c:pt>
                <c:pt idx="923">
                  <c:v>2.3401761241588739</c:v>
                </c:pt>
                <c:pt idx="924">
                  <c:v>2.3401396663812291</c:v>
                </c:pt>
                <c:pt idx="925">
                  <c:v>2.3401032088768652</c:v>
                </c:pt>
                <c:pt idx="926">
                  <c:v>2.3400667516457823</c:v>
                </c:pt>
                <c:pt idx="927">
                  <c:v>2.3400302946879821</c:v>
                </c:pt>
                <c:pt idx="928">
                  <c:v>2.3399938380034717</c:v>
                </c:pt>
                <c:pt idx="929">
                  <c:v>2.339957381592245</c:v>
                </c:pt>
                <c:pt idx="930">
                  <c:v>2.3399209254543036</c:v>
                </c:pt>
                <c:pt idx="931">
                  <c:v>2.3398844695896539</c:v>
                </c:pt>
                <c:pt idx="932">
                  <c:v>2.3398480139982896</c:v>
                </c:pt>
                <c:pt idx="933">
                  <c:v>2.3398115586802124</c:v>
                </c:pt>
                <c:pt idx="934">
                  <c:v>2.3397751036354268</c:v>
                </c:pt>
                <c:pt idx="935">
                  <c:v>2.3397386488639356</c:v>
                </c:pt>
                <c:pt idx="936">
                  <c:v>2.3397021943657323</c:v>
                </c:pt>
                <c:pt idx="937">
                  <c:v>2.3396657401408207</c:v>
                </c:pt>
                <c:pt idx="938">
                  <c:v>2.3396292861892061</c:v>
                </c:pt>
                <c:pt idx="939">
                  <c:v>2.3395928325108839</c:v>
                </c:pt>
                <c:pt idx="940">
                  <c:v>2.3395563791058605</c:v>
                </c:pt>
                <c:pt idx="941">
                  <c:v>2.3395199259741295</c:v>
                </c:pt>
                <c:pt idx="942">
                  <c:v>2.3394834731156964</c:v>
                </c:pt>
                <c:pt idx="943">
                  <c:v>2.3394470205305602</c:v>
                </c:pt>
                <c:pt idx="944">
                  <c:v>2.3394105682187245</c:v>
                </c:pt>
                <c:pt idx="945">
                  <c:v>2.3393741161801858</c:v>
                </c:pt>
                <c:pt idx="946">
                  <c:v>2.3393376644149484</c:v>
                </c:pt>
                <c:pt idx="947">
                  <c:v>2.339301212923016</c:v>
                </c:pt>
                <c:pt idx="948">
                  <c:v>2.3392647617043796</c:v>
                </c:pt>
                <c:pt idx="949">
                  <c:v>2.3392283107590499</c:v>
                </c:pt>
                <c:pt idx="950">
                  <c:v>2.3391918600870225</c:v>
                </c:pt>
                <c:pt idx="951">
                  <c:v>2.339155409688308</c:v>
                </c:pt>
                <c:pt idx="952">
                  <c:v>2.3391189595628905</c:v>
                </c:pt>
                <c:pt idx="953">
                  <c:v>2.3390825097107797</c:v>
                </c:pt>
                <c:pt idx="954">
                  <c:v>2.33904606013198</c:v>
                </c:pt>
                <c:pt idx="955">
                  <c:v>2.3390096108264862</c:v>
                </c:pt>
                <c:pt idx="956">
                  <c:v>2.3389731617943044</c:v>
                </c:pt>
                <c:pt idx="957">
                  <c:v>2.3389367130354319</c:v>
                </c:pt>
                <c:pt idx="958">
                  <c:v>2.3389002645498662</c:v>
                </c:pt>
                <c:pt idx="959">
                  <c:v>2.3388638163376143</c:v>
                </c:pt>
                <c:pt idx="960">
                  <c:v>2.338827368398678</c:v>
                </c:pt>
                <c:pt idx="961">
                  <c:v>2.3387909207330573</c:v>
                </c:pt>
                <c:pt idx="962">
                  <c:v>2.3387544733407415</c:v>
                </c:pt>
                <c:pt idx="963">
                  <c:v>2.3387180262217493</c:v>
                </c:pt>
                <c:pt idx="964">
                  <c:v>2.3386815793760674</c:v>
                </c:pt>
                <c:pt idx="965">
                  <c:v>2.338645132803709</c:v>
                </c:pt>
                <c:pt idx="966">
                  <c:v>2.3386086865046618</c:v>
                </c:pt>
                <c:pt idx="967">
                  <c:v>2.3385722404789382</c:v>
                </c:pt>
                <c:pt idx="968">
                  <c:v>2.3385357947265319</c:v>
                </c:pt>
                <c:pt idx="969">
                  <c:v>2.3384993492474457</c:v>
                </c:pt>
                <c:pt idx="970">
                  <c:v>2.3384629040416813</c:v>
                </c:pt>
                <c:pt idx="971">
                  <c:v>2.3384264591092387</c:v>
                </c:pt>
                <c:pt idx="972">
                  <c:v>2.3383900144501171</c:v>
                </c:pt>
                <c:pt idx="973">
                  <c:v>2.3383535700643208</c:v>
                </c:pt>
                <c:pt idx="974">
                  <c:v>2.338317125951848</c:v>
                </c:pt>
                <c:pt idx="975">
                  <c:v>2.3382806821127016</c:v>
                </c:pt>
                <c:pt idx="976">
                  <c:v>2.3382442385468867</c:v>
                </c:pt>
                <c:pt idx="977">
                  <c:v>2.3382077952543945</c:v>
                </c:pt>
                <c:pt idx="978">
                  <c:v>2.3381713522352356</c:v>
                </c:pt>
                <c:pt idx="979">
                  <c:v>2.3381349094894004</c:v>
                </c:pt>
                <c:pt idx="980">
                  <c:v>2.3380984670168949</c:v>
                </c:pt>
                <c:pt idx="981">
                  <c:v>2.3380620248177237</c:v>
                </c:pt>
                <c:pt idx="982">
                  <c:v>2.3380255828918797</c:v>
                </c:pt>
                <c:pt idx="983">
                  <c:v>2.3379891412393743</c:v>
                </c:pt>
                <c:pt idx="984">
                  <c:v>2.3379526998601987</c:v>
                </c:pt>
                <c:pt idx="985">
                  <c:v>2.3379162587543538</c:v>
                </c:pt>
                <c:pt idx="986">
                  <c:v>2.3378798179218494</c:v>
                </c:pt>
                <c:pt idx="987">
                  <c:v>2.337843377362681</c:v>
                </c:pt>
                <c:pt idx="988">
                  <c:v>2.3378069370768495</c:v>
                </c:pt>
                <c:pt idx="989">
                  <c:v>2.3377704970643514</c:v>
                </c:pt>
                <c:pt idx="990">
                  <c:v>2.3377340573251955</c:v>
                </c:pt>
                <c:pt idx="991">
                  <c:v>2.3376976178593782</c:v>
                </c:pt>
                <c:pt idx="992">
                  <c:v>2.3376611786669015</c:v>
                </c:pt>
                <c:pt idx="993">
                  <c:v>2.337624739747767</c:v>
                </c:pt>
                <c:pt idx="994">
                  <c:v>2.3375883011019711</c:v>
                </c:pt>
                <c:pt idx="995">
                  <c:v>2.3375518627295238</c:v>
                </c:pt>
                <c:pt idx="996">
                  <c:v>2.3375154246304142</c:v>
                </c:pt>
                <c:pt idx="997">
                  <c:v>2.3374789868046522</c:v>
                </c:pt>
                <c:pt idx="998">
                  <c:v>2.337442549252235</c:v>
                </c:pt>
                <c:pt idx="999">
                  <c:v>2.3374061119731682</c:v>
                </c:pt>
                <c:pt idx="1000">
                  <c:v>2.3373696749674409</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Calculs!$AH$4:$AH$1004</c:f>
              <c:numCache>
                <c:formatCode>0.00</c:formatCode>
                <c:ptCount val="1001"/>
                <c:pt idx="0">
                  <c:v>0</c:v>
                </c:pt>
                <c:pt idx="1">
                  <c:v>9.7376909819881607</c:v>
                </c:pt>
                <c:pt idx="2">
                  <c:v>29.217356408897807</c:v>
                </c:pt>
                <c:pt idx="3">
                  <c:v>48.707480163056225</c:v>
                </c:pt>
                <c:pt idx="4">
                  <c:v>68.213687895314706</c:v>
                </c:pt>
                <c:pt idx="5">
                  <c:v>87.741520454555243</c:v>
                </c:pt>
                <c:pt idx="6">
                  <c:v>97.421938430973796</c:v>
                </c:pt>
                <c:pt idx="7">
                  <c:v>97.236923336639407</c:v>
                </c:pt>
                <c:pt idx="8">
                  <c:v>97.050939767706211</c:v>
                </c:pt>
                <c:pt idx="9">
                  <c:v>96.863991310226879</c:v>
                </c:pt>
                <c:pt idx="10">
                  <c:v>96.676081587990652</c:v>
                </c:pt>
                <c:pt idx="11">
                  <c:v>96.487214262222253</c:v>
                </c:pt>
                <c:pt idx="12">
                  <c:v>96.297393031277238</c:v>
                </c:pt>
                <c:pt idx="13">
                  <c:v>96.106621630334146</c:v>
                </c:pt>
                <c:pt idx="14">
                  <c:v>95.91490383108335</c:v>
                </c:pt>
                <c:pt idx="15">
                  <c:v>95.722243441412544</c:v>
                </c:pt>
                <c:pt idx="16">
                  <c:v>95.52864430508906</c:v>
                </c:pt>
                <c:pt idx="17">
                  <c:v>95.334110301439139</c:v>
                </c:pt>
                <c:pt idx="18">
                  <c:v>95.138645345023932</c:v>
                </c:pt>
                <c:pt idx="19">
                  <c:v>94.942253385312483</c:v>
                </c:pt>
                <c:pt idx="20">
                  <c:v>94.744938406351849</c:v>
                </c:pt>
                <c:pt idx="21">
                  <c:v>94.54670442643399</c:v>
                </c:pt>
                <c:pt idx="22">
                  <c:v>94.347555497759913</c:v>
                </c:pt>
                <c:pt idx="23">
                  <c:v>94.147495706101026</c:v>
                </c:pt>
                <c:pt idx="24">
                  <c:v>93.946529170457453</c:v>
                </c:pt>
                <c:pt idx="25">
                  <c:v>93.744660042713747</c:v>
                </c:pt>
                <c:pt idx="26">
                  <c:v>93.541892507291877</c:v>
                </c:pt>
                <c:pt idx="27">
                  <c:v>93.338230780801567</c:v>
                </c:pt>
                <c:pt idx="28">
                  <c:v>93.133679111687854</c:v>
                </c:pt>
                <c:pt idx="29">
                  <c:v>92.928241779876387</c:v>
                </c:pt>
                <c:pt idx="30">
                  <c:v>92.721923096415978</c:v>
                </c:pt>
                <c:pt idx="31">
                  <c:v>92.514727403118869</c:v>
                </c:pt>
                <c:pt idx="32">
                  <c:v>92.306659072198414</c:v>
                </c:pt>
                <c:pt idx="33">
                  <c:v>92.097722505904628</c:v>
                </c:pt>
                <c:pt idx="34">
                  <c:v>91.887922136157314</c:v>
                </c:pt>
                <c:pt idx="35">
                  <c:v>91.677262424177059</c:v>
                </c:pt>
                <c:pt idx="36">
                  <c:v>91.465747733487646</c:v>
                </c:pt>
                <c:pt idx="37">
                  <c:v>91.253382435257691</c:v>
                </c:pt>
                <c:pt idx="38">
                  <c:v>91.040171058852295</c:v>
                </c:pt>
                <c:pt idx="39">
                  <c:v>90.826118161875542</c:v>
                </c:pt>
                <c:pt idx="40">
                  <c:v>90.611228329772558</c:v>
                </c:pt>
                <c:pt idx="41">
                  <c:v>90.395506175430029</c:v>
                </c:pt>
                <c:pt idx="42">
                  <c:v>90.178956338776118</c:v>
                </c:pt>
                <c:pt idx="43">
                  <c:v>89.961583486380206</c:v>
                </c:pt>
                <c:pt idx="44">
                  <c:v>89.743392311051679</c:v>
                </c:pt>
                <c:pt idx="45">
                  <c:v>89.524387531438336</c:v>
                </c:pt>
                <c:pt idx="46">
                  <c:v>89.304573891623889</c:v>
                </c:pt>
                <c:pt idx="47">
                  <c:v>89.083956160724995</c:v>
                </c:pt>
                <c:pt idx="48">
                  <c:v>88.862539132487399</c:v>
                </c:pt>
                <c:pt idx="49">
                  <c:v>88.640327624881337</c:v>
                </c:pt>
                <c:pt idx="50">
                  <c:v>88.417326479696186</c:v>
                </c:pt>
                <c:pt idx="51">
                  <c:v>88.245494752941326</c:v>
                </c:pt>
                <c:pt idx="52">
                  <c:v>88.124910721135024</c:v>
                </c:pt>
                <c:pt idx="53">
                  <c:v>88.003650481805209</c:v>
                </c:pt>
                <c:pt idx="54">
                  <c:v>87.881716304924623</c:v>
                </c:pt>
                <c:pt idx="55">
                  <c:v>87.75911048344102</c:v>
                </c:pt>
                <c:pt idx="56">
                  <c:v>87.635835333110734</c:v>
                </c:pt>
                <c:pt idx="57">
                  <c:v>87.511893192330817</c:v>
                </c:pt>
                <c:pt idx="58">
                  <c:v>87.387286421969833</c:v>
                </c:pt>
                <c:pt idx="59">
                  <c:v>87.262017405197227</c:v>
                </c:pt>
                <c:pt idx="60">
                  <c:v>87.136088547311388</c:v>
                </c:pt>
                <c:pt idx="61">
                  <c:v>87.009502275566305</c:v>
                </c:pt>
                <c:pt idx="62">
                  <c:v>86.882261038996887</c:v>
                </c:pt>
                <c:pt idx="63">
                  <c:v>86.754367308242962</c:v>
                </c:pt>
                <c:pt idx="64">
                  <c:v>86.625823575371825</c:v>
                </c:pt>
                <c:pt idx="65">
                  <c:v>86.496632353699567</c:v>
                </c:pt>
                <c:pt idx="66">
                  <c:v>86.366796177611036</c:v>
                </c:pt>
                <c:pt idx="67">
                  <c:v>86.236317602378563</c:v>
                </c:pt>
                <c:pt idx="68">
                  <c:v>86.105199203979112</c:v>
                </c:pt>
                <c:pt idx="69">
                  <c:v>85.973443578910604</c:v>
                </c:pt>
                <c:pt idx="70">
                  <c:v>85.841053344006482</c:v>
                </c:pt>
                <c:pt idx="71">
                  <c:v>85.708031136249488</c:v>
                </c:pt>
                <c:pt idx="72">
                  <c:v>85.574379612583741</c:v>
                </c:pt>
                <c:pt idx="73">
                  <c:v>85.440101449725958</c:v>
                </c:pt>
                <c:pt idx="74">
                  <c:v>85.305199343975332</c:v>
                </c:pt>
                <c:pt idx="75">
                  <c:v>85.169676011022077</c:v>
                </c:pt>
                <c:pt idx="76">
                  <c:v>85.033534185755158</c:v>
                </c:pt>
                <c:pt idx="77">
                  <c:v>84.896776622068444</c:v>
                </c:pt>
                <c:pt idx="78">
                  <c:v>84.75940609266614</c:v>
                </c:pt>
                <c:pt idx="79">
                  <c:v>84.621425388866683</c:v>
                </c:pt>
                <c:pt idx="80">
                  <c:v>84.482837320405991</c:v>
                </c:pt>
                <c:pt idx="81">
                  <c:v>84.34364471523925</c:v>
                </c:pt>
                <c:pt idx="82">
                  <c:v>84.20385041934189</c:v>
                </c:pt>
                <c:pt idx="83">
                  <c:v>84.063457296509455</c:v>
                </c:pt>
                <c:pt idx="84">
                  <c:v>83.922468228156418</c:v>
                </c:pt>
                <c:pt idx="85">
                  <c:v>83.780886113114107</c:v>
                </c:pt>
                <c:pt idx="86">
                  <c:v>83.638713867427555</c:v>
                </c:pt>
                <c:pt idx="87">
                  <c:v>83.495954424151535</c:v>
                </c:pt>
                <c:pt idx="88">
                  <c:v>83.352610733145482</c:v>
                </c:pt>
                <c:pt idx="89">
                  <c:v>83.208685760867738</c:v>
                </c:pt>
                <c:pt idx="90">
                  <c:v>83.064182490168747</c:v>
                </c:pt>
                <c:pt idx="91">
                  <c:v>82.919103920083515</c:v>
                </c:pt>
                <c:pt idx="92">
                  <c:v>82.773453065623116</c:v>
                </c:pt>
                <c:pt idx="93">
                  <c:v>82.627232957565496</c:v>
                </c:pt>
                <c:pt idx="94">
                  <c:v>82.480446642245511</c:v>
                </c:pt>
                <c:pt idx="95">
                  <c:v>82.333097181343987</c:v>
                </c:pt>
                <c:pt idx="96">
                  <c:v>82.185187651676443</c:v>
                </c:pt>
                <c:pt idx="97">
                  <c:v>82.036721144980604</c:v>
                </c:pt>
                <c:pt idx="98">
                  <c:v>81.887700767703663</c:v>
                </c:pt>
                <c:pt idx="99">
                  <c:v>81.738129640788657</c:v>
                </c:pt>
                <c:pt idx="100">
                  <c:v>81.588010899460158</c:v>
                </c:pt>
                <c:pt idx="101">
                  <c:v>81.413398951112811</c:v>
                </c:pt>
                <c:pt idx="102">
                  <c:v>81.214274107223844</c:v>
                </c:pt>
                <c:pt idx="103">
                  <c:v>81.014586385649096</c:v>
                </c:pt>
                <c:pt idx="104">
                  <c:v>80.814340140050604</c:v>
                </c:pt>
                <c:pt idx="105">
                  <c:v>80.613539734732598</c:v>
                </c:pt>
                <c:pt idx="106">
                  <c:v>80.41218954433036</c:v>
                </c:pt>
                <c:pt idx="107">
                  <c:v>80.21029395349909</c:v>
                </c:pt>
                <c:pt idx="108">
                  <c:v>80.007857356603125</c:v>
                </c:pt>
                <c:pt idx="109">
                  <c:v>79.804884157405283</c:v>
                </c:pt>
                <c:pt idx="110">
                  <c:v>79.601378768756391</c:v>
                </c:pt>
                <c:pt idx="111">
                  <c:v>79.397345612285136</c:v>
                </c:pt>
                <c:pt idx="112">
                  <c:v>79.192789118088257</c:v>
                </c:pt>
                <c:pt idx="113">
                  <c:v>78.987713724420971</c:v>
                </c:pt>
                <c:pt idx="114">
                  <c:v>78.782123877387932</c:v>
                </c:pt>
                <c:pt idx="115">
                  <c:v>78.5760240306345</c:v>
                </c:pt>
                <c:pt idx="116">
                  <c:v>78.369418645038422</c:v>
                </c:pt>
                <c:pt idx="117">
                  <c:v>78.162312188402183</c:v>
                </c:pt>
                <c:pt idx="118">
                  <c:v>77.954709135145578</c:v>
                </c:pt>
                <c:pt idx="119">
                  <c:v>77.746613965999117</c:v>
                </c:pt>
                <c:pt idx="120">
                  <c:v>77.538031167697852</c:v>
                </c:pt>
                <c:pt idx="121">
                  <c:v>77.328965232675955</c:v>
                </c:pt>
                <c:pt idx="122">
                  <c:v>77.119420658761669</c:v>
                </c:pt>
                <c:pt idx="123">
                  <c:v>76.909401948873352</c:v>
                </c:pt>
                <c:pt idx="124">
                  <c:v>76.69891361071582</c:v>
                </c:pt>
                <c:pt idx="125">
                  <c:v>76.487960156477783</c:v>
                </c:pt>
                <c:pt idx="126">
                  <c:v>76.276546102529835</c:v>
                </c:pt>
                <c:pt idx="127">
                  <c:v>76.064675969123385</c:v>
                </c:pt>
                <c:pt idx="128">
                  <c:v>75.85235428009031</c:v>
                </c:pt>
                <c:pt idx="129">
                  <c:v>75.639585562543616</c:v>
                </c:pt>
                <c:pt idx="130">
                  <c:v>75.426374346578953</c:v>
                </c:pt>
                <c:pt idx="131">
                  <c:v>75.212725164977016</c:v>
                </c:pt>
                <c:pt idx="132">
                  <c:v>74.998642552906986</c:v>
                </c:pt>
                <c:pt idx="133">
                  <c:v>74.784131047630964</c:v>
                </c:pt>
                <c:pt idx="134">
                  <c:v>74.569195188209378</c:v>
                </c:pt>
                <c:pt idx="135">
                  <c:v>74.353839515207468</c:v>
                </c:pt>
                <c:pt idx="136">
                  <c:v>74.138068570402908</c:v>
                </c:pt>
                <c:pt idx="137">
                  <c:v>73.921886896494499</c:v>
                </c:pt>
                <c:pt idx="138">
                  <c:v>73.705299036812008</c:v>
                </c:pt>
                <c:pt idx="139">
                  <c:v>73.488309535027213</c:v>
                </c:pt>
                <c:pt idx="140">
                  <c:v>73.270922934866064</c:v>
                </c:pt>
                <c:pt idx="141">
                  <c:v>73.053143779822193</c:v>
                </c:pt>
                <c:pt idx="142">
                  <c:v>72.834976612871614</c:v>
                </c:pt>
                <c:pt idx="143">
                  <c:v>72.616425976188694</c:v>
                </c:pt>
                <c:pt idx="144">
                  <c:v>72.397496410863454</c:v>
                </c:pt>
                <c:pt idx="145">
                  <c:v>72.178192456620195</c:v>
                </c:pt>
                <c:pt idx="146">
                  <c:v>71.958518651537545</c:v>
                </c:pt>
                <c:pt idx="147">
                  <c:v>71.738479531769826</c:v>
                </c:pt>
                <c:pt idx="148">
                  <c:v>71.518079631269799</c:v>
                </c:pt>
                <c:pt idx="149">
                  <c:v>71.297323481513004</c:v>
                </c:pt>
                <c:pt idx="150">
                  <c:v>71.076215611223333</c:v>
                </c:pt>
                <c:pt idx="151">
                  <c:v>70.862905518272626</c:v>
                </c:pt>
                <c:pt idx="152">
                  <c:v>70.657401503515473</c:v>
                </c:pt>
                <c:pt idx="153">
                  <c:v>70.451560408936373</c:v>
                </c:pt>
                <c:pt idx="154">
                  <c:v>70.245386382499817</c:v>
                </c:pt>
                <c:pt idx="155">
                  <c:v>70.03888356988675</c:v>
                </c:pt>
                <c:pt idx="156">
                  <c:v>69.832056114253518</c:v>
                </c:pt>
                <c:pt idx="157">
                  <c:v>69.624908155992173</c:v>
                </c:pt>
                <c:pt idx="158">
                  <c:v>69.417443832491983</c:v>
                </c:pt>
                <c:pt idx="159">
                  <c:v>69.209667277902426</c:v>
                </c:pt>
                <c:pt idx="160">
                  <c:v>69.00158262289743</c:v>
                </c:pt>
                <c:pt idx="161">
                  <c:v>68.793193994441026</c:v>
                </c:pt>
                <c:pt idx="162">
                  <c:v>68.584505515554383</c:v>
                </c:pt>
                <c:pt idx="163">
                  <c:v>68.375521305084263</c:v>
                </c:pt>
                <c:pt idx="164">
                  <c:v>68.166245477472998</c:v>
                </c:pt>
                <c:pt idx="165">
                  <c:v>67.956682142529672</c:v>
                </c:pt>
                <c:pt idx="166">
                  <c:v>67.746835405203072</c:v>
                </c:pt>
                <c:pt idx="167">
                  <c:v>67.53670936535589</c:v>
                </c:pt>
                <c:pt idx="168">
                  <c:v>67.32630811754052</c:v>
                </c:pt>
                <c:pt idx="169">
                  <c:v>67.115635750776434</c:v>
                </c:pt>
                <c:pt idx="170">
                  <c:v>66.904696348328955</c:v>
                </c:pt>
                <c:pt idx="171">
                  <c:v>66.693493987489688</c:v>
                </c:pt>
                <c:pt idx="172">
                  <c:v>66.482032739358417</c:v>
                </c:pt>
                <c:pt idx="173">
                  <c:v>66.270316668626762</c:v>
                </c:pt>
                <c:pt idx="174">
                  <c:v>66.058349833363224</c:v>
                </c:pt>
                <c:pt idx="175">
                  <c:v>65.846136284799897</c:v>
                </c:pt>
                <c:pt idx="176">
                  <c:v>65.633680067120977</c:v>
                </c:pt>
                <c:pt idx="177">
                  <c:v>65.420985217252664</c:v>
                </c:pt>
                <c:pt idx="178">
                  <c:v>65.20805576465483</c:v>
                </c:pt>
                <c:pt idx="179">
                  <c:v>64.994895731114383</c:v>
                </c:pt>
                <c:pt idx="180">
                  <c:v>64.781509130540286</c:v>
                </c:pt>
                <c:pt idx="181">
                  <c:v>64.567899968760244</c:v>
                </c:pt>
                <c:pt idx="182">
                  <c:v>64.354072243319067</c:v>
                </c:pt>
                <c:pt idx="183">
                  <c:v>64.140029943278861</c:v>
                </c:pt>
                <c:pt idx="184">
                  <c:v>63.925777049020894</c:v>
                </c:pt>
                <c:pt idx="185">
                  <c:v>63.711317532049087</c:v>
                </c:pt>
                <c:pt idx="186">
                  <c:v>63.49665535479545</c:v>
                </c:pt>
                <c:pt idx="187">
                  <c:v>63.281794470427158</c:v>
                </c:pt>
                <c:pt idx="188">
                  <c:v>63.066738822655395</c:v>
                </c:pt>
                <c:pt idx="189">
                  <c:v>62.851492345546099</c:v>
                </c:pt>
                <c:pt idx="190">
                  <c:v>62.636058963332324</c:v>
                </c:pt>
                <c:pt idx="191">
                  <c:v>62.420442590228518</c:v>
                </c:pt>
                <c:pt idx="192">
                  <c:v>62.20464713024662</c:v>
                </c:pt>
                <c:pt idx="193">
                  <c:v>61.988676477013961</c:v>
                </c:pt>
                <c:pt idx="194">
                  <c:v>61.772534513592873</c:v>
                </c:pt>
                <c:pt idx="195">
                  <c:v>61.556225112302378</c:v>
                </c:pt>
                <c:pt idx="196">
                  <c:v>61.339752134541449</c:v>
                </c:pt>
                <c:pt idx="197">
                  <c:v>61.123119430614395</c:v>
                </c:pt>
                <c:pt idx="198">
                  <c:v>60.906330839557803</c:v>
                </c:pt>
                <c:pt idx="199">
                  <c:v>60.689390188969668</c:v>
                </c:pt>
                <c:pt idx="200">
                  <c:v>60.472301294840179</c:v>
                </c:pt>
                <c:pt idx="201">
                  <c:v>60.255067961384356</c:v>
                </c:pt>
                <c:pt idx="202">
                  <c:v>60.037693980876803</c:v>
                </c:pt>
                <c:pt idx="203">
                  <c:v>59.820183133488136</c:v>
                </c:pt>
                <c:pt idx="204">
                  <c:v>59.602539187123384</c:v>
                </c:pt>
                <c:pt idx="205">
                  <c:v>59.384765897262284</c:v>
                </c:pt>
                <c:pt idx="206">
                  <c:v>59.16686700680151</c:v>
                </c:pt>
                <c:pt idx="207">
                  <c:v>58.948846245898743</c:v>
                </c:pt>
                <c:pt idx="208">
                  <c:v>58.730707331818763</c:v>
                </c:pt>
                <c:pt idx="209">
                  <c:v>58.51245396878133</c:v>
                </c:pt>
                <c:pt idx="210">
                  <c:v>58.294089847811122</c:v>
                </c:pt>
                <c:pt idx="211">
                  <c:v>58.075618646589483</c:v>
                </c:pt>
                <c:pt idx="212">
                  <c:v>57.85704402930817</c:v>
                </c:pt>
                <c:pt idx="213">
                  <c:v>57.638369646525014</c:v>
                </c:pt>
                <c:pt idx="214">
                  <c:v>57.419599135021492</c:v>
                </c:pt>
                <c:pt idx="215">
                  <c:v>57.200736117662281</c:v>
                </c:pt>
                <c:pt idx="216">
                  <c:v>56.981784203256694</c:v>
                </c:pt>
                <c:pt idx="217">
                  <c:v>56.762746986422073</c:v>
                </c:pt>
                <c:pt idx="218">
                  <c:v>56.543628047449189</c:v>
                </c:pt>
                <c:pt idx="219">
                  <c:v>56.324430952169479</c:v>
                </c:pt>
                <c:pt idx="220">
                  <c:v>56.105159251824283</c:v>
                </c:pt>
                <c:pt idx="221">
                  <c:v>55.885816482936001</c:v>
                </c:pt>
                <c:pt idx="222">
                  <c:v>55.666406167181279</c:v>
                </c:pt>
                <c:pt idx="223">
                  <c:v>55.446931811265948</c:v>
                </c:pt>
                <c:pt idx="224">
                  <c:v>55.227396906802099</c:v>
                </c:pt>
                <c:pt idx="225">
                  <c:v>55.007804930187021</c:v>
                </c:pt>
                <c:pt idx="226">
                  <c:v>54.788159342484022</c:v>
                </c:pt>
                <c:pt idx="227">
                  <c:v>54.568463589305352</c:v>
                </c:pt>
                <c:pt idx="228">
                  <c:v>54.348721100696828</c:v>
                </c:pt>
                <c:pt idx="229">
                  <c:v>54.128935291024611</c:v>
                </c:pt>
                <c:pt idx="230">
                  <c:v>53.909109558863868</c:v>
                </c:pt>
                <c:pt idx="231">
                  <c:v>53.689247286889199</c:v>
                </c:pt>
                <c:pt idx="232">
                  <c:v>53.469351841767299</c:v>
                </c:pt>
                <c:pt idx="233">
                  <c:v>53.24942657405122</c:v>
                </c:pt>
                <c:pt idx="234">
                  <c:v>53.029474818076785</c:v>
                </c:pt>
                <c:pt idx="235">
                  <c:v>52.809499891860881</c:v>
                </c:pt>
                <c:pt idx="236">
                  <c:v>52.589505097001528</c:v>
                </c:pt>
                <c:pt idx="237">
                  <c:v>52.369493718580102</c:v>
                </c:pt>
                <c:pt idx="238">
                  <c:v>52.149469025065251</c:v>
                </c:pt>
                <c:pt idx="239">
                  <c:v>51.929434268218806</c:v>
                </c:pt>
                <c:pt idx="240">
                  <c:v>51.709392683003678</c:v>
                </c:pt>
                <c:pt idx="241">
                  <c:v>51.489347487493404</c:v>
                </c:pt>
                <c:pt idx="242">
                  <c:v>51.269301882783942</c:v>
                </c:pt>
                <c:pt idx="243">
                  <c:v>51.04925905290699</c:v>
                </c:pt>
                <c:pt idx="244">
                  <c:v>50.829222164745438</c:v>
                </c:pt>
                <c:pt idx="245">
                  <c:v>50.609194367950622</c:v>
                </c:pt>
                <c:pt idx="246">
                  <c:v>50.389178794861358</c:v>
                </c:pt>
                <c:pt idx="247">
                  <c:v>50.169178560425046</c:v>
                </c:pt>
                <c:pt idx="248">
                  <c:v>49.949196762120351</c:v>
                </c:pt>
                <c:pt idx="249">
                  <c:v>49.729236479882104</c:v>
                </c:pt>
                <c:pt idx="250">
                  <c:v>49.509300776027608</c:v>
                </c:pt>
                <c:pt idx="251">
                  <c:v>49.254307201059781</c:v>
                </c:pt>
                <c:pt idx="252">
                  <c:v>48.964271901499586</c:v>
                </c:pt>
                <c:pt idx="253">
                  <c:v>48.674318918499274</c:v>
                </c:pt>
                <c:pt idx="254">
                  <c:v>48.384452428951448</c:v>
                </c:pt>
                <c:pt idx="255">
                  <c:v>48.094676579166787</c:v>
                </c:pt>
                <c:pt idx="256">
                  <c:v>47.804995484794077</c:v>
                </c:pt>
                <c:pt idx="257">
                  <c:v>47.515413230743562</c:v>
                </c:pt>
                <c:pt idx="258">
                  <c:v>47.22593387111359</c:v>
                </c:pt>
                <c:pt idx="259">
                  <c:v>46.936561429120424</c:v>
                </c:pt>
                <c:pt idx="260">
                  <c:v>46.647299897031473</c:v>
                </c:pt>
                <c:pt idx="261">
                  <c:v>46.358153236101558</c:v>
                </c:pt>
                <c:pt idx="262">
                  <c:v>46.06912537651251</c:v>
                </c:pt>
                <c:pt idx="263">
                  <c:v>45.780220217315865</c:v>
                </c:pt>
                <c:pt idx="264">
                  <c:v>45.491441626378808</c:v>
                </c:pt>
                <c:pt idx="265">
                  <c:v>45.202793440333117</c:v>
                </c:pt>
                <c:pt idx="266">
                  <c:v>44.91427946452734</c:v>
                </c:pt>
                <c:pt idx="267">
                  <c:v>44.62590347298201</c:v>
                </c:pt>
                <c:pt idx="268">
                  <c:v>44.33766920834794</c:v>
                </c:pt>
                <c:pt idx="269">
                  <c:v>44.049580381867564</c:v>
                </c:pt>
                <c:pt idx="270">
                  <c:v>43.76164067333923</c:v>
                </c:pt>
                <c:pt idx="271">
                  <c:v>43.473853731084603</c:v>
                </c:pt>
                <c:pt idx="272">
                  <c:v>43.186223171918982</c:v>
                </c:pt>
                <c:pt idx="273">
                  <c:v>42.898752581124569</c:v>
                </c:pt>
                <c:pt idx="274">
                  <c:v>42.61144551242662</c:v>
                </c:pt>
                <c:pt idx="275">
                  <c:v>42.324305487972616</c:v>
                </c:pt>
                <c:pt idx="276">
                  <c:v>42.037335998314148</c:v>
                </c:pt>
                <c:pt idx="277">
                  <c:v>41.7505405023918</c:v>
                </c:pt>
                <c:pt idx="278">
                  <c:v>41.463922427522711</c:v>
                </c:pt>
                <c:pt idx="279">
                  <c:v>41.177485169391147</c:v>
                </c:pt>
                <c:pt idx="280">
                  <c:v>40.891232092041591</c:v>
                </c:pt>
                <c:pt idx="281">
                  <c:v>40.605166527874744</c:v>
                </c:pt>
                <c:pt idx="282">
                  <c:v>40.319291777646278</c:v>
                </c:pt>
                <c:pt idx="283">
                  <c:v>40.033611110468101</c:v>
                </c:pt>
                <c:pt idx="284">
                  <c:v>39.748127763812526</c:v>
                </c:pt>
                <c:pt idx="285">
                  <c:v>39.46284494351891</c:v>
                </c:pt>
                <c:pt idx="286">
                  <c:v>39.177765823802964</c:v>
                </c:pt>
                <c:pt idx="287">
                  <c:v>38.89289354726872</c:v>
                </c:pt>
                <c:pt idx="288">
                  <c:v>38.608231224922932</c:v>
                </c:pt>
                <c:pt idx="289">
                  <c:v>38.323781936192127</c:v>
                </c:pt>
                <c:pt idx="290">
                  <c:v>38.039548728942158</c:v>
                </c:pt>
                <c:pt idx="291">
                  <c:v>37.75553461950016</c:v>
                </c:pt>
                <c:pt idx="292">
                  <c:v>37.47174259267905</c:v>
                </c:pt>
                <c:pt idx="293">
                  <c:v>37.188175601804417</c:v>
                </c:pt>
                <c:pt idx="294">
                  <c:v>36.904836568743804</c:v>
                </c:pt>
                <c:pt idx="295">
                  <c:v>36.621728383938425</c:v>
                </c:pt>
                <c:pt idx="296">
                  <c:v>36.33885390643718</c:v>
                </c:pt>
                <c:pt idx="297">
                  <c:v>36.056215963932964</c:v>
                </c:pt>
                <c:pt idx="298">
                  <c:v>35.389035549152474</c:v>
                </c:pt>
                <c:pt idx="299">
                  <c:v>34.337615787010783</c:v>
                </c:pt>
                <c:pt idx="300">
                  <c:v>33.287246236129882</c:v>
                </c:pt>
                <c:pt idx="301">
                  <c:v>32.237948468608693</c:v>
                </c:pt>
                <c:pt idx="302">
                  <c:v>31.189743673079999</c:v>
                </c:pt>
                <c:pt idx="303">
                  <c:v>30.142652655147728</c:v>
                </c:pt>
                <c:pt idx="304">
                  <c:v>29.096695837889371</c:v>
                </c:pt>
                <c:pt idx="305">
                  <c:v>28.051893262422766</c:v>
                </c:pt>
                <c:pt idx="306">
                  <c:v>27.008264588535933</c:v>
                </c:pt>
                <c:pt idx="307">
                  <c:v>25.965829095378709</c:v>
                </c:pt>
                <c:pt idx="308">
                  <c:v>24.924605682215201</c:v>
                </c:pt>
                <c:pt idx="309">
                  <c:v>23.884612869235802</c:v>
                </c:pt>
                <c:pt idx="310">
                  <c:v>22.845868798427585</c:v>
                </c:pt>
                <c:pt idx="311">
                  <c:v>21.808391234502054</c:v>
                </c:pt>
                <c:pt idx="312">
                  <c:v>20.772197565878859</c:v>
                </c:pt>
                <c:pt idx="313">
                  <c:v>19.737304805724399</c:v>
                </c:pt>
                <c:pt idx="314">
                  <c:v>18.703729593044315</c:v>
                </c:pt>
                <c:pt idx="315">
                  <c:v>17.671488193828409</c:v>
                </c:pt>
                <c:pt idx="316">
                  <c:v>16.640596502246947</c:v>
                </c:pt>
                <c:pt idx="317">
                  <c:v>15.611070041897309</c:v>
                </c:pt>
                <c:pt idx="318">
                  <c:v>14.582923967099536</c:v>
                </c:pt>
                <c:pt idx="319">
                  <c:v>13.556173064239836</c:v>
                </c:pt>
                <c:pt idx="320">
                  <c:v>12.530831753160824</c:v>
                </c:pt>
                <c:pt idx="321">
                  <c:v>11.659887150946806</c:v>
                </c:pt>
                <c:pt idx="322">
                  <c:v>10.943155402796043</c:v>
                </c:pt>
                <c:pt idx="323">
                  <c:v>10.227434591978545</c:v>
                </c:pt>
                <c:pt idx="324">
                  <c:v>9.5127306253653625</c:v>
                </c:pt>
                <c:pt idx="325">
                  <c:v>8.7990492343899263</c:v>
                </c:pt>
                <c:pt idx="326">
                  <c:v>8.0863959759541828</c:v>
                </c:pt>
                <c:pt idx="327">
                  <c:v>7.3747762333465179</c:v>
                </c:pt>
                <c:pt idx="328">
                  <c:v>6.6641952171710104</c:v>
                </c:pt>
                <c:pt idx="329">
                  <c:v>5.9546579662878774</c:v>
                </c:pt>
                <c:pt idx="330">
                  <c:v>5.2461693487643322</c:v>
                </c:pt>
                <c:pt idx="331">
                  <c:v>4.5387340628358803</c:v>
                </c:pt>
                <c:pt idx="332">
                  <c:v>3.832356637877337</c:v>
                </c:pt>
                <c:pt idx="333">
                  <c:v>3.1270414353834584</c:v>
                </c:pt>
                <c:pt idx="334">
                  <c:v>2.4227926499585997</c:v>
                </c:pt>
                <c:pt idx="335">
                  <c:v>1.7196143103151824</c:v>
                </c:pt>
                <c:pt idx="336">
                  <c:v>1.0175102802804996</c:v>
                </c:pt>
                <c:pt idx="337">
                  <c:v>0.31648425981157891</c:v>
                </c:pt>
                <c:pt idx="338">
                  <c:v>-0.38346021398233571</c:v>
                </c:pt>
                <c:pt idx="339">
                  <c:v>-1.0823197658099326</c:v>
                </c:pt>
                <c:pt idx="340">
                  <c:v>-1.7800911811611706</c:v>
                </c:pt>
                <c:pt idx="341">
                  <c:v>-2.4767714052637957</c:v>
                </c:pt>
                <c:pt idx="342">
                  <c:v>-3.1723575420338639</c:v>
                </c:pt>
                <c:pt idx="343">
                  <c:v>-3.8668468530201507</c:v>
                </c:pt>
                <c:pt idx="344">
                  <c:v>-4.5602367563430839</c:v>
                </c:pt>
                <c:pt idx="345">
                  <c:v>-5.2525248256284103</c:v>
                </c:pt>
                <c:pt idx="346">
                  <c:v>-5.9437087889359761</c:v>
                </c:pt>
                <c:pt idx="347">
                  <c:v>-6.6337865276839283</c:v>
                </c:pt>
                <c:pt idx="348">
                  <c:v>-7.3062622976462936</c:v>
                </c:pt>
                <c:pt idx="349">
                  <c:v>-7.9611614226160992</c:v>
                </c:pt>
                <c:pt idx="350">
                  <c:v>-8.6150045687709031</c:v>
                </c:pt>
                <c:pt idx="351">
                  <c:v>-9.2677906015057232</c:v>
                </c:pt>
                <c:pt idx="352">
                  <c:v>-9.9195185193419277</c:v>
                </c:pt>
                <c:pt idx="353">
                  <c:v>-10.570187452929931</c:v>
                </c:pt>
                <c:pt idx="354">
                  <c:v>-11.219796664050445</c:v>
                </c:pt>
                <c:pt idx="355">
                  <c:v>-11.868345544614325</c:v>
                </c:pt>
                <c:pt idx="356">
                  <c:v>-12.515833615661474</c:v>
                </c:pt>
                <c:pt idx="357">
                  <c:v>-13.162260526358841</c:v>
                </c:pt>
                <c:pt idx="358">
                  <c:v>-13.807626052997986</c:v>
                </c:pt>
                <c:pt idx="359">
                  <c:v>-14.451930097992241</c:v>
                </c:pt>
                <c:pt idx="360">
                  <c:v>-14.752157797972187</c:v>
                </c:pt>
                <c:pt idx="361">
                  <c:v>-14.708914586510982</c:v>
                </c:pt>
                <c:pt idx="362">
                  <c:v>-14.66581841009126</c:v>
                </c:pt>
                <c:pt idx="363">
                  <c:v>-14.622868615023666</c:v>
                </c:pt>
                <c:pt idx="364">
                  <c:v>-14.580064551303149</c:v>
                </c:pt>
                <c:pt idx="365">
                  <c:v>-14.537405572583971</c:v>
                </c:pt>
                <c:pt idx="366">
                  <c:v>-14.494891036154961</c:v>
                </c:pt>
                <c:pt idx="367">
                  <c:v>-14.452520302914946</c:v>
                </c:pt>
                <c:pt idx="368">
                  <c:v>-14.410292737348405</c:v>
                </c:pt>
                <c:pt idx="369">
                  <c:v>-14.368207707501274</c:v>
                </c:pt>
                <c:pt idx="370">
                  <c:v>-14.326264584956981</c:v>
                </c:pt>
                <c:pt idx="371">
                  <c:v>-14.284462744812636</c:v>
                </c:pt>
                <c:pt idx="372">
                  <c:v>-14.242801565655441</c:v>
                </c:pt>
                <c:pt idx="373">
                  <c:v>-14.201280429539253</c:v>
                </c:pt>
                <c:pt idx="374">
                  <c:v>-14.159898721961353</c:v>
                </c:pt>
                <c:pt idx="375">
                  <c:v>-14.118655831839376</c:v>
                </c:pt>
                <c:pt idx="376">
                  <c:v>-14.077551151488487</c:v>
                </c:pt>
                <c:pt idx="377">
                  <c:v>-14.036584076598613</c:v>
                </c:pt>
                <c:pt idx="378">
                  <c:v>-13.995754006211973</c:v>
                </c:pt>
                <c:pt idx="379">
                  <c:v>-13.955060342700721</c:v>
                </c:pt>
                <c:pt idx="380">
                  <c:v>-13.914502491744788</c:v>
                </c:pt>
                <c:pt idx="381">
                  <c:v>-13.874079862309861</c:v>
                </c:pt>
                <c:pt idx="382">
                  <c:v>-13.833791866625596</c:v>
                </c:pt>
                <c:pt idx="383">
                  <c:v>-13.793637920163913</c:v>
                </c:pt>
                <c:pt idx="384">
                  <c:v>-13.753617441617561</c:v>
                </c:pt>
                <c:pt idx="385">
                  <c:v>-13.713729852878757</c:v>
                </c:pt>
                <c:pt idx="386">
                  <c:v>-13.673974579018054</c:v>
                </c:pt>
                <c:pt idx="387">
                  <c:v>-13.634351048263346</c:v>
                </c:pt>
                <c:pt idx="388">
                  <c:v>-13.594858691979029</c:v>
                </c:pt>
                <c:pt idx="389">
                  <c:v>-13.555496944645322</c:v>
                </c:pt>
                <c:pt idx="390">
                  <c:v>-13.5162652438378</c:v>
                </c:pt>
                <c:pt idx="391">
                  <c:v>-13.477163030206993</c:v>
                </c:pt>
                <c:pt idx="392">
                  <c:v>-13.438189747458228</c:v>
                </c:pt>
                <c:pt idx="393">
                  <c:v>-13.399344842331567</c:v>
                </c:pt>
                <c:pt idx="394">
                  <c:v>-13.36062776458192</c:v>
                </c:pt>
                <c:pt idx="395">
                  <c:v>-13.322037966959327</c:v>
                </c:pt>
                <c:pt idx="396">
                  <c:v>-13.283574905189383</c:v>
                </c:pt>
                <c:pt idx="397">
                  <c:v>-13.245238037953742</c:v>
                </c:pt>
                <c:pt idx="398">
                  <c:v>-13.207026826870944</c:v>
                </c:pt>
                <c:pt idx="399">
                  <c:v>-13.168940736477147</c:v>
                </c:pt>
                <c:pt idx="400">
                  <c:v>-13.130979234207258</c:v>
                </c:pt>
                <c:pt idx="401">
                  <c:v>-13.093141790375988</c:v>
                </c:pt>
                <c:pt idx="402">
                  <c:v>-12.718865313153524</c:v>
                </c:pt>
                <c:pt idx="403">
                  <c:v>-12.356635610784251</c:v>
                </c:pt>
                <c:pt idx="404">
                  <c:v>-12.005953341036101</c:v>
                </c:pt>
                <c:pt idx="405">
                  <c:v>-11.666345267102468</c:v>
                </c:pt>
                <c:pt idx="406">
                  <c:v>-11.337362632413132</c:v>
                </c:pt>
                <c:pt idx="407">
                  <c:v>-11.018579652844357</c:v>
                </c:pt>
                <c:pt idx="408">
                  <c:v>-10.709592116707396</c:v>
                </c:pt>
                <c:pt idx="409">
                  <c:v>-10.410016083774675</c:v>
                </c:pt>
                <c:pt idx="410">
                  <c:v>-10.119486675394615</c:v>
                </c:pt>
                <c:pt idx="411">
                  <c:v>-9.8376569484583314</c:v>
                </c:pt>
                <c:pt idx="412">
                  <c:v>-9.5641968466235845</c:v>
                </c:pt>
                <c:pt idx="413">
                  <c:v>-9.2987922227807136</c:v>
                </c:pt>
                <c:pt idx="414">
                  <c:v>-9.0411439272683118</c:v>
                </c:pt>
                <c:pt idx="415">
                  <c:v>-8.7909669568194158</c:v>
                </c:pt>
                <c:pt idx="416">
                  <c:v>-8.5479896596472607</c:v>
                </c:pt>
                <c:pt idx="417">
                  <c:v>-8.3119529924670896</c:v>
                </c:pt>
                <c:pt idx="418">
                  <c:v>-8.0826098256025762</c:v>
                </c:pt>
                <c:pt idx="419">
                  <c:v>-7.8597242926443665</c:v>
                </c:pt>
                <c:pt idx="420">
                  <c:v>-7.643071181418418</c:v>
                </c:pt>
                <c:pt idx="421">
                  <c:v>-7.4324353632855198</c:v>
                </c:pt>
                <c:pt idx="422">
                  <c:v>-7.2276112580335559</c:v>
                </c:pt>
                <c:pt idx="423">
                  <c:v>-7.0284023318426669</c:v>
                </c:pt>
                <c:pt idx="424">
                  <c:v>-6.8346206260031135</c:v>
                </c:pt>
                <c:pt idx="425">
                  <c:v>-6.6460863142474773</c:v>
                </c:pt>
                <c:pt idx="426">
                  <c:v>-6.4626272867253176</c:v>
                </c:pt>
                <c:pt idx="427">
                  <c:v>-6.2840787588002405</c:v>
                </c:pt>
                <c:pt idx="428">
                  <c:v>-6.1102829029885219</c:v>
                </c:pt>
                <c:pt idx="429">
                  <c:v>-5.9410885024856785</c:v>
                </c:pt>
                <c:pt idx="430">
                  <c:v>-5.7763506248441763</c:v>
                </c:pt>
                <c:pt idx="431">
                  <c:v>-5.6159303144723882</c:v>
                </c:pt>
                <c:pt idx="432">
                  <c:v>-5.4596943027232223</c:v>
                </c:pt>
                <c:pt idx="433">
                  <c:v>-5.3075147344309155</c:v>
                </c:pt>
                <c:pt idx="434">
                  <c:v>-5.1592689098376168</c:v>
                </c:pt>
                <c:pt idx="435">
                  <c:v>-5.0148390409273977</c:v>
                </c:pt>
                <c:pt idx="436">
                  <c:v>-4.8741120212557254</c:v>
                </c:pt>
                <c:pt idx="437">
                  <c:v>-4.736979208426968</c:v>
                </c:pt>
                <c:pt idx="438">
                  <c:v>-4.6033362184321911</c:v>
                </c:pt>
                <c:pt idx="439">
                  <c:v>-4.4730827311143502</c:v>
                </c:pt>
                <c:pt idx="440">
                  <c:v>-4.3461223060788505</c:v>
                </c:pt>
                <c:pt idx="441">
                  <c:v>-4.2223622084141885</c:v>
                </c:pt>
                <c:pt idx="442">
                  <c:v>-4.1017132436307415</c:v>
                </c:pt>
                <c:pt idx="443">
                  <c:v>-3.9840896012657923</c:v>
                </c:pt>
                <c:pt idx="444">
                  <c:v>-3.8694087066399092</c:v>
                </c:pt>
                <c:pt idx="445">
                  <c:v>-3.7575910802841448</c:v>
                </c:pt>
                <c:pt idx="446">
                  <c:v>-3.6485602045891885</c:v>
                </c:pt>
                <c:pt idx="447">
                  <c:v>-3.5422423972572079</c:v>
                </c:pt>
                <c:pt idx="448">
                  <c:v>-3.4385666911642763</c:v>
                </c:pt>
                <c:pt idx="449">
                  <c:v>-3.3374647202667331</c:v>
                </c:pt>
                <c:pt idx="450">
                  <c:v>-3.2388706112083065</c:v>
                </c:pt>
                <c:pt idx="451">
                  <c:v>-3.1427208803067304</c:v>
                </c:pt>
                <c:pt idx="452">
                  <c:v>-3.0489543356188666</c:v>
                </c:pt>
                <c:pt idx="453">
                  <c:v>-2.9575119838022697</c:v>
                </c:pt>
                <c:pt idx="454">
                  <c:v>-2.8683369415087099</c:v>
                </c:pt>
                <c:pt idx="455">
                  <c:v>-2.7813743510615536</c:v>
                </c:pt>
                <c:pt idx="456">
                  <c:v>-2.6965713001841003</c:v>
                </c:pt>
                <c:pt idx="457">
                  <c:v>-2.6138767455602374</c:v>
                </c:pt>
                <c:pt idx="458">
                  <c:v>-2.5332414400219814</c:v>
                </c:pt>
                <c:pt idx="459">
                  <c:v>-2.4546178631708395</c:v>
                </c:pt>
                <c:pt idx="460">
                  <c:v>-2.3779601552514342</c:v>
                </c:pt>
                <c:pt idx="461">
                  <c:v>-2.3032240541065949</c:v>
                </c:pt>
                <c:pt idx="462">
                  <c:v>-2.230366835053192</c:v>
                </c:pt>
                <c:pt idx="463">
                  <c:v>-2.1593472535272946</c:v>
                </c:pt>
                <c:pt idx="464">
                  <c:v>-2.0901254903560864</c:v>
                </c:pt>
                <c:pt idx="465">
                  <c:v>-2.0226630995221018</c:v>
                </c:pt>
                <c:pt idx="466">
                  <c:v>-1.9569229582930066</c:v>
                </c:pt>
                <c:pt idx="467">
                  <c:v>-1.8928692195973562</c:v>
                </c:pt>
                <c:pt idx="468">
                  <c:v>-1.8304672665333874</c:v>
                </c:pt>
                <c:pt idx="469">
                  <c:v>-1.7696836689042119</c:v>
                </c:pt>
                <c:pt idx="470">
                  <c:v>-1.7104861416786163</c:v>
                </c:pt>
                <c:pt idx="471">
                  <c:v>-1.6528435052821395</c:v>
                </c:pt>
                <c:pt idx="472">
                  <c:v>-1.5967256476282456</c:v>
                </c:pt>
                <c:pt idx="473">
                  <c:v>-1.5421034878041533</c:v>
                </c:pt>
                <c:pt idx="474">
                  <c:v>-1.4889489413303876</c:v>
                </c:pt>
                <c:pt idx="475">
                  <c:v>-1.437234886917274</c:v>
                </c:pt>
                <c:pt idx="476">
                  <c:v>-1.3869351346454883</c:v>
                </c:pt>
                <c:pt idx="477">
                  <c:v>-1.3380243955014171</c:v>
                </c:pt>
                <c:pt idx="478">
                  <c:v>-1.2904782522014271</c:v>
                </c:pt>
                <c:pt idx="479">
                  <c:v>-1.2442731312423039</c:v>
                </c:pt>
                <c:pt idx="480">
                  <c:v>-1.1993862761180223</c:v>
                </c:pt>
                <c:pt idx="481">
                  <c:v>-1.155795721645674</c:v>
                </c:pt>
                <c:pt idx="482">
                  <c:v>-1.1134802693458647</c:v>
                </c:pt>
                <c:pt idx="483">
                  <c:v>-1.0724194638251652</c:v>
                </c:pt>
                <c:pt idx="484">
                  <c:v>-1.0325935701102424</c:v>
                </c:pt>
                <c:pt idx="485">
                  <c:v>-0.99398355188520493</c:v>
                </c:pt>
                <c:pt idx="486">
                  <c:v>-0.95657105058531866</c:v>
                </c:pt>
                <c:pt idx="487">
                  <c:v>-0.9203383653018089</c:v>
                </c:pt>
                <c:pt idx="488">
                  <c:v>-0.88526843345369566</c:v>
                </c:pt>
                <c:pt idx="489">
                  <c:v>-0.851344812183781</c:v>
                </c:pt>
                <c:pt idx="490">
                  <c:v>-0.81855166043679295</c:v>
                </c:pt>
                <c:pt idx="491">
                  <c:v>-0.78687372167845426</c:v>
                </c:pt>
                <c:pt idx="492">
                  <c:v>-0.75629630721479058</c:v>
                </c:pt>
                <c:pt idx="493">
                  <c:v>-0.7268052800713477</c:v>
                </c:pt>
                <c:pt idx="494">
                  <c:v>-0.69838703939217717</c:v>
                </c:pt>
                <c:pt idx="495">
                  <c:v>-0.67102850531842373</c:v>
                </c:pt>
                <c:pt idx="496">
                  <c:v>-0.64471710430615792</c:v>
                </c:pt>
                <c:pt idx="497">
                  <c:v>-0.61944075484271099</c:v>
                </c:pt>
                <c:pt idx="498">
                  <c:v>-0.59518785352022641</c:v>
                </c:pt>
                <c:pt idx="499">
                  <c:v>-0.57194726142441921</c:v>
                </c:pt>
                <c:pt idx="500">
                  <c:v>-0.5497082907956895</c:v>
                </c:pt>
                <c:pt idx="501">
                  <c:v>-0.52846069191876321</c:v>
                </c:pt>
                <c:pt idx="502">
                  <c:v>-0.50819464019598592</c:v>
                </c:pt>
                <c:pt idx="503">
                  <c:v>-0.48890072335830831</c:v>
                </c:pt>
                <c:pt idx="504">
                  <c:v>-0.47056992876695591</c:v>
                </c:pt>
                <c:pt idx="505">
                  <c:v>-0.45319363075781649</c:v>
                </c:pt>
                <c:pt idx="506">
                  <c:v>-0.43676357797981907</c:v>
                </c:pt>
                <c:pt idx="507">
                  <c:v>-0.42127188067814825</c:v>
                </c:pt>
                <c:pt idx="508">
                  <c:v>-0.406710997873104</c:v>
                </c:pt>
                <c:pt idx="509">
                  <c:v>-0.39307372438602262</c:v>
                </c:pt>
                <c:pt idx="510">
                  <c:v>-0.38035317766498244</c:v>
                </c:pt>
                <c:pt idx="511">
                  <c:v>-0.36854278436529769</c:v>
                </c:pt>
                <c:pt idx="512">
                  <c:v>-0.35763626664314568</c:v>
                </c:pt>
                <c:pt idx="513">
                  <c:v>-0.34762762812531756</c:v>
                </c:pt>
                <c:pt idx="514">
                  <c:v>-0.33851113952411988</c:v>
                </c:pt>
                <c:pt idx="515">
                  <c:v>-0.33028132387400028</c:v>
                </c:pt>
                <c:pt idx="516">
                  <c:v>-0.32293294137559081</c:v>
                </c:pt>
                <c:pt idx="517">
                  <c:v>-0.31646097384345973</c:v>
                </c:pt>
                <c:pt idx="518">
                  <c:v>-0.31086060876584121</c:v>
                </c:pt>
                <c:pt idx="519">
                  <c:v>-0.30612722299769229</c:v>
                </c:pt>
                <c:pt idx="520">
                  <c:v>-0.30225636612222884</c:v>
                </c:pt>
                <c:pt idx="521">
                  <c:v>-0.29924374353014571</c:v>
                </c:pt>
                <c:pt idx="522">
                  <c:v>-0.29708519927943011</c:v>
                </c:pt>
                <c:pt idx="523">
                  <c:v>-0.29577669881141411</c:v>
                </c:pt>
                <c:pt idx="524">
                  <c:v>-0.29531431160981475</c:v>
                </c:pt>
                <c:pt idx="525">
                  <c:v>-0.29569419389837809</c:v>
                </c:pt>
                <c:pt idx="526">
                  <c:v>-0.29691257147886146</c:v>
                </c:pt>
                <c:pt idx="527">
                  <c:v>-0.29896572281409151</c:v>
                </c:pt>
                <c:pt idx="528">
                  <c:v>-0.30184996246054624</c:v>
                </c:pt>
                <c:pt idx="529">
                  <c:v>-0.30556162495135297</c:v>
                </c:pt>
                <c:pt idx="530">
                  <c:v>-0.3100970492239899</c:v>
                </c:pt>
                <c:pt idx="531">
                  <c:v>-0.31545256367775409</c:v>
                </c:pt>
                <c:pt idx="532">
                  <c:v>-0.32162447193473126</c:v>
                </c:pt>
                <c:pt idx="533">
                  <c:v>-0.32860903936522429</c:v>
                </c:pt>
                <c:pt idx="534">
                  <c:v>-0.33640248042502335</c:v>
                </c:pt>
                <c:pt idx="535">
                  <c:v>-0.3450009468381513</c:v>
                </c:pt>
                <c:pt idx="536">
                  <c:v>-0.35440051664539207</c:v>
                </c:pt>
                <c:pt idx="537">
                  <c:v>-0.36459718412644099</c:v>
                </c:pt>
                <c:pt idx="538">
                  <c:v>-0.37558685059228292</c:v>
                </c:pt>
                <c:pt idx="539">
                  <c:v>-0.38736531603462893</c:v>
                </c:pt>
                <c:pt idx="540">
                  <c:v>-0.3999282716110395</c:v>
                </c:pt>
                <c:pt idx="541">
                  <c:v>-0.41327129293776349</c:v>
                </c:pt>
                <c:pt idx="542">
                  <c:v>-0.42738983415726017</c:v>
                </c:pt>
                <c:pt idx="543">
                  <c:v>-0.4422792227437351</c:v>
                </c:pt>
                <c:pt idx="544">
                  <c:v>-0.45793465500765679</c:v>
                </c:pt>
                <c:pt idx="545">
                  <c:v>-0.47435119225895023</c:v>
                </c:pt>
                <c:pt idx="546">
                  <c:v>-0.4915237575882126</c:v>
                </c:pt>
                <c:pt idx="547">
                  <c:v>-0.5094471332256868</c:v>
                </c:pt>
                <c:pt idx="548">
                  <c:v>-0.52811595843869086</c:v>
                </c:pt>
                <c:pt idx="549">
                  <c:v>-0.54752472792960905</c:v>
                </c:pt>
                <c:pt idx="550">
                  <c:v>-0.56766779069825157</c:v>
                </c:pt>
                <c:pt idx="551">
                  <c:v>-0.58853934933430507</c:v>
                </c:pt>
                <c:pt idx="552">
                  <c:v>-0.61013345970761013</c:v>
                </c:pt>
                <c:pt idx="553">
                  <c:v>-0.63244403102606872</c:v>
                </c:pt>
                <c:pt idx="554">
                  <c:v>-0.65546482623305014</c:v>
                </c:pt>
                <c:pt idx="555">
                  <c:v>-0.67918946271815661</c:v>
                </c:pt>
                <c:pt idx="556">
                  <c:v>-0.70361141331714572</c:v>
                </c:pt>
                <c:pt idx="557">
                  <c:v>-0.72872400757863121</c:v>
                </c:pt>
                <c:pt idx="558">
                  <c:v>-0.75452043327690566</c:v>
                </c:pt>
                <c:pt idx="559">
                  <c:v>-0.78099373815182327</c:v>
                </c:pt>
                <c:pt idx="560">
                  <c:v>-0.80813683185816299</c:v>
                </c:pt>
                <c:pt idx="561">
                  <c:v>-0.83594248810826211</c:v>
                </c:pt>
                <c:pt idx="562">
                  <c:v>-0.86440334699294408</c:v>
                </c:pt>
                <c:pt idx="563">
                  <c:v>-0.89351191746692016</c:v>
                </c:pt>
                <c:pt idx="564">
                  <c:v>-0.92326057998586109</c:v>
                </c:pt>
                <c:pt idx="565">
                  <c:v>-0.95364158928330067</c:v>
                </c:pt>
                <c:pt idx="566">
                  <c:v>-0.98464707727635226</c:v>
                </c:pt>
                <c:pt idx="567">
                  <c:v>-1.0162690560900229</c:v>
                </c:pt>
                <c:pt idx="568">
                  <c:v>-1.0484994211905772</c:v>
                </c:pt>
                <c:pt idx="569">
                  <c:v>-1.0813299546190578</c:v>
                </c:pt>
                <c:pt idx="570">
                  <c:v>-1.1147523283166074</c:v>
                </c:pt>
                <c:pt idx="571">
                  <c:v>-1.1487581075337803</c:v>
                </c:pt>
                <c:pt idx="572">
                  <c:v>-1.1833387543164697</c:v>
                </c:pt>
                <c:pt idx="573">
                  <c:v>-1.218485631061518</c:v>
                </c:pt>
                <c:pt idx="574">
                  <c:v>-1.2541900041354317</c:v>
                </c:pt>
                <c:pt idx="575">
                  <c:v>-1.2904430475499913</c:v>
                </c:pt>
                <c:pt idx="576">
                  <c:v>-1.3272358466888503</c:v>
                </c:pt>
                <c:pt idx="577">
                  <c:v>-1.3645594020794833</c:v>
                </c:pt>
                <c:pt idx="578">
                  <c:v>-1.4024046332051534</c:v>
                </c:pt>
                <c:pt idx="579">
                  <c:v>-1.4407623823517426</c:v>
                </c:pt>
                <c:pt idx="580">
                  <c:v>-1.4796234184845638</c:v>
                </c:pt>
                <c:pt idx="581">
                  <c:v>-1.5189784411504426</c:v>
                </c:pt>
                <c:pt idx="582">
                  <c:v>-1.558818084400563</c:v>
                </c:pt>
                <c:pt idx="583">
                  <c:v>-1.5991329207297231</c:v>
                </c:pt>
                <c:pt idx="584">
                  <c:v>-1.6399134650278355</c:v>
                </c:pt>
                <c:pt idx="585">
                  <c:v>-1.6811501785396457</c:v>
                </c:pt>
                <c:pt idx="586">
                  <c:v>-1.7228334728287702</c:v>
                </c:pt>
                <c:pt idx="587">
                  <c:v>-1.7649537137423301</c:v>
                </c:pt>
                <c:pt idx="588">
                  <c:v>-1.807501225372542</c:v>
                </c:pt>
                <c:pt idx="589">
                  <c:v>-1.8504662940117758</c:v>
                </c:pt>
                <c:pt idx="590">
                  <c:v>-1.8938391720977024</c:v>
                </c:pt>
                <c:pt idx="591">
                  <c:v>-1.9376100821452631</c:v>
                </c:pt>
                <c:pt idx="592">
                  <c:v>-1.9817692206622939</c:v>
                </c:pt>
                <c:pt idx="593">
                  <c:v>-2.0263067620457624</c:v>
                </c:pt>
                <c:pt idx="594">
                  <c:v>-2.0712128624556647</c:v>
                </c:pt>
                <c:pt idx="595">
                  <c:v>-2.116477663663721</c:v>
                </c:pt>
                <c:pt idx="596">
                  <c:v>-2.1620912968741197</c:v>
                </c:pt>
                <c:pt idx="597">
                  <c:v>-2.2080438865136682</c:v>
                </c:pt>
                <c:pt idx="598">
                  <c:v>-2.254325553988747</c:v>
                </c:pt>
                <c:pt idx="599">
                  <c:v>-2.3009264214066358</c:v>
                </c:pt>
                <c:pt idx="600">
                  <c:v>-2.3478366152587946</c:v>
                </c:pt>
                <c:pt idx="601">
                  <c:v>-2.395046270063828</c:v>
                </c:pt>
                <c:pt idx="602">
                  <c:v>-2.4425455319679177</c:v>
                </c:pt>
                <c:pt idx="603">
                  <c:v>-2.4903245623006076</c:v>
                </c:pt>
                <c:pt idx="604">
                  <c:v>-2.5383735410839083</c:v>
                </c:pt>
                <c:pt idx="605">
                  <c:v>-2.5866826704927859</c:v>
                </c:pt>
                <c:pt idx="606">
                  <c:v>-2.6352421782651585</c:v>
                </c:pt>
                <c:pt idx="607">
                  <c:v>-2.6840423210596418</c:v>
                </c:pt>
                <c:pt idx="608">
                  <c:v>-2.7330733877593332</c:v>
                </c:pt>
                <c:pt idx="609">
                  <c:v>-2.782325702720053</c:v>
                </c:pt>
                <c:pt idx="610">
                  <c:v>-2.8317896289614755</c:v>
                </c:pt>
                <c:pt idx="611">
                  <c:v>-2.8814555712997532</c:v>
                </c:pt>
                <c:pt idx="612">
                  <c:v>-2.9313139794202212</c:v>
                </c:pt>
                <c:pt idx="613">
                  <c:v>-2.9813553508889372</c:v>
                </c:pt>
                <c:pt idx="614">
                  <c:v>-3.0315702341018347</c:v>
                </c:pt>
                <c:pt idx="615">
                  <c:v>-3.0819492311703556</c:v>
                </c:pt>
                <c:pt idx="616">
                  <c:v>-3.1324830007425306</c:v>
                </c:pt>
                <c:pt idx="617">
                  <c:v>-3.1831622607585324</c:v>
                </c:pt>
                <c:pt idx="618">
                  <c:v>-3.233977791139802</c:v>
                </c:pt>
                <c:pt idx="619">
                  <c:v>-3.2849204364109266</c:v>
                </c:pt>
                <c:pt idx="620">
                  <c:v>-3.3359811082535349</c:v>
                </c:pt>
                <c:pt idx="621">
                  <c:v>-3.3871507879915299</c:v>
                </c:pt>
                <c:pt idx="622">
                  <c:v>-3.4384205290070611</c:v>
                </c:pt>
                <c:pt idx="623">
                  <c:v>-3.4897814590867151</c:v>
                </c:pt>
                <c:pt idx="624">
                  <c:v>-3.541224782697447</c:v>
                </c:pt>
                <c:pt idx="625">
                  <c:v>-3.5927417831918933</c:v>
                </c:pt>
                <c:pt idx="626">
                  <c:v>-3.6443238249427297</c:v>
                </c:pt>
                <c:pt idx="627">
                  <c:v>-3.6959623554058054</c:v>
                </c:pt>
                <c:pt idx="628">
                  <c:v>-3.7476489071118944</c:v>
                </c:pt>
                <c:pt idx="629">
                  <c:v>-3.7993750995869258</c:v>
                </c:pt>
                <c:pt idx="630">
                  <c:v>-3.851132641200619</c:v>
                </c:pt>
                <c:pt idx="631">
                  <c:v>-3.9029133309435475</c:v>
                </c:pt>
                <c:pt idx="632">
                  <c:v>-3.9547090601326582</c:v>
                </c:pt>
                <c:pt idx="633">
                  <c:v>-4.0065118140454308</c:v>
                </c:pt>
                <c:pt idx="634">
                  <c:v>-4.0583136734827407</c:v>
                </c:pt>
                <c:pt idx="635">
                  <c:v>-4.1101068162607639</c:v>
                </c:pt>
                <c:pt idx="636">
                  <c:v>-4.1618835186321741</c:v>
                </c:pt>
                <c:pt idx="637">
                  <c:v>-4.2136361566369231</c:v>
                </c:pt>
                <c:pt idx="638">
                  <c:v>-4.2653572073830741</c:v>
                </c:pt>
                <c:pt idx="639">
                  <c:v>-4.3170392502580475</c:v>
                </c:pt>
                <c:pt idx="640">
                  <c:v>-4.3686749680708292</c:v>
                </c:pt>
                <c:pt idx="641">
                  <c:v>-4.4202571481256214</c:v>
                </c:pt>
                <c:pt idx="642">
                  <c:v>-4.4717786832275674</c:v>
                </c:pt>
                <c:pt idx="643">
                  <c:v>-4.5232325726211</c:v>
                </c:pt>
                <c:pt idx="644">
                  <c:v>-4.5746119228616502</c:v>
                </c:pt>
                <c:pt idx="645">
                  <c:v>-4.6259099486213566</c:v>
                </c:pt>
                <c:pt idx="646">
                  <c:v>-4.6771199734295541</c:v>
                </c:pt>
                <c:pt idx="647">
                  <c:v>-4.728235430348791</c:v>
                </c:pt>
                <c:pt idx="648">
                  <c:v>-4.779249862587208</c:v>
                </c:pt>
                <c:pt idx="649">
                  <c:v>-4.8301569240480919</c:v>
                </c:pt>
                <c:pt idx="650">
                  <c:v>-4.8809503798175218</c:v>
                </c:pt>
                <c:pt idx="651">
                  <c:v>-4.9316241065909763</c:v>
                </c:pt>
                <c:pt idx="652">
                  <c:v>-4.9821720930398445</c:v>
                </c:pt>
                <c:pt idx="653">
                  <c:v>-5.0325884401188148</c:v>
                </c:pt>
                <c:pt idx="654">
                  <c:v>-5.0828673613151167</c:v>
                </c:pt>
                <c:pt idx="655">
                  <c:v>-5.1330031828406106</c:v>
                </c:pt>
                <c:pt idx="656">
                  <c:v>-5.1829903437677984</c:v>
                </c:pt>
                <c:pt idx="657">
                  <c:v>-5.2328233961107475</c:v>
                </c:pt>
                <c:pt idx="658">
                  <c:v>-5.2824970048520647</c:v>
                </c:pt>
                <c:pt idx="659">
                  <c:v>-5.3320059479169375</c:v>
                </c:pt>
                <c:pt idx="660">
                  <c:v>-5.3813451160954289</c:v>
                </c:pt>
                <c:pt idx="661">
                  <c:v>-5.4305095129140497</c:v>
                </c:pt>
                <c:pt idx="662">
                  <c:v>-5.4794942544578324</c:v>
                </c:pt>
                <c:pt idx="663">
                  <c:v>-5.5282945691439886</c:v>
                </c:pt>
                <c:pt idx="664">
                  <c:v>-5.5769057974483101</c:v>
                </c:pt>
                <c:pt idx="665">
                  <c:v>-5.6253233915855274</c:v>
                </c:pt>
                <c:pt idx="666">
                  <c:v>-5.6735429151447141</c:v>
                </c:pt>
                <c:pt idx="667">
                  <c:v>-5.7215600426809869</c:v>
                </c:pt>
                <c:pt idx="668">
                  <c:v>-5.7693705592646536</c:v>
                </c:pt>
                <c:pt idx="669">
                  <c:v>-5.8169703599889706</c:v>
                </c:pt>
                <c:pt idx="670">
                  <c:v>-5.8643554494377597</c:v>
                </c:pt>
                <c:pt idx="671">
                  <c:v>-5.911521941114005</c:v>
                </c:pt>
                <c:pt idx="672">
                  <c:v>-5.9584660568306731</c:v>
                </c:pt>
                <c:pt idx="673">
                  <c:v>-6.0051841260649121</c:v>
                </c:pt>
                <c:pt idx="674">
                  <c:v>-6.0516725852768412</c:v>
                </c:pt>
                <c:pt idx="675">
                  <c:v>-6.0979279771941046</c:v>
                </c:pt>
                <c:pt idx="676">
                  <c:v>-6.1439469500633574</c:v>
                </c:pt>
                <c:pt idx="677">
                  <c:v>-6.1897262568698945</c:v>
                </c:pt>
                <c:pt idx="678">
                  <c:v>-6.2352627545265475</c:v>
                </c:pt>
                <c:pt idx="679">
                  <c:v>-6.2805534030330454</c:v>
                </c:pt>
                <c:pt idx="680">
                  <c:v>-6.3255952646070144</c:v>
                </c:pt>
                <c:pt idx="681">
                  <c:v>-6.3703855027876726</c:v>
                </c:pt>
                <c:pt idx="682">
                  <c:v>-6.4149213815134809</c:v>
                </c:pt>
                <c:pt idx="683">
                  <c:v>-6.4592002641748003</c:v>
                </c:pt>
                <c:pt idx="684">
                  <c:v>-6.5032196126426633</c:v>
                </c:pt>
                <c:pt idx="685">
                  <c:v>-6.5469769862748466</c:v>
                </c:pt>
                <c:pt idx="686">
                  <c:v>-6.5904700409002288</c:v>
                </c:pt>
                <c:pt idx="687">
                  <c:v>-6.6336965277826252</c:v>
                </c:pt>
                <c:pt idx="688">
                  <c:v>-6.6766542925650718</c:v>
                </c:pt>
                <c:pt idx="689">
                  <c:v>-6.7193412741956777</c:v>
                </c:pt>
                <c:pt idx="690">
                  <c:v>-6.7617555038360599</c:v>
                </c:pt>
                <c:pt idx="691">
                  <c:v>-6.8038951037533835</c:v>
                </c:pt>
                <c:pt idx="692">
                  <c:v>-6.8457582861970305</c:v>
                </c:pt>
                <c:pt idx="693">
                  <c:v>-6.887343352260876</c:v>
                </c:pt>
                <c:pt idx="694">
                  <c:v>-6.9286486907321567</c:v>
                </c:pt>
                <c:pt idx="695">
                  <c:v>-6.9696727769278946</c:v>
                </c:pt>
                <c:pt idx="696">
                  <c:v>-7.0104141715198187</c:v>
                </c:pt>
                <c:pt idx="697">
                  <c:v>-7.0508715193487053</c:v>
                </c:pt>
                <c:pt idx="698">
                  <c:v>-7.0910435482290586</c:v>
                </c:pt>
                <c:pt idx="699">
                  <c:v>-7.1309290677449964</c:v>
                </c:pt>
                <c:pt idx="700">
                  <c:v>-7.1705269680382679</c:v>
                </c:pt>
                <c:pt idx="701">
                  <c:v>-7.2098362185891904</c:v>
                </c:pt>
                <c:pt idx="702">
                  <c:v>-7.2488558669913967</c:v>
                </c:pt>
                <c:pt idx="703">
                  <c:v>-7.2875850377211639</c:v>
                </c:pt>
                <c:pt idx="704">
                  <c:v>-7.3260229309022193</c:v>
                </c:pt>
                <c:pt idx="705">
                  <c:v>-7.3641688210666105</c:v>
                </c:pt>
                <c:pt idx="706">
                  <c:v>-7.4020220559126626</c:v>
                </c:pt>
                <c:pt idx="707">
                  <c:v>-7.4020595335390604</c:v>
                </c:pt>
                <c:pt idx="708">
                  <c:v>-7.4020970108751545</c:v>
                </c:pt>
                <c:pt idx="709">
                  <c:v>-7.4021344879209456</c:v>
                </c:pt>
                <c:pt idx="710">
                  <c:v>-7.4021719646764295</c:v>
                </c:pt>
                <c:pt idx="711">
                  <c:v>-7.4022094411416148</c:v>
                </c:pt>
                <c:pt idx="712">
                  <c:v>-7.4022469173164973</c:v>
                </c:pt>
                <c:pt idx="713">
                  <c:v>-7.4022843932010716</c:v>
                </c:pt>
                <c:pt idx="714">
                  <c:v>-7.402321868795342</c:v>
                </c:pt>
                <c:pt idx="715">
                  <c:v>-7.4023593440993096</c:v>
                </c:pt>
                <c:pt idx="716">
                  <c:v>-7.4023968191129681</c:v>
                </c:pt>
                <c:pt idx="717">
                  <c:v>-7.4024342938363201</c:v>
                </c:pt>
                <c:pt idx="718">
                  <c:v>-7.4024717682693604</c:v>
                </c:pt>
                <c:pt idx="719">
                  <c:v>-7.4025092424120995</c:v>
                </c:pt>
                <c:pt idx="720">
                  <c:v>-7.4025467162645295</c:v>
                </c:pt>
                <c:pt idx="721">
                  <c:v>-7.4025841898266487</c:v>
                </c:pt>
                <c:pt idx="722">
                  <c:v>-7.4026216630984578</c:v>
                </c:pt>
                <c:pt idx="723">
                  <c:v>-7.402659136079957</c:v>
                </c:pt>
                <c:pt idx="724">
                  <c:v>-7.402696608771147</c:v>
                </c:pt>
                <c:pt idx="725">
                  <c:v>-7.402734081172027</c:v>
                </c:pt>
                <c:pt idx="726">
                  <c:v>-7.4027715532825944</c:v>
                </c:pt>
                <c:pt idx="727">
                  <c:v>-7.4028090251028464</c:v>
                </c:pt>
                <c:pt idx="728">
                  <c:v>-7.4028464966327929</c:v>
                </c:pt>
                <c:pt idx="729">
                  <c:v>-7.4028839678724232</c:v>
                </c:pt>
                <c:pt idx="730">
                  <c:v>-7.4029214388217408</c:v>
                </c:pt>
                <c:pt idx="731">
                  <c:v>-7.4029589094807431</c:v>
                </c:pt>
                <c:pt idx="732">
                  <c:v>-7.4029963798494345</c:v>
                </c:pt>
                <c:pt idx="733">
                  <c:v>-7.4030338499278079</c:v>
                </c:pt>
                <c:pt idx="734">
                  <c:v>-7.4030713197158615</c:v>
                </c:pt>
                <c:pt idx="735">
                  <c:v>-7.4031087892136069</c:v>
                </c:pt>
                <c:pt idx="736">
                  <c:v>-7.4031462584210352</c:v>
                </c:pt>
                <c:pt idx="737">
                  <c:v>-7.4031837273381367</c:v>
                </c:pt>
                <c:pt idx="738">
                  <c:v>-7.4032211959649281</c:v>
                </c:pt>
                <c:pt idx="739">
                  <c:v>-7.4032586643013989</c:v>
                </c:pt>
                <c:pt idx="740">
                  <c:v>-7.4032961323475535</c:v>
                </c:pt>
                <c:pt idx="741">
                  <c:v>-7.4033336001033883</c:v>
                </c:pt>
                <c:pt idx="742">
                  <c:v>-7.4033710675689033</c:v>
                </c:pt>
                <c:pt idx="743">
                  <c:v>-7.4034085347440994</c:v>
                </c:pt>
                <c:pt idx="744">
                  <c:v>-7.403446001628974</c:v>
                </c:pt>
                <c:pt idx="745">
                  <c:v>-7.4034834682235271</c:v>
                </c:pt>
                <c:pt idx="746">
                  <c:v>-7.4035209345277551</c:v>
                </c:pt>
                <c:pt idx="747">
                  <c:v>-7.403558400541665</c:v>
                </c:pt>
                <c:pt idx="748">
                  <c:v>-7.4035958662652535</c:v>
                </c:pt>
                <c:pt idx="749">
                  <c:v>-7.4036333316985168</c:v>
                </c:pt>
                <c:pt idx="750">
                  <c:v>-7.4036707968414515</c:v>
                </c:pt>
                <c:pt idx="751">
                  <c:v>-7.403708261694069</c:v>
                </c:pt>
                <c:pt idx="752">
                  <c:v>-7.4037457262563597</c:v>
                </c:pt>
                <c:pt idx="753">
                  <c:v>-7.4037831905283236</c:v>
                </c:pt>
                <c:pt idx="754">
                  <c:v>-7.4038206545099658</c:v>
                </c:pt>
                <c:pt idx="755">
                  <c:v>-7.4038581182012742</c:v>
                </c:pt>
                <c:pt idx="756">
                  <c:v>-7.4038955816022609</c:v>
                </c:pt>
                <c:pt idx="757">
                  <c:v>-7.4039330447129199</c:v>
                </c:pt>
                <c:pt idx="758">
                  <c:v>-7.4039705075332476</c:v>
                </c:pt>
                <c:pt idx="759">
                  <c:v>-7.4040079700632493</c:v>
                </c:pt>
                <c:pt idx="760">
                  <c:v>-7.4040454323029214</c:v>
                </c:pt>
                <c:pt idx="761">
                  <c:v>-7.4040828942522658</c:v>
                </c:pt>
                <c:pt idx="762">
                  <c:v>-7.4041203559112772</c:v>
                </c:pt>
                <c:pt idx="763">
                  <c:v>-7.4041578172799625</c:v>
                </c:pt>
                <c:pt idx="764">
                  <c:v>-7.4041952783583103</c:v>
                </c:pt>
                <c:pt idx="765">
                  <c:v>-7.4042327391463321</c:v>
                </c:pt>
                <c:pt idx="766">
                  <c:v>-7.4042701996440226</c:v>
                </c:pt>
                <c:pt idx="767">
                  <c:v>-7.4043076598513755</c:v>
                </c:pt>
                <c:pt idx="768">
                  <c:v>-7.4043451197683989</c:v>
                </c:pt>
                <c:pt idx="769">
                  <c:v>-7.4043825793950901</c:v>
                </c:pt>
                <c:pt idx="770">
                  <c:v>-7.4044200387314421</c:v>
                </c:pt>
                <c:pt idx="771">
                  <c:v>-7.4044574977774635</c:v>
                </c:pt>
                <c:pt idx="772">
                  <c:v>-7.4044949565331502</c:v>
                </c:pt>
                <c:pt idx="773">
                  <c:v>-7.4045324149985001</c:v>
                </c:pt>
                <c:pt idx="774">
                  <c:v>-7.4045698731735152</c:v>
                </c:pt>
                <c:pt idx="775">
                  <c:v>-7.404607331058191</c:v>
                </c:pt>
                <c:pt idx="776">
                  <c:v>-7.4046447886525337</c:v>
                </c:pt>
                <c:pt idx="777">
                  <c:v>-7.4046822459565362</c:v>
                </c:pt>
                <c:pt idx="778">
                  <c:v>-7.4047197029701994</c:v>
                </c:pt>
                <c:pt idx="779">
                  <c:v>-7.4047571596935233</c:v>
                </c:pt>
                <c:pt idx="780">
                  <c:v>-7.4047946161265115</c:v>
                </c:pt>
                <c:pt idx="781">
                  <c:v>-7.4048320722691612</c:v>
                </c:pt>
                <c:pt idx="782">
                  <c:v>-7.4048695281214671</c:v>
                </c:pt>
                <c:pt idx="783">
                  <c:v>-7.404906983683432</c:v>
                </c:pt>
                <c:pt idx="784">
                  <c:v>-7.4049444389550567</c:v>
                </c:pt>
                <c:pt idx="785">
                  <c:v>-7.4049818939363377</c:v>
                </c:pt>
                <c:pt idx="786">
                  <c:v>-7.4050193486272766</c:v>
                </c:pt>
                <c:pt idx="787">
                  <c:v>-7.4050568030278745</c:v>
                </c:pt>
                <c:pt idx="788">
                  <c:v>-7.4050942571381277</c:v>
                </c:pt>
                <c:pt idx="789">
                  <c:v>-7.4051317109580399</c:v>
                </c:pt>
                <c:pt idx="790">
                  <c:v>-7.4051691644876074</c:v>
                </c:pt>
                <c:pt idx="791">
                  <c:v>-7.4052066177268268</c:v>
                </c:pt>
                <c:pt idx="792">
                  <c:v>-7.4052440706757006</c:v>
                </c:pt>
                <c:pt idx="793">
                  <c:v>-7.4052815233342333</c:v>
                </c:pt>
                <c:pt idx="794">
                  <c:v>-7.4053189757024178</c:v>
                </c:pt>
                <c:pt idx="795">
                  <c:v>-7.4053564277802506</c:v>
                </c:pt>
                <c:pt idx="796">
                  <c:v>-7.4053938795677441</c:v>
                </c:pt>
                <c:pt idx="797">
                  <c:v>-7.4054313310648832</c:v>
                </c:pt>
                <c:pt idx="798">
                  <c:v>-7.4054687822716767</c:v>
                </c:pt>
                <c:pt idx="799">
                  <c:v>-7.405506233188123</c:v>
                </c:pt>
                <c:pt idx="800">
                  <c:v>-7.4055436838142166</c:v>
                </c:pt>
                <c:pt idx="801">
                  <c:v>-7.4055811341499611</c:v>
                </c:pt>
                <c:pt idx="802">
                  <c:v>-7.4056185841953539</c:v>
                </c:pt>
                <c:pt idx="803">
                  <c:v>-7.4056560339503976</c:v>
                </c:pt>
                <c:pt idx="804">
                  <c:v>-7.4056934834150878</c:v>
                </c:pt>
                <c:pt idx="805">
                  <c:v>-7.4057309325894289</c:v>
                </c:pt>
                <c:pt idx="806">
                  <c:v>-7.4057683814734165</c:v>
                </c:pt>
                <c:pt idx="807">
                  <c:v>-7.4058058300670488</c:v>
                </c:pt>
                <c:pt idx="808">
                  <c:v>-7.4058432783703312</c:v>
                </c:pt>
                <c:pt idx="809">
                  <c:v>-7.4058807263832591</c:v>
                </c:pt>
                <c:pt idx="810">
                  <c:v>-7.4059181741058326</c:v>
                </c:pt>
                <c:pt idx="811">
                  <c:v>-7.4059556215380473</c:v>
                </c:pt>
                <c:pt idx="812">
                  <c:v>-7.4059930686799103</c:v>
                </c:pt>
                <c:pt idx="813">
                  <c:v>-7.406030515531417</c:v>
                </c:pt>
                <c:pt idx="814">
                  <c:v>-7.4060679620925649</c:v>
                </c:pt>
                <c:pt idx="815">
                  <c:v>-7.406105408363354</c:v>
                </c:pt>
                <c:pt idx="816">
                  <c:v>-7.4061428543437895</c:v>
                </c:pt>
                <c:pt idx="817">
                  <c:v>-7.4061803000338653</c:v>
                </c:pt>
                <c:pt idx="818">
                  <c:v>-7.4062177454335831</c:v>
                </c:pt>
                <c:pt idx="819">
                  <c:v>-7.4062551905429412</c:v>
                </c:pt>
                <c:pt idx="820">
                  <c:v>-7.4062926353619396</c:v>
                </c:pt>
                <c:pt idx="821">
                  <c:v>-7.4063300798905782</c:v>
                </c:pt>
                <c:pt idx="822">
                  <c:v>-7.4063675241288545</c:v>
                </c:pt>
                <c:pt idx="823">
                  <c:v>-7.406404968076771</c:v>
                </c:pt>
                <c:pt idx="824">
                  <c:v>-7.4064424117343277</c:v>
                </c:pt>
                <c:pt idx="825">
                  <c:v>-7.4064798551015194</c:v>
                </c:pt>
                <c:pt idx="826">
                  <c:v>-7.4065172981783487</c:v>
                </c:pt>
                <c:pt idx="827">
                  <c:v>-7.4065547409648156</c:v>
                </c:pt>
                <c:pt idx="828">
                  <c:v>-7.4065921834609201</c:v>
                </c:pt>
                <c:pt idx="829">
                  <c:v>-7.4066296256666595</c:v>
                </c:pt>
                <c:pt idx="830">
                  <c:v>-7.4066670675820321</c:v>
                </c:pt>
                <c:pt idx="831">
                  <c:v>-7.4067045092070414</c:v>
                </c:pt>
                <c:pt idx="832">
                  <c:v>-7.4067419505416847</c:v>
                </c:pt>
                <c:pt idx="833">
                  <c:v>-7.4067793915859603</c:v>
                </c:pt>
                <c:pt idx="834">
                  <c:v>-7.4068168323398718</c:v>
                </c:pt>
                <c:pt idx="835">
                  <c:v>-7.4068542728034128</c:v>
                </c:pt>
                <c:pt idx="836">
                  <c:v>-7.4068917129765879</c:v>
                </c:pt>
                <c:pt idx="837">
                  <c:v>-7.4069291528593943</c:v>
                </c:pt>
                <c:pt idx="838">
                  <c:v>-7.4069665924518322</c:v>
                </c:pt>
                <c:pt idx="839">
                  <c:v>-7.4070040317538997</c:v>
                </c:pt>
                <c:pt idx="840">
                  <c:v>-7.4070414707655985</c:v>
                </c:pt>
                <c:pt idx="841">
                  <c:v>-7.4070789094869269</c:v>
                </c:pt>
                <c:pt idx="842">
                  <c:v>-7.4071163479178823</c:v>
                </c:pt>
                <c:pt idx="843">
                  <c:v>-7.4071537860584709</c:v>
                </c:pt>
                <c:pt idx="844">
                  <c:v>-7.4071912239086846</c:v>
                </c:pt>
                <c:pt idx="845">
                  <c:v>-7.407228661468527</c:v>
                </c:pt>
                <c:pt idx="846">
                  <c:v>-7.4072660987379964</c:v>
                </c:pt>
                <c:pt idx="847">
                  <c:v>-7.40730353571709</c:v>
                </c:pt>
                <c:pt idx="848">
                  <c:v>-7.4073409724058115</c:v>
                </c:pt>
                <c:pt idx="849">
                  <c:v>-7.4073784088041617</c:v>
                </c:pt>
                <c:pt idx="850">
                  <c:v>-7.4074158449121299</c:v>
                </c:pt>
                <c:pt idx="851">
                  <c:v>-7.4074532807297295</c:v>
                </c:pt>
                <c:pt idx="852">
                  <c:v>-7.4074907162569499</c:v>
                </c:pt>
                <c:pt idx="853">
                  <c:v>-7.4075281514937945</c:v>
                </c:pt>
                <c:pt idx="854">
                  <c:v>-7.4075655864402616</c:v>
                </c:pt>
                <c:pt idx="855">
                  <c:v>-7.4076030210963513</c:v>
                </c:pt>
                <c:pt idx="856">
                  <c:v>-7.4076404554620643</c:v>
                </c:pt>
                <c:pt idx="857">
                  <c:v>-7.4076778895373945</c:v>
                </c:pt>
                <c:pt idx="858">
                  <c:v>-7.4077153233223498</c:v>
                </c:pt>
                <c:pt idx="859">
                  <c:v>-7.4077527568169232</c:v>
                </c:pt>
                <c:pt idx="860">
                  <c:v>-7.4077901900211218</c:v>
                </c:pt>
                <c:pt idx="861">
                  <c:v>-7.4078276229349331</c:v>
                </c:pt>
                <c:pt idx="862">
                  <c:v>-7.4078650555583687</c:v>
                </c:pt>
                <c:pt idx="863">
                  <c:v>-7.4079024878914206</c:v>
                </c:pt>
                <c:pt idx="864">
                  <c:v>-7.4079399199340887</c:v>
                </c:pt>
                <c:pt idx="865">
                  <c:v>-7.4079773516863794</c:v>
                </c:pt>
                <c:pt idx="866">
                  <c:v>-7.4080147831482819</c:v>
                </c:pt>
                <c:pt idx="867">
                  <c:v>-7.4080522143198015</c:v>
                </c:pt>
                <c:pt idx="868">
                  <c:v>-7.4080896452009375</c:v>
                </c:pt>
                <c:pt idx="869">
                  <c:v>-7.4081270757916888</c:v>
                </c:pt>
                <c:pt idx="870">
                  <c:v>-7.4081645060920573</c:v>
                </c:pt>
                <c:pt idx="871">
                  <c:v>-7.4082019361020395</c:v>
                </c:pt>
                <c:pt idx="872">
                  <c:v>-7.4082393658216334</c:v>
                </c:pt>
                <c:pt idx="873">
                  <c:v>-7.408276795250841</c:v>
                </c:pt>
                <c:pt idx="874">
                  <c:v>-7.4083142243896649</c:v>
                </c:pt>
                <c:pt idx="875">
                  <c:v>-7.4083516532380962</c:v>
                </c:pt>
                <c:pt idx="876">
                  <c:v>-7.4083890817961437</c:v>
                </c:pt>
                <c:pt idx="877">
                  <c:v>-7.4084265100638031</c:v>
                </c:pt>
                <c:pt idx="878">
                  <c:v>-7.40846393804107</c:v>
                </c:pt>
                <c:pt idx="879">
                  <c:v>-7.4085013657279513</c:v>
                </c:pt>
                <c:pt idx="880">
                  <c:v>-7.4085387931244364</c:v>
                </c:pt>
                <c:pt idx="881">
                  <c:v>-7.4085762202305343</c:v>
                </c:pt>
                <c:pt idx="882">
                  <c:v>-7.4086136470462423</c:v>
                </c:pt>
                <c:pt idx="883">
                  <c:v>-7.4086510735715567</c:v>
                </c:pt>
                <c:pt idx="884">
                  <c:v>-7.408688499806483</c:v>
                </c:pt>
                <c:pt idx="885">
                  <c:v>-7.408725925751007</c:v>
                </c:pt>
                <c:pt idx="886">
                  <c:v>-7.4087633514051481</c:v>
                </c:pt>
                <c:pt idx="887">
                  <c:v>-7.4088007767688895</c:v>
                </c:pt>
                <c:pt idx="888">
                  <c:v>-7.4088382018422401</c:v>
                </c:pt>
                <c:pt idx="889">
                  <c:v>-7.4088756266251936</c:v>
                </c:pt>
                <c:pt idx="890">
                  <c:v>-7.4089130511177537</c:v>
                </c:pt>
                <c:pt idx="891">
                  <c:v>-7.4089504753199149</c:v>
                </c:pt>
                <c:pt idx="892">
                  <c:v>-7.4089878992316853</c:v>
                </c:pt>
                <c:pt idx="893">
                  <c:v>-7.4090253228530578</c:v>
                </c:pt>
                <c:pt idx="894">
                  <c:v>-7.4090627461840279</c:v>
                </c:pt>
                <c:pt idx="895">
                  <c:v>-7.4091001692246046</c:v>
                </c:pt>
                <c:pt idx="896">
                  <c:v>-7.4091375919747842</c:v>
                </c:pt>
                <c:pt idx="897">
                  <c:v>-7.4091750144345614</c:v>
                </c:pt>
                <c:pt idx="898">
                  <c:v>-7.4092124366039434</c:v>
                </c:pt>
                <c:pt idx="899">
                  <c:v>-7.4092498584829194</c:v>
                </c:pt>
                <c:pt idx="900">
                  <c:v>-7.4092872800715046</c:v>
                </c:pt>
                <c:pt idx="901">
                  <c:v>-7.4093247013696812</c:v>
                </c:pt>
                <c:pt idx="902">
                  <c:v>-7.4093621223774573</c:v>
                </c:pt>
                <c:pt idx="903">
                  <c:v>-7.4093995430948363</c:v>
                </c:pt>
                <c:pt idx="904">
                  <c:v>-7.4094369635218094</c:v>
                </c:pt>
                <c:pt idx="905">
                  <c:v>-7.4094743836583792</c:v>
                </c:pt>
                <c:pt idx="906">
                  <c:v>-7.4095118035045484</c:v>
                </c:pt>
                <c:pt idx="907">
                  <c:v>-7.4095492230603135</c:v>
                </c:pt>
                <c:pt idx="908">
                  <c:v>-7.4095866423256753</c:v>
                </c:pt>
                <c:pt idx="909">
                  <c:v>-7.4096240613006294</c:v>
                </c:pt>
                <c:pt idx="910">
                  <c:v>-7.4096614799851794</c:v>
                </c:pt>
                <c:pt idx="911">
                  <c:v>-7.4096988983793253</c:v>
                </c:pt>
                <c:pt idx="912">
                  <c:v>-7.4097363164830607</c:v>
                </c:pt>
                <c:pt idx="913">
                  <c:v>-7.4097737342963921</c:v>
                </c:pt>
                <c:pt idx="914">
                  <c:v>-7.4098111518193157</c:v>
                </c:pt>
                <c:pt idx="915">
                  <c:v>-7.4098485690518308</c:v>
                </c:pt>
                <c:pt idx="916">
                  <c:v>-7.4098859859939408</c:v>
                </c:pt>
                <c:pt idx="917">
                  <c:v>-7.4099234026456413</c:v>
                </c:pt>
                <c:pt idx="918">
                  <c:v>-7.4099608190069306</c:v>
                </c:pt>
                <c:pt idx="919">
                  <c:v>-7.4099982350778113</c:v>
                </c:pt>
                <c:pt idx="920">
                  <c:v>-7.4100356508582808</c:v>
                </c:pt>
                <c:pt idx="921">
                  <c:v>-7.410073066348339</c:v>
                </c:pt>
                <c:pt idx="922">
                  <c:v>-7.410110481547985</c:v>
                </c:pt>
                <c:pt idx="923">
                  <c:v>-7.4101478964572207</c:v>
                </c:pt>
                <c:pt idx="924">
                  <c:v>-7.4101853110760425</c:v>
                </c:pt>
                <c:pt idx="925">
                  <c:v>-7.4102227254044521</c:v>
                </c:pt>
                <c:pt idx="926">
                  <c:v>-7.4102601394424514</c:v>
                </c:pt>
                <c:pt idx="927">
                  <c:v>-7.4102975531900368</c:v>
                </c:pt>
                <c:pt idx="928">
                  <c:v>-7.4103349666472047</c:v>
                </c:pt>
                <c:pt idx="929">
                  <c:v>-7.4103723798139596</c:v>
                </c:pt>
                <c:pt idx="930">
                  <c:v>-7.4104097926902996</c:v>
                </c:pt>
                <c:pt idx="931">
                  <c:v>-7.4104472052762205</c:v>
                </c:pt>
                <c:pt idx="932">
                  <c:v>-7.4104846175717265</c:v>
                </c:pt>
                <c:pt idx="933">
                  <c:v>-7.4105220295768177</c:v>
                </c:pt>
                <c:pt idx="934">
                  <c:v>-7.4105594412914915</c:v>
                </c:pt>
                <c:pt idx="935">
                  <c:v>-7.4105968527157451</c:v>
                </c:pt>
                <c:pt idx="936">
                  <c:v>-7.4106342638495812</c:v>
                </c:pt>
                <c:pt idx="937">
                  <c:v>-7.4106716746929999</c:v>
                </c:pt>
                <c:pt idx="938">
                  <c:v>-7.4107090852459976</c:v>
                </c:pt>
                <c:pt idx="939">
                  <c:v>-7.4107464955085751</c:v>
                </c:pt>
                <c:pt idx="940">
                  <c:v>-7.4107839054807316</c:v>
                </c:pt>
                <c:pt idx="941">
                  <c:v>-7.4108213151624698</c:v>
                </c:pt>
                <c:pt idx="942">
                  <c:v>-7.4108587245537842</c:v>
                </c:pt>
                <c:pt idx="943">
                  <c:v>-7.4108961336546795</c:v>
                </c:pt>
                <c:pt idx="944">
                  <c:v>-7.4109335424651501</c:v>
                </c:pt>
                <c:pt idx="945">
                  <c:v>-7.4109709509852015</c:v>
                </c:pt>
                <c:pt idx="946">
                  <c:v>-7.4110083592148275</c:v>
                </c:pt>
                <c:pt idx="947">
                  <c:v>-7.4110457671540262</c:v>
                </c:pt>
                <c:pt idx="948">
                  <c:v>-7.4110831748028065</c:v>
                </c:pt>
                <c:pt idx="949">
                  <c:v>-7.4111205821611597</c:v>
                </c:pt>
                <c:pt idx="950">
                  <c:v>-7.4111579892290882</c:v>
                </c:pt>
                <c:pt idx="951">
                  <c:v>-7.4111953960065833</c:v>
                </c:pt>
                <c:pt idx="952">
                  <c:v>-7.4112328024936609</c:v>
                </c:pt>
                <c:pt idx="953">
                  <c:v>-7.4112702086903113</c:v>
                </c:pt>
                <c:pt idx="954">
                  <c:v>-7.4113076145965282</c:v>
                </c:pt>
                <c:pt idx="955">
                  <c:v>-7.4113450202123223</c:v>
                </c:pt>
                <c:pt idx="956">
                  <c:v>-7.4113824255376857</c:v>
                </c:pt>
                <c:pt idx="957">
                  <c:v>-7.4114198305726191</c:v>
                </c:pt>
                <c:pt idx="958">
                  <c:v>-7.4114572353171271</c:v>
                </c:pt>
                <c:pt idx="959">
                  <c:v>-7.4114946397712043</c:v>
                </c:pt>
                <c:pt idx="960">
                  <c:v>-7.4115320439348489</c:v>
                </c:pt>
                <c:pt idx="961">
                  <c:v>-7.4115694478080609</c:v>
                </c:pt>
                <c:pt idx="962">
                  <c:v>-7.4116068513908475</c:v>
                </c:pt>
                <c:pt idx="963">
                  <c:v>-7.4116442546831971</c:v>
                </c:pt>
                <c:pt idx="964">
                  <c:v>-7.4116816576851177</c:v>
                </c:pt>
                <c:pt idx="965">
                  <c:v>-7.4117190603966012</c:v>
                </c:pt>
                <c:pt idx="966">
                  <c:v>-7.4117564628176567</c:v>
                </c:pt>
                <c:pt idx="967">
                  <c:v>-7.4117938649482733</c:v>
                </c:pt>
                <c:pt idx="968">
                  <c:v>-7.4118312667884592</c:v>
                </c:pt>
                <c:pt idx="969">
                  <c:v>-7.4118686683382098</c:v>
                </c:pt>
                <c:pt idx="970">
                  <c:v>-7.4119060695975234</c:v>
                </c:pt>
                <c:pt idx="971">
                  <c:v>-7.4119434705664036</c:v>
                </c:pt>
                <c:pt idx="972">
                  <c:v>-7.4119808712448476</c:v>
                </c:pt>
                <c:pt idx="973">
                  <c:v>-7.4120182716328529</c:v>
                </c:pt>
                <c:pt idx="974">
                  <c:v>-7.4120556717304247</c:v>
                </c:pt>
                <c:pt idx="975">
                  <c:v>-7.412093071537555</c:v>
                </c:pt>
                <c:pt idx="976">
                  <c:v>-7.4121304710542457</c:v>
                </c:pt>
                <c:pt idx="977">
                  <c:v>-7.4121678702804967</c:v>
                </c:pt>
                <c:pt idx="978">
                  <c:v>-7.4122052692163081</c:v>
                </c:pt>
                <c:pt idx="979">
                  <c:v>-7.4122426678616842</c:v>
                </c:pt>
                <c:pt idx="980">
                  <c:v>-7.4122800662166188</c:v>
                </c:pt>
                <c:pt idx="981">
                  <c:v>-7.4123174642811094</c:v>
                </c:pt>
                <c:pt idx="982">
                  <c:v>-7.4123548620551611</c:v>
                </c:pt>
                <c:pt idx="983">
                  <c:v>-7.4123922595387697</c:v>
                </c:pt>
                <c:pt idx="984">
                  <c:v>-7.412429656731935</c:v>
                </c:pt>
                <c:pt idx="985">
                  <c:v>-7.4124670536346633</c:v>
                </c:pt>
                <c:pt idx="986">
                  <c:v>-7.412504450246943</c:v>
                </c:pt>
                <c:pt idx="987">
                  <c:v>-7.4125418465687787</c:v>
                </c:pt>
                <c:pt idx="988">
                  <c:v>-7.4125792426001693</c:v>
                </c:pt>
                <c:pt idx="989">
                  <c:v>-7.4126166383411203</c:v>
                </c:pt>
                <c:pt idx="990">
                  <c:v>-7.4126540337916227</c:v>
                </c:pt>
                <c:pt idx="991">
                  <c:v>-7.4126914289516783</c:v>
                </c:pt>
                <c:pt idx="992">
                  <c:v>-7.4127288238212872</c:v>
                </c:pt>
                <c:pt idx="993">
                  <c:v>-7.412766218400451</c:v>
                </c:pt>
                <c:pt idx="994">
                  <c:v>-7.4128036126891681</c:v>
                </c:pt>
                <c:pt idx="995">
                  <c:v>-7.412841006687434</c:v>
                </c:pt>
                <c:pt idx="996">
                  <c:v>-7.4128784003952557</c:v>
                </c:pt>
                <c:pt idx="997">
                  <c:v>-7.4129157938126253</c:v>
                </c:pt>
                <c:pt idx="998">
                  <c:v>-7.4129531869395473</c:v>
                </c:pt>
                <c:pt idx="999">
                  <c:v>-7.4129905797760163</c:v>
                </c:pt>
                <c:pt idx="1000">
                  <c:v>-7.4130279723220411</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Calculs!$J$4:$J$1004</c:f>
              <c:numCache>
                <c:formatCode>0.00</c:formatCode>
                <c:ptCount val="1001"/>
                <c:pt idx="0">
                  <c:v>0</c:v>
                </c:pt>
                <c:pt idx="1">
                  <c:v>6.6207538697662396E-7</c:v>
                </c:pt>
                <c:pt idx="2">
                  <c:v>1.7177052159657097E-4</c:v>
                </c:pt>
                <c:pt idx="3">
                  <c:v>8.5166057778985488E-4</c:v>
                </c:pt>
                <c:pt idx="4">
                  <c:v>2.3788979230456391E-3</c:v>
                </c:pt>
                <c:pt idx="5">
                  <c:v>5.0923756236487729E-3</c:v>
                </c:pt>
                <c:pt idx="6">
                  <c:v>9.245679357458271E-3</c:v>
                </c:pt>
                <c:pt idx="7">
                  <c:v>1.4921248096417636E-2</c:v>
                </c:pt>
                <c:pt idx="8">
                  <c:v>2.2115860832762888E-2</c:v>
                </c:pt>
                <c:pt idx="9">
                  <c:v>3.082627977272584E-2</c:v>
                </c:pt>
                <c:pt idx="10">
                  <c:v>4.1049250399132729E-2</c:v>
                </c:pt>
                <c:pt idx="11">
                  <c:v>5.2781501534655481E-2</c:v>
                </c:pt>
                <c:pt idx="12">
                  <c:v>6.6019745405710428E-2</c:v>
                </c:pt>
                <c:pt idx="13">
                  <c:v>8.0760677706999101E-2</c:v>
                </c:pt>
                <c:pt idx="14">
                  <c:v>9.700097766668575E-2</c:v>
                </c:pt>
                <c:pt idx="15">
                  <c:v>0.11473730811220614</c:v>
                </c:pt>
                <c:pt idx="16">
                  <c:v>0.13396631553670219</c:v>
                </c:pt>
                <c:pt idx="17">
                  <c:v>0.15468463016607675</c:v>
                </c:pt>
                <c:pt idx="18">
                  <c:v>0.17688886602666326</c:v>
                </c:pt>
                <c:pt idx="19">
                  <c:v>0.20057562101350412</c:v>
                </c:pt>
                <c:pt idx="20">
                  <c:v>0.22574147695923269</c:v>
                </c:pt>
                <c:pt idx="21">
                  <c:v>0.25238299970355249</c:v>
                </c:pt>
                <c:pt idx="22">
                  <c:v>0.28049673916330847</c:v>
                </c:pt>
                <c:pt idx="23">
                  <c:v>0.31007922940314386</c:v>
                </c:pt>
                <c:pt idx="24">
                  <c:v>0.3411269887067373</c:v>
                </c:pt>
                <c:pt idx="25">
                  <c:v>0.37363651964861377</c:v>
                </c:pt>
                <c:pt idx="26">
                  <c:v>0.40760430916652352</c:v>
                </c:pt>
                <c:pt idx="27">
                  <c:v>0.44302682863438309</c:v>
                </c:pt>
                <c:pt idx="28">
                  <c:v>0.47990053393577226</c:v>
                </c:pt>
                <c:pt idx="29">
                  <c:v>0.51822186553798055</c:v>
                </c:pt>
                <c:pt idx="30">
                  <c:v>0.55798724856659732</c:v>
                </c:pt>
                <c:pt idx="31">
                  <c:v>0.59919309288063916</c:v>
                </c:pt>
                <c:pt idx="32">
                  <c:v>0.64183579314820871</c:v>
                </c:pt>
                <c:pt idx="33">
                  <c:v>0.6859117289226776</c:v>
                </c:pt>
                <c:pt idx="34">
                  <c:v>0.73141726471938817</c:v>
                </c:pt>
                <c:pt idx="35">
                  <c:v>0.77843266925878396</c:v>
                </c:pt>
                <c:pt idx="36">
                  <c:v>0.82704095029884483</c:v>
                </c:pt>
                <c:pt idx="37">
                  <c:v>0.8772438930036065</c:v>
                </c:pt>
                <c:pt idx="38">
                  <c:v>0.92904314516550623</c:v>
                </c:pt>
                <c:pt idx="39">
                  <c:v>0.98244018376617093</c:v>
                </c:pt>
                <c:pt idx="40">
                  <c:v>1.0374363228148733</c:v>
                </c:pt>
                <c:pt idx="41">
                  <c:v>1.0940327205805269</c:v>
                </c:pt>
                <c:pt idx="42">
                  <c:v>1.1522303862796415</c:v>
                </c:pt>
                <c:pt idx="43">
                  <c:v>1.2120301862747833</c:v>
                </c:pt>
                <c:pt idx="44">
                  <c:v>1.2734328498313874</c:v>
                </c:pt>
                <c:pt idx="45">
                  <c:v>1.3364389744750265</c:v>
                </c:pt>
                <c:pt idx="46">
                  <c:v>1.4010490309863188</c:v>
                </c:pt>
                <c:pt idx="47">
                  <c:v>1.4672633680664062</c:v>
                </c:pt>
                <c:pt idx="48">
                  <c:v>1.5350822167022589</c:v>
                </c:pt>
                <c:pt idx="49">
                  <c:v>1.6045056942578702</c:v>
                </c:pt>
                <c:pt idx="50">
                  <c:v>1.675533808314623</c:v>
                </c:pt>
                <c:pt idx="51">
                  <c:v>1.7481669328704317</c:v>
                </c:pt>
                <c:pt idx="52">
                  <c:v>1.8224062883680805</c:v>
                </c:pt>
                <c:pt idx="53">
                  <c:v>1.8982534775792201</c:v>
                </c:pt>
                <c:pt idx="54">
                  <c:v>1.9757100171003883</c:v>
                </c:pt>
                <c:pt idx="55">
                  <c:v>2.0547773398858675</c:v>
                </c:pt>
                <c:pt idx="56">
                  <c:v>2.1354567976455905</c:v>
                </c:pt>
                <c:pt idx="57">
                  <c:v>2.21774966311781</c:v>
                </c:pt>
                <c:pt idx="58">
                  <c:v>2.3016571322253947</c:v>
                </c:pt>
                <c:pt idx="59">
                  <c:v>2.3871803261238385</c:v>
                </c:pt>
                <c:pt idx="60">
                  <c:v>2.4743202931483812</c:v>
                </c:pt>
                <c:pt idx="61">
                  <c:v>2.5630780106670112</c:v>
                </c:pt>
                <c:pt idx="62">
                  <c:v>2.6534543868455716</c:v>
                </c:pt>
                <c:pt idx="63">
                  <c:v>2.7454502623306709</c:v>
                </c:pt>
                <c:pt idx="64">
                  <c:v>2.839066411855661</c:v>
                </c:pt>
                <c:pt idx="65">
                  <c:v>2.9343035457745152</c:v>
                </c:pt>
                <c:pt idx="66">
                  <c:v>3.0311623115280764</c:v>
                </c:pt>
                <c:pt idx="67">
                  <c:v>3.1296432950467965</c:v>
                </c:pt>
                <c:pt idx="68">
                  <c:v>3.2297470220937883</c:v>
                </c:pt>
                <c:pt idx="69">
                  <c:v>3.331473959551718</c:v>
                </c:pt>
                <c:pt idx="70">
                  <c:v>3.4348245166568177</c:v>
                </c:pt>
                <c:pt idx="71">
                  <c:v>3.5397990461830582</c:v>
                </c:pt>
                <c:pt idx="72">
                  <c:v>3.64639784557931</c:v>
                </c:pt>
                <c:pt idx="73">
                  <c:v>3.7546211580621183</c:v>
                </c:pt>
                <c:pt idx="74">
                  <c:v>3.8644691736665426</c:v>
                </c:pt>
                <c:pt idx="75">
                  <c:v>3.9759420302573454</c:v>
                </c:pt>
                <c:pt idx="76">
                  <c:v>4.0890398145026534</c:v>
                </c:pt>
                <c:pt idx="77">
                  <c:v>4.2037625628120896</c:v>
                </c:pt>
                <c:pt idx="78">
                  <c:v>4.3201102622412266</c:v>
                </c:pt>
                <c:pt idx="79">
                  <c:v>4.4380828513641077</c:v>
                </c:pt>
                <c:pt idx="80">
                  <c:v>4.5576802211154659</c:v>
                </c:pt>
                <c:pt idx="81">
                  <c:v>4.6789022156041593</c:v>
                </c:pt>
                <c:pt idx="82">
                  <c:v>4.8017486328992707</c:v>
                </c:pt>
                <c:pt idx="83">
                  <c:v>4.9262192257902058</c:v>
                </c:pt>
                <c:pt idx="84">
                  <c:v>5.0523137025220572</c:v>
                </c:pt>
                <c:pt idx="85">
                  <c:v>5.1800317275074264</c:v>
                </c:pt>
                <c:pt idx="86">
                  <c:v>5.3093729220158155</c:v>
                </c:pt>
                <c:pt idx="87">
                  <c:v>5.4403368648416519</c:v>
                </c:pt>
                <c:pt idx="88">
                  <c:v>5.5729230929519336</c:v>
                </c:pt>
                <c:pt idx="89">
                  <c:v>5.7071311021144284</c:v>
                </c:pt>
                <c:pt idx="90">
                  <c:v>5.8429603475073169</c:v>
                </c:pt>
                <c:pt idx="91">
                  <c:v>5.9804102443111127</c:v>
                </c:pt>
                <c:pt idx="92">
                  <c:v>6.1194801682836433</c:v>
                </c:pt>
                <c:pt idx="93">
                  <c:v>6.2601694563188452</c:v>
                </c:pt>
                <c:pt idx="94">
                  <c:v>6.4024774069900721</c:v>
                </c:pt>
                <c:pt idx="95">
                  <c:v>6.5464032810785859</c:v>
                </c:pt>
                <c:pt idx="96">
                  <c:v>6.6919463020878691</c:v>
                </c:pt>
                <c:pt idx="97">
                  <c:v>6.8391056567443425</c:v>
                </c:pt>
                <c:pt idx="98">
                  <c:v>6.9878804954850784</c:v>
                </c:pt>
                <c:pt idx="99">
                  <c:v>7.1382699329330297</c:v>
                </c:pt>
                <c:pt idx="100">
                  <c:v>7.2902730483602944</c:v>
                </c:pt>
                <c:pt idx="101">
                  <c:v>7.4438886490802423</c:v>
                </c:pt>
                <c:pt idx="102">
                  <c:v>7.5991150327274095</c:v>
                </c:pt>
                <c:pt idx="103">
                  <c:v>7.7559502233513431</c:v>
                </c:pt>
                <c:pt idx="104">
                  <c:v>7.9143922086313232</c:v>
                </c:pt>
                <c:pt idx="105">
                  <c:v>8.0744389403456474</c:v>
                </c:pt>
                <c:pt idx="106">
                  <c:v>8.2360883348303133</c:v>
                </c:pt>
                <c:pt idx="107">
                  <c:v>8.3993382734274942</c:v>
                </c:pt>
                <c:pt idx="108">
                  <c:v>8.5641866029242113</c:v>
                </c:pt>
                <c:pt idx="109">
                  <c:v>8.7306311359815734</c:v>
                </c:pt>
                <c:pt idx="110">
                  <c:v>8.8986696515549486</c:v>
                </c:pt>
                <c:pt idx="111">
                  <c:v>9.0682998953053922</c:v>
                </c:pt>
                <c:pt idx="112">
                  <c:v>9.2395195800026695</c:v>
                </c:pt>
                <c:pt idx="113">
                  <c:v>9.4123263859201778</c:v>
                </c:pt>
                <c:pt idx="114">
                  <c:v>9.5867179612220603</c:v>
                </c:pt>
                <c:pt idx="115">
                  <c:v>9.7626919223427908</c:v>
                </c:pt>
                <c:pt idx="116">
                  <c:v>9.9402458543595085</c:v>
                </c:pt>
                <c:pt idx="117">
                  <c:v>10.119377311357351</c:v>
                </c:pt>
                <c:pt idx="118">
                  <c:v>10.300083816788026</c:v>
                </c:pt>
                <c:pt idx="119">
                  <c:v>10.482362863821875</c:v>
                </c:pt>
                <c:pt idx="120">
                  <c:v>10.666211915693626</c:v>
                </c:pt>
                <c:pt idx="121">
                  <c:v>10.851628406042078</c:v>
                </c:pt>
                <c:pt idx="122">
                  <c:v>11.038609739243897</c:v>
                </c:pt>
                <c:pt idx="123">
                  <c:v>11.22715329074174</c:v>
                </c:pt>
                <c:pt idx="124">
                  <c:v>11.417256407366876</c:v>
                </c:pt>
                <c:pt idx="125">
                  <c:v>11.608916407656512</c:v>
                </c:pt>
                <c:pt idx="126">
                  <c:v>11.802130582165953</c:v>
                </c:pt>
                <c:pt idx="127">
                  <c:v>11.996896193775813</c:v>
                </c:pt>
                <c:pt idx="128">
                  <c:v>12.193210477994391</c:v>
                </c:pt>
                <c:pt idx="129">
                  <c:v>12.391070643255388</c:v>
                </c:pt>
                <c:pt idx="130">
                  <c:v>12.590473871211106</c:v>
                </c:pt>
                <c:pt idx="131">
                  <c:v>12.791417317021265</c:v>
                </c:pt>
                <c:pt idx="132">
                  <c:v>12.993898109637579</c:v>
                </c:pt>
                <c:pt idx="133">
                  <c:v>13.197913352084205</c:v>
                </c:pt>
                <c:pt idx="134">
                  <c:v>13.403460121734211</c:v>
                </c:pt>
                <c:pt idx="135">
                  <c:v>13.610535470582162</c:v>
                </c:pt>
                <c:pt idx="136">
                  <c:v>13.819136425512948</c:v>
                </c:pt>
                <c:pt idx="137">
                  <c:v>14.029259988566956</c:v>
                </c:pt>
                <c:pt idx="138">
                  <c:v>14.240903137201705</c:v>
                </c:pt>
                <c:pt idx="139">
                  <c:v>14.454062824550032</c:v>
                </c:pt>
                <c:pt idx="140">
                  <c:v>14.668735979674922</c:v>
                </c:pt>
                <c:pt idx="141">
                  <c:v>14.884919507821104</c:v>
                </c:pt>
                <c:pt idx="142">
                  <c:v>15.10261029066346</c:v>
                </c:pt>
                <c:pt idx="143">
                  <c:v>15.321805186552375</c:v>
                </c:pt>
                <c:pt idx="144">
                  <c:v>15.542501030756084</c:v>
                </c:pt>
                <c:pt idx="145">
                  <c:v>15.764694635700103</c:v>
                </c:pt>
                <c:pt idx="146">
                  <c:v>15.988382791203835</c:v>
                </c:pt>
                <c:pt idx="147">
                  <c:v>16.213562264714398</c:v>
                </c:pt>
                <c:pt idx="148">
                  <c:v>16.440229801537775</c:v>
                </c:pt>
                <c:pt idx="149">
                  <c:v>16.668382125067332</c:v>
                </c:pt>
                <c:pt idx="150">
                  <c:v>16.898015937009784</c:v>
                </c:pt>
                <c:pt idx="151">
                  <c:v>17.129128002472985</c:v>
                </c:pt>
                <c:pt idx="152">
                  <c:v>17.361715235309923</c:v>
                </c:pt>
                <c:pt idx="153">
                  <c:v>17.595774613774292</c:v>
                </c:pt>
                <c:pt idx="154">
                  <c:v>17.831303095908385</c:v>
                </c:pt>
                <c:pt idx="155">
                  <c:v>18.068297619743902</c:v>
                </c:pt>
                <c:pt idx="156">
                  <c:v>18.306755103500731</c:v>
                </c:pt>
                <c:pt idx="157">
                  <c:v>18.546672445783713</c:v>
                </c:pt>
                <c:pt idx="158">
                  <c:v>18.788046525777471</c:v>
                </c:pt>
                <c:pt idx="159">
                  <c:v>19.030874203439311</c:v>
                </c:pt>
                <c:pt idx="160">
                  <c:v>19.275152319690271</c:v>
                </c:pt>
                <c:pt idx="161">
                  <c:v>19.520877696604334</c:v>
                </c:pt>
                <c:pt idx="162">
                  <c:v>19.768047137595875</c:v>
                </c:pt>
                <c:pt idx="163">
                  <c:v>20.016657427605342</c:v>
                </c:pt>
                <c:pt idx="164">
                  <c:v>20.266705333283245</c:v>
                </c:pt>
                <c:pt idx="165">
                  <c:v>20.518187603172475</c:v>
                </c:pt>
                <c:pt idx="166">
                  <c:v>20.771100967888966</c:v>
                </c:pt>
                <c:pt idx="167">
                  <c:v>21.025442140300786</c:v>
                </c:pt>
                <c:pt idx="168">
                  <c:v>21.281207815705635</c:v>
                </c:pt>
                <c:pt idx="169">
                  <c:v>21.53839467200681</c:v>
                </c:pt>
                <c:pt idx="170">
                  <c:v>21.796999369887665</c:v>
                </c:pt>
                <c:pt idx="171">
                  <c:v>22.057018552984601</c:v>
                </c:pt>
                <c:pt idx="172">
                  <c:v>22.318448848058594</c:v>
                </c:pt>
                <c:pt idx="173">
                  <c:v>22.581286865165296</c:v>
                </c:pt>
                <c:pt idx="174">
                  <c:v>22.845529197823769</c:v>
                </c:pt>
                <c:pt idx="175">
                  <c:v>23.111172423183817</c:v>
                </c:pt>
                <c:pt idx="176">
                  <c:v>23.378213102191989</c:v>
                </c:pt>
                <c:pt idx="177">
                  <c:v>23.646647779756265</c:v>
                </c:pt>
                <c:pt idx="178">
                  <c:v>23.916472984909436</c:v>
                </c:pt>
                <c:pt idx="179">
                  <c:v>24.187685230971216</c:v>
                </c:pt>
                <c:pt idx="180">
                  <c:v>24.460281015709089</c:v>
                </c:pt>
                <c:pt idx="181">
                  <c:v>24.734256821497944</c:v>
                </c:pt>
                <c:pt idx="182">
                  <c:v>25.009609115478476</c:v>
                </c:pt>
                <c:pt idx="183">
                  <c:v>25.286334349714423</c:v>
                </c:pt>
                <c:pt idx="184">
                  <c:v>25.564428961348593</c:v>
                </c:pt>
                <c:pt idx="185">
                  <c:v>25.843889372757772</c:v>
                </c:pt>
                <c:pt idx="186">
                  <c:v>26.124711991706473</c:v>
                </c:pt>
                <c:pt idx="187">
                  <c:v>26.406893211499582</c:v>
                </c:pt>
                <c:pt idx="188">
                  <c:v>26.690429411133888</c:v>
                </c:pt>
                <c:pt idx="189">
                  <c:v>26.975316955448523</c:v>
                </c:pt>
                <c:pt idx="190">
                  <c:v>27.261552195274358</c:v>
                </c:pt>
                <c:pt idx="191">
                  <c:v>27.549131467582313</c:v>
                </c:pt>
                <c:pt idx="192">
                  <c:v>27.83805109563064</c:v>
                </c:pt>
                <c:pt idx="193">
                  <c:v>28.128307389111182</c:v>
                </c:pt>
                <c:pt idx="194">
                  <c:v>28.419896644294614</c:v>
                </c:pt>
                <c:pt idx="195">
                  <c:v>28.712815144174684</c:v>
                </c:pt>
                <c:pt idx="196">
                  <c:v>29.007059158611465</c:v>
                </c:pt>
                <c:pt idx="197">
                  <c:v>29.302624944473646</c:v>
                </c:pt>
                <c:pt idx="198">
                  <c:v>29.59950874577984</c:v>
                </c:pt>
                <c:pt idx="199">
                  <c:v>29.897706793838964</c:v>
                </c:pt>
                <c:pt idx="200">
                  <c:v>30.197215307389662</c:v>
                </c:pt>
                <c:pt idx="201">
                  <c:v>30.498030492738806</c:v>
                </c:pt>
                <c:pt idx="202">
                  <c:v>30.800148543899077</c:v>
                </c:pt>
                <c:pt idx="203">
                  <c:v>31.103565642725655</c:v>
                </c:pt>
                <c:pt idx="204">
                  <c:v>31.408277959051979</c:v>
                </c:pt>
                <c:pt idx="205">
                  <c:v>31.714281650824656</c:v>
                </c:pt>
                <c:pt idx="206">
                  <c:v>32.021572864237463</c:v>
                </c:pt>
                <c:pt idx="207">
                  <c:v>32.330147733864493</c:v>
                </c:pt>
                <c:pt idx="208">
                  <c:v>32.640002382792439</c:v>
                </c:pt>
                <c:pt idx="209">
                  <c:v>32.951132922752024</c:v>
                </c:pt>
                <c:pt idx="210">
                  <c:v>33.263535454248604</c:v>
                </c:pt>
                <c:pt idx="211">
                  <c:v>33.577206066691893</c:v>
                </c:pt>
                <c:pt idx="212">
                  <c:v>33.892140838524902</c:v>
                </c:pt>
                <c:pt idx="213">
                  <c:v>34.208335837352053</c:v>
                </c:pt>
                <c:pt idx="214">
                  <c:v>34.52578712006644</c:v>
                </c:pt>
                <c:pt idx="215">
                  <c:v>34.844490732976347</c:v>
                </c:pt>
                <c:pt idx="216">
                  <c:v>35.16444271193091</c:v>
                </c:pt>
                <c:pt idx="217">
                  <c:v>35.485639082445019</c:v>
                </c:pt>
                <c:pt idx="218">
                  <c:v>35.808075859823418</c:v>
                </c:pt>
                <c:pt idx="219">
                  <c:v>36.131749049284039</c:v>
                </c:pt>
                <c:pt idx="220">
                  <c:v>36.456654646080544</c:v>
                </c:pt>
                <c:pt idx="221">
                  <c:v>36.782788635624122</c:v>
                </c:pt>
                <c:pt idx="222">
                  <c:v>37.110146993604495</c:v>
                </c:pt>
                <c:pt idx="223">
                  <c:v>37.438725686110189</c:v>
                </c:pt>
                <c:pt idx="224">
                  <c:v>37.768520669748064</c:v>
                </c:pt>
                <c:pt idx="225">
                  <c:v>38.099527891762051</c:v>
                </c:pt>
                <c:pt idx="226">
                  <c:v>38.431743290151196</c:v>
                </c:pt>
                <c:pt idx="227">
                  <c:v>38.765162793786956</c:v>
                </c:pt>
                <c:pt idx="228">
                  <c:v>39.099782322529741</c:v>
                </c:pt>
                <c:pt idx="229">
                  <c:v>39.435597787344747</c:v>
                </c:pt>
                <c:pt idx="230">
                  <c:v>39.772605090417073</c:v>
                </c:pt>
                <c:pt idx="231">
                  <c:v>40.11080012526611</c:v>
                </c:pt>
                <c:pt idx="232">
                  <c:v>40.450178776859204</c:v>
                </c:pt>
                <c:pt idx="233">
                  <c:v>40.790736921724637</c:v>
                </c:pt>
                <c:pt idx="234">
                  <c:v>41.13247042806389</c:v>
                </c:pt>
                <c:pt idx="235">
                  <c:v>41.475375155863183</c:v>
                </c:pt>
                <c:pt idx="236">
                  <c:v>41.819446957004359</c:v>
                </c:pt>
                <c:pt idx="237">
                  <c:v>42.164681675375036</c:v>
                </c:pt>
                <c:pt idx="238">
                  <c:v>42.511075146978087</c:v>
                </c:pt>
                <c:pt idx="239">
                  <c:v>42.858623200040427</c:v>
                </c:pt>
                <c:pt idx="240">
                  <c:v>43.207321655121113</c:v>
                </c:pt>
                <c:pt idx="241">
                  <c:v>43.55716632521878</c:v>
                </c:pt>
                <c:pt idx="242">
                  <c:v>43.908153015878383</c:v>
                </c:pt>
                <c:pt idx="243">
                  <c:v>44.260277525297255</c:v>
                </c:pt>
                <c:pt idx="244">
                  <c:v>44.61353564443052</c:v>
                </c:pt>
                <c:pt idx="245">
                  <c:v>44.967923157095825</c:v>
                </c:pt>
                <c:pt idx="246">
                  <c:v>45.323435840077408</c:v>
                </c:pt>
                <c:pt idx="247">
                  <c:v>45.680069463229493</c:v>
                </c:pt>
                <c:pt idx="248">
                  <c:v>46.037819789579046</c:v>
                </c:pt>
                <c:pt idx="249">
                  <c:v>46.396682575427853</c:v>
                </c:pt>
                <c:pt idx="250">
                  <c:v>46.756653570453956</c:v>
                </c:pt>
                <c:pt idx="251">
                  <c:v>47.117728125659305</c:v>
                </c:pt>
                <c:pt idx="252">
                  <c:v>47.479900800768405</c:v>
                </c:pt>
                <c:pt idx="253">
                  <c:v>47.843165756102188</c:v>
                </c:pt>
                <c:pt idx="254">
                  <c:v>48.207517145017661</c:v>
                </c:pt>
                <c:pt idx="255">
                  <c:v>48.57294911404221</c:v>
                </c:pt>
                <c:pt idx="256">
                  <c:v>48.939455803006794</c:v>
                </c:pt>
                <c:pt idx="257">
                  <c:v>49.307031345178153</c:v>
                </c:pt>
                <c:pt idx="258">
                  <c:v>49.675669867389949</c:v>
                </c:pt>
                <c:pt idx="259">
                  <c:v>50.04536549017287</c:v>
                </c:pt>
                <c:pt idx="260">
                  <c:v>50.416112327883724</c:v>
                </c:pt>
                <c:pt idx="261">
                  <c:v>50.78790448883349</c:v>
                </c:pt>
                <c:pt idx="262">
                  <c:v>51.160736075414356</c:v>
                </c:pt>
                <c:pt idx="263">
                  <c:v>51.534601184225721</c:v>
                </c:pt>
                <c:pt idx="264">
                  <c:v>51.909493906199216</c:v>
                </c:pt>
                <c:pt idx="265">
                  <c:v>52.285408326722674</c:v>
                </c:pt>
                <c:pt idx="266">
                  <c:v>52.662338525763097</c:v>
                </c:pt>
                <c:pt idx="267">
                  <c:v>53.040278577988637</c:v>
                </c:pt>
                <c:pt idx="268">
                  <c:v>53.419222552889565</c:v>
                </c:pt>
                <c:pt idx="269">
                  <c:v>53.79916451489823</c:v>
                </c:pt>
                <c:pt idx="270">
                  <c:v>54.180098523508036</c:v>
                </c:pt>
                <c:pt idx="271">
                  <c:v>54.562018633391403</c:v>
                </c:pt>
                <c:pt idx="272">
                  <c:v>54.944918894516775</c:v>
                </c:pt>
                <c:pt idx="273">
                  <c:v>55.32879335226459</c:v>
                </c:pt>
                <c:pt idx="274">
                  <c:v>55.713636047542316</c:v>
                </c:pt>
                <c:pt idx="275">
                  <c:v>56.099441016898467</c:v>
                </c:pt>
                <c:pt idx="276">
                  <c:v>56.486202292635667</c:v>
                </c:pt>
                <c:pt idx="277">
                  <c:v>56.873913902922716</c:v>
                </c:pt>
                <c:pt idx="278">
                  <c:v>57.262569871905697</c:v>
                </c:pt>
                <c:pt idx="279">
                  <c:v>57.652164219818111</c:v>
                </c:pt>
                <c:pt idx="280">
                  <c:v>58.042690963090045</c:v>
                </c:pt>
                <c:pt idx="281">
                  <c:v>58.434144114456359</c:v>
                </c:pt>
                <c:pt idx="282">
                  <c:v>58.826517683063948</c:v>
                </c:pt>
                <c:pt idx="283">
                  <c:v>59.219805674577998</c:v>
                </c:pt>
                <c:pt idx="284">
                  <c:v>59.614002091287325</c:v>
                </c:pt>
                <c:pt idx="285">
                  <c:v>60.009100932208746</c:v>
                </c:pt>
                <c:pt idx="286">
                  <c:v>60.405096193190488</c:v>
                </c:pt>
                <c:pt idx="287">
                  <c:v>60.801981867014668</c:v>
                </c:pt>
                <c:pt idx="288">
                  <c:v>61.199751943498825</c:v>
                </c:pt>
                <c:pt idx="289">
                  <c:v>61.598400409596486</c:v>
                </c:pt>
                <c:pt idx="290">
                  <c:v>61.997921249496834</c:v>
                </c:pt>
                <c:pt idx="291">
                  <c:v>62.398308444723384</c:v>
                </c:pt>
                <c:pt idx="292">
                  <c:v>62.799555974231772</c:v>
                </c:pt>
                <c:pt idx="293">
                  <c:v>63.201657814506611</c:v>
                </c:pt>
                <c:pt idx="294">
                  <c:v>63.604607939657363</c:v>
                </c:pt>
                <c:pt idx="295">
                  <c:v>64.008400321513363</c:v>
                </c:pt>
                <c:pt idx="296">
                  <c:v>64.413028929717839</c:v>
                </c:pt>
                <c:pt idx="297">
                  <c:v>64.818487731821094</c:v>
                </c:pt>
                <c:pt idx="298">
                  <c:v>65.224766277288225</c:v>
                </c:pt>
                <c:pt idx="299">
                  <c:v>65.631845277816552</c:v>
                </c:pt>
                <c:pt idx="300">
                  <c:v>66.039701023267682</c:v>
                </c:pt>
                <c:pt idx="301">
                  <c:v>66.448309801540574</c:v>
                </c:pt>
                <c:pt idx="302">
                  <c:v>66.857647899159971</c:v>
                </c:pt>
                <c:pt idx="303">
                  <c:v>67.267691601853556</c:v>
                </c:pt>
                <c:pt idx="304">
                  <c:v>67.678417195118143</c:v>
                </c:pt>
                <c:pt idx="305">
                  <c:v>68.089800964774682</c:v>
                </c:pt>
                <c:pt idx="306">
                  <c:v>68.501819197512262</c:v>
                </c:pt>
                <c:pt idx="307">
                  <c:v>68.914448181421065</c:v>
                </c:pt>
                <c:pt idx="308">
                  <c:v>69.327664206514314</c:v>
                </c:pt>
                <c:pt idx="309">
                  <c:v>69.741443565239251</c:v>
                </c:pt>
                <c:pt idx="310">
                  <c:v>70.155762552977208</c:v>
                </c:pt>
                <c:pt idx="311">
                  <c:v>70.570597468532711</c:v>
                </c:pt>
                <c:pt idx="312">
                  <c:v>70.985924614611733</c:v>
                </c:pt>
                <c:pt idx="313">
                  <c:v>71.401720298289035</c:v>
                </c:pt>
                <c:pt idx="314">
                  <c:v>71.817960831464745</c:v>
                </c:pt>
                <c:pt idx="315">
                  <c:v>72.23462253131008</c:v>
                </c:pt>
                <c:pt idx="316">
                  <c:v>72.651681720702314</c:v>
                </c:pt>
                <c:pt idx="317">
                  <c:v>73.069114728648998</c:v>
                </c:pt>
                <c:pt idx="318">
                  <c:v>73.486897890701414</c:v>
                </c:pt>
                <c:pt idx="319">
                  <c:v>73.905007549357421</c:v>
                </c:pt>
                <c:pt idx="320">
                  <c:v>74.32342005445355</c:v>
                </c:pt>
                <c:pt idx="321">
                  <c:v>74.74211354085466</c:v>
                </c:pt>
                <c:pt idx="322">
                  <c:v>75.16106970666003</c:v>
                </c:pt>
                <c:pt idx="323">
                  <c:v>75.580272034904596</c:v>
                </c:pt>
                <c:pt idx="324">
                  <c:v>75.999704014634574</c:v>
                </c:pt>
                <c:pt idx="325">
                  <c:v>76.419349141073226</c:v>
                </c:pt>
                <c:pt idx="326">
                  <c:v>76.83919091578143</c:v>
                </c:pt>
                <c:pt idx="327">
                  <c:v>77.259212846813199</c:v>
                </c:pt>
                <c:pt idx="328">
                  <c:v>77.679398448865996</c:v>
                </c:pt>
                <c:pt idx="329">
                  <c:v>78.099731243425978</c:v>
                </c:pt>
                <c:pt idx="330">
                  <c:v>78.520194758908204</c:v>
                </c:pt>
                <c:pt idx="331">
                  <c:v>78.940772530791648</c:v>
                </c:pt>
                <c:pt idx="332">
                  <c:v>79.361448101749261</c:v>
                </c:pt>
                <c:pt idx="333">
                  <c:v>79.782205021772924</c:v>
                </c:pt>
                <c:pt idx="334">
                  <c:v>80.203026848293433</c:v>
                </c:pt>
                <c:pt idx="335">
                  <c:v>80.623897146295405</c:v>
                </c:pt>
                <c:pt idx="336">
                  <c:v>81.044799488427216</c:v>
                </c:pt>
                <c:pt idx="337">
                  <c:v>81.46571745510596</c:v>
                </c:pt>
                <c:pt idx="338">
                  <c:v>81.886634634617451</c:v>
                </c:pt>
                <c:pt idx="339">
                  <c:v>82.307534623211197</c:v>
                </c:pt>
                <c:pt idx="340">
                  <c:v>82.728401025190536</c:v>
                </c:pt>
                <c:pt idx="341">
                  <c:v>83.149217452997746</c:v>
                </c:pt>
                <c:pt idx="342">
                  <c:v>83.569967527294324</c:v>
                </c:pt>
                <c:pt idx="343">
                  <c:v>83.9906348770363</c:v>
                </c:pt>
                <c:pt idx="344">
                  <c:v>84.411203139544682</c:v>
                </c:pt>
                <c:pt idx="345">
                  <c:v>84.831655960571055</c:v>
                </c:pt>
                <c:pt idx="346">
                  <c:v>85.251976994358259</c:v>
                </c:pt>
                <c:pt idx="347">
                  <c:v>85.672149903696265</c:v>
                </c:pt>
                <c:pt idx="348">
                  <c:v>86.09215855437246</c:v>
                </c:pt>
                <c:pt idx="349">
                  <c:v>86.511987209609401</c:v>
                </c:pt>
                <c:pt idx="350">
                  <c:v>86.931620335466746</c:v>
                </c:pt>
                <c:pt idx="351">
                  <c:v>87.351042406241689</c:v>
                </c:pt>
                <c:pt idx="352">
                  <c:v>87.770237904492021</c:v>
                </c:pt>
                <c:pt idx="353">
                  <c:v>88.189191321054892</c:v>
                </c:pt>
                <c:pt idx="354">
                  <c:v>88.607887155061263</c:v>
                </c:pt>
                <c:pt idx="355">
                  <c:v>89.026309913946022</c:v>
                </c:pt>
                <c:pt idx="356">
                  <c:v>89.444444113453827</c:v>
                </c:pt>
                <c:pt idx="357">
                  <c:v>89.862274277640623</c:v>
                </c:pt>
                <c:pt idx="358">
                  <c:v>90.279784938870876</c:v>
                </c:pt>
                <c:pt idx="359">
                  <c:v>90.696960637810548</c:v>
                </c:pt>
                <c:pt idx="360">
                  <c:v>91.113789992473258</c:v>
                </c:pt>
                <c:pt idx="361">
                  <c:v>91.530269766707761</c:v>
                </c:pt>
                <c:pt idx="362">
                  <c:v>91.946400795630794</c:v>
                </c:pt>
                <c:pt idx="363">
                  <c:v>92.362183911629245</c:v>
                </c:pt>
                <c:pt idx="364">
                  <c:v>92.777619944372461</c:v>
                </c:pt>
                <c:pt idx="365">
                  <c:v>93.192709720824425</c:v>
                </c:pt>
                <c:pt idx="366">
                  <c:v>93.60745406525588</c:v>
                </c:pt>
                <c:pt idx="367">
                  <c:v>94.021853799256434</c:v>
                </c:pt>
                <c:pt idx="368">
                  <c:v>94.435909741746499</c:v>
                </c:pt>
                <c:pt idx="369">
                  <c:v>94.849622708989287</c:v>
                </c:pt>
                <c:pt idx="370">
                  <c:v>95.262993514602599</c:v>
                </c:pt>
                <c:pt idx="371">
                  <c:v>95.676022969570667</c:v>
                </c:pt>
                <c:pt idx="372">
                  <c:v>96.088711882255893</c:v>
                </c:pt>
                <c:pt idx="373">
                  <c:v>96.5010610584105</c:v>
                </c:pt>
                <c:pt idx="374">
                  <c:v>96.913071301188097</c:v>
                </c:pt>
                <c:pt idx="375">
                  <c:v>97.324743411155268</c:v>
                </c:pt>
                <c:pt idx="376">
                  <c:v>97.736078186303033</c:v>
                </c:pt>
                <c:pt idx="377">
                  <c:v>98.14707642205822</c:v>
                </c:pt>
                <c:pt idx="378">
                  <c:v>98.557738911294862</c:v>
                </c:pt>
                <c:pt idx="379">
                  <c:v>98.968066444345439</c:v>
                </c:pt>
                <c:pt idx="380">
                  <c:v>99.378059809012115</c:v>
                </c:pt>
                <c:pt idx="381">
                  <c:v>99.787719790577881</c:v>
                </c:pt>
                <c:pt idx="382">
                  <c:v>100.19704717181769</c:v>
                </c:pt>
                <c:pt idx="383">
                  <c:v>100.60604273300943</c:v>
                </c:pt>
                <c:pt idx="384">
                  <c:v>101.01470725194497</c:v>
                </c:pt>
                <c:pt idx="385">
                  <c:v>101.42304150394101</c:v>
                </c:pt>
                <c:pt idx="386">
                  <c:v>101.83104626184996</c:v>
                </c:pt>
                <c:pt idx="387">
                  <c:v>102.23872229607078</c:v>
                </c:pt>
                <c:pt idx="388">
                  <c:v>102.64607037455961</c:v>
                </c:pt>
                <c:pt idx="389">
                  <c:v>103.05309126284058</c:v>
                </c:pt>
                <c:pt idx="390">
                  <c:v>103.4597857240163</c:v>
                </c:pt>
                <c:pt idx="391">
                  <c:v>103.86615451877852</c:v>
                </c:pt>
                <c:pt idx="392">
                  <c:v>104.27219840541855</c:v>
                </c:pt>
                <c:pt idx="393">
                  <c:v>104.67791813983779</c:v>
                </c:pt>
                <c:pt idx="394">
                  <c:v>105.08331447555804</c:v>
                </c:pt>
                <c:pt idx="395">
                  <c:v>105.48838816373191</c:v>
                </c:pt>
                <c:pt idx="396">
                  <c:v>105.89313995315302</c:v>
                </c:pt>
                <c:pt idx="397">
                  <c:v>106.29757059026628</c:v>
                </c:pt>
                <c:pt idx="398">
                  <c:v>106.70168081917801</c:v>
                </c:pt>
                <c:pt idx="399">
                  <c:v>107.10547138166609</c:v>
                </c:pt>
                <c:pt idx="400">
                  <c:v>107.50894301718999</c:v>
                </c:pt>
                <c:pt idx="401">
                  <c:v>111.5261754926936</c:v>
                </c:pt>
                <c:pt idx="402">
                  <c:v>115.51199042372903</c:v>
                </c:pt>
                <c:pt idx="403">
                  <c:v>119.46710589078182</c:v>
                </c:pt>
                <c:pt idx="404">
                  <c:v>123.39221805875471</c:v>
                </c:pt>
                <c:pt idx="405">
                  <c:v>127.28800209429365</c:v>
                </c:pt>
                <c:pt idx="406">
                  <c:v>131.1551130355156</c:v>
                </c:pt>
                <c:pt idx="407">
                  <c:v>134.99418661708708</c:v>
                </c:pt>
                <c:pt idx="408">
                  <c:v>138.80584005339043</c:v>
                </c:pt>
                <c:pt idx="409">
                  <c:v>142.59067278231973</c:v>
                </c:pt>
                <c:pt idx="410">
                  <c:v>146.34926717206977</c:v>
                </c:pt>
                <c:pt idx="411">
                  <c:v>150.08218919311611</c:v>
                </c:pt>
                <c:pt idx="412">
                  <c:v>153.78998905743285</c:v>
                </c:pt>
                <c:pt idx="413">
                  <c:v>157.4732018268551</c:v>
                </c:pt>
                <c:pt idx="414">
                  <c:v>161.13234799236358</c:v>
                </c:pt>
                <c:pt idx="415">
                  <c:v>164.7679340259499</c:v>
                </c:pt>
                <c:pt idx="416">
                  <c:v>168.38045290661125</c:v>
                </c:pt>
                <c:pt idx="417">
                  <c:v>171.97038462192083</c:v>
                </c:pt>
                <c:pt idx="418">
                  <c:v>175.53819664652647</c:v>
                </c:pt>
                <c:pt idx="419">
                  <c:v>179.08434439884272</c:v>
                </c:pt>
                <c:pt idx="420">
                  <c:v>182.60927167712023</c:v>
                </c:pt>
                <c:pt idx="421">
                  <c:v>186.11341107600188</c:v>
                </c:pt>
                <c:pt idx="422">
                  <c:v>189.5971843846047</c:v>
                </c:pt>
                <c:pt idx="423">
                  <c:v>193.06100296710235</c:v>
                </c:pt>
                <c:pt idx="424">
                  <c:v>196.50526812672263</c:v>
                </c:pt>
                <c:pt idx="425">
                  <c:v>199.93037145401831</c:v>
                </c:pt>
                <c:pt idx="426">
                  <c:v>203.33669516021754</c:v>
                </c:pt>
                <c:pt idx="427">
                  <c:v>206.7246123964114</c:v>
                </c:pt>
                <c:pt idx="428">
                  <c:v>210.09448755929108</c:v>
                </c:pt>
                <c:pt idx="429">
                  <c:v>213.44667658410458</c:v>
                </c:pt>
                <c:pt idx="430">
                  <c:v>216.78152722546346</c:v>
                </c:pt>
                <c:pt idx="431">
                  <c:v>220.09937932659352</c:v>
                </c:pt>
                <c:pt idx="432">
                  <c:v>223.40056507758831</c:v>
                </c:pt>
                <c:pt idx="433">
                  <c:v>226.68540926319264</c:v>
                </c:pt>
                <c:pt idx="434">
                  <c:v>229.95422950061263</c:v>
                </c:pt>
                <c:pt idx="435">
                  <c:v>233.2073364678208</c:v>
                </c:pt>
                <c:pt idx="436">
                  <c:v>236.44503412279801</c:v>
                </c:pt>
                <c:pt idx="437">
                  <c:v>239.66761991412915</c:v>
                </c:pt>
                <c:pt idx="438">
                  <c:v>242.87538498334629</c:v>
                </c:pt>
                <c:pt idx="439">
                  <c:v>246.06861435939064</c:v>
                </c:pt>
                <c:pt idx="440">
                  <c:v>249.2475871455444</c:v>
                </c:pt>
                <c:pt idx="441">
                  <c:v>252.41257669916396</c:v>
                </c:pt>
                <c:pt idx="442">
                  <c:v>255.56385080452742</c:v>
                </c:pt>
                <c:pt idx="443">
                  <c:v>258.70167183909234</c:v>
                </c:pt>
                <c:pt idx="444">
                  <c:v>261.82629693344336</c:v>
                </c:pt>
                <c:pt idx="445">
                  <c:v>264.93797812519335</c:v>
                </c:pt>
                <c:pt idx="446">
                  <c:v>268.03696250708845</c:v>
                </c:pt>
                <c:pt idx="447">
                  <c:v>271.12349236955157</c:v>
                </c:pt>
                <c:pt idx="448">
                  <c:v>274.19780533788821</c:v>
                </c:pt>
                <c:pt idx="449">
                  <c:v>277.2601345043638</c:v>
                </c:pt>
                <c:pt idx="450">
                  <c:v>280.3107085553516</c:v>
                </c:pt>
                <c:pt idx="451">
                  <c:v>283.34975189373836</c:v>
                </c:pt>
                <c:pt idx="452">
                  <c:v>286.37748475676364</c:v>
                </c:pt>
                <c:pt idx="453">
                  <c:v>289.39412332945994</c:v>
                </c:pt>
                <c:pt idx="454">
                  <c:v>292.39987985384937</c:v>
                </c:pt>
                <c:pt idx="455">
                  <c:v>295.39496273404433</c:v>
                </c:pt>
                <c:pt idx="456">
                  <c:v>298.37957663739047</c:v>
                </c:pt>
                <c:pt idx="457">
                  <c:v>301.35392259178099</c:v>
                </c:pt>
                <c:pt idx="458">
                  <c:v>304.31819807926388</c:v>
                </c:pt>
                <c:pt idx="459">
                  <c:v>307.27259712605445</c:v>
                </c:pt>
                <c:pt idx="460">
                  <c:v>310.21731038905915</c:v>
                </c:pt>
                <c:pt idx="461">
                  <c:v>313.15252523900745</c:v>
                </c:pt>
                <c:pt idx="462">
                  <c:v>316.07842584028231</c:v>
                </c:pt>
                <c:pt idx="463">
                  <c:v>318.99519322753207</c:v>
                </c:pt>
                <c:pt idx="464">
                  <c:v>321.9030053791389</c:v>
                </c:pt>
                <c:pt idx="465">
                  <c:v>324.8020372876129</c:v>
                </c:pt>
                <c:pt idx="466">
                  <c:v>327.69246102697309</c:v>
                </c:pt>
                <c:pt idx="467">
                  <c:v>330.57444581716987</c:v>
                </c:pt>
                <c:pt idx="468">
                  <c:v>333.44815808559684</c:v>
                </c:pt>
                <c:pt idx="469">
                  <c:v>336.31376152573222</c:v>
                </c:pt>
                <c:pt idx="470">
                  <c:v>339.17141715294434</c:v>
                </c:pt>
                <c:pt idx="471">
                  <c:v>342.02128335748711</c:v>
                </c:pt>
                <c:pt idx="472">
                  <c:v>344.86351595470541</c:v>
                </c:pt>
                <c:pt idx="473">
                  <c:v>347.69826823246308</c:v>
                </c:pt>
                <c:pt idx="474">
                  <c:v>350.52569099579762</c:v>
                </c:pt>
                <c:pt idx="475">
                  <c:v>353.34593260880018</c:v>
                </c:pt>
                <c:pt idx="476">
                  <c:v>356.15913903370966</c:v>
                </c:pt>
                <c:pt idx="477">
                  <c:v>358.96545386720317</c:v>
                </c:pt>
                <c:pt idx="478">
                  <c:v>361.76501837385695</c:v>
                </c:pt>
                <c:pt idx="479">
                  <c:v>364.55797151674267</c:v>
                </c:pt>
                <c:pt idx="480">
                  <c:v>367.34444998511617</c:v>
                </c:pt>
                <c:pt idx="481">
                  <c:v>370.12458821914703</c:v>
                </c:pt>
                <c:pt idx="482">
                  <c:v>372.89851843162745</c:v>
                </c:pt>
                <c:pt idx="483">
                  <c:v>375.66637062659078</c:v>
                </c:pt>
                <c:pt idx="484">
                  <c:v>378.42827261475975</c:v>
                </c:pt>
                <c:pt idx="485">
                  <c:v>381.1843500257354</c:v>
                </c:pt>
                <c:pt idx="486">
                  <c:v>383.93472631682749</c:v>
                </c:pt>
                <c:pt idx="487">
                  <c:v>386.67952277841869</c:v>
                </c:pt>
                <c:pt idx="488">
                  <c:v>389.41885853574337</c:v>
                </c:pt>
                <c:pt idx="489">
                  <c:v>392.15285054695477</c:v>
                </c:pt>
                <c:pt idx="490">
                  <c:v>394.88161359734391</c:v>
                </c:pt>
                <c:pt idx="491">
                  <c:v>397.60526028956627</c:v>
                </c:pt>
                <c:pt idx="492">
                  <c:v>400.32390102972505</c:v>
                </c:pt>
                <c:pt idx="493">
                  <c:v>403.03764400915384</c:v>
                </c:pt>
                <c:pt idx="494">
                  <c:v>405.74659518173814</c:v>
                </c:pt>
                <c:pt idx="495">
                  <c:v>408.45085823661316</c:v>
                </c:pt>
                <c:pt idx="496">
                  <c:v>411.15053456607677</c:v>
                </c:pt>
                <c:pt idx="497">
                  <c:v>413.84572322856178</c:v>
                </c:pt>
                <c:pt idx="498">
                  <c:v>416.53652090652128</c:v>
                </c:pt>
                <c:pt idx="499">
                  <c:v>419.22302185909575</c:v>
                </c:pt>
                <c:pt idx="500">
                  <c:v>421.90531786945263</c:v>
                </c:pt>
                <c:pt idx="501">
                  <c:v>424.58349818671832</c:v>
                </c:pt>
                <c:pt idx="502">
                  <c:v>427.25764946246187</c:v>
                </c:pt>
                <c:pt idx="503">
                  <c:v>429.92785568173707</c:v>
                </c:pt>
                <c:pt idx="504">
                  <c:v>432.59419808875208</c:v>
                </c:pt>
                <c:pt idx="505">
                  <c:v>435.25675510730781</c:v>
                </c:pt>
                <c:pt idx="506">
                  <c:v>437.91560225623402</c:v>
                </c:pt>
                <c:pt idx="507">
                  <c:v>440.57081206015431</c:v>
                </c:pt>
                <c:pt idx="508">
                  <c:v>443.22245395602778</c:v>
                </c:pt>
                <c:pt idx="509">
                  <c:v>445.87059419604543</c:v>
                </c:pt>
                <c:pt idx="510">
                  <c:v>448.51529574760423</c:v>
                </c:pt>
                <c:pt idx="511">
                  <c:v>451.15661819123562</c:v>
                </c:pt>
                <c:pt idx="512">
                  <c:v>453.79461761752646</c:v>
                </c:pt>
                <c:pt idx="513">
                  <c:v>456.42934652423264</c:v>
                </c:pt>
                <c:pt idx="514">
                  <c:v>459.0608537149443</c:v>
                </c:pt>
                <c:pt idx="515">
                  <c:v>461.68918420080536</c:v>
                </c:pt>
                <c:pt idx="516">
                  <c:v>464.31437910691295</c:v>
                </c:pt>
                <c:pt idx="517">
                  <c:v>466.93647558511441</c:v>
                </c:pt>
                <c:pt idx="518">
                  <c:v>469.5555067349668</c:v>
                </c:pt>
                <c:pt idx="519">
                  <c:v>472.17150153462563</c:v>
                </c:pt>
                <c:pt idx="520">
                  <c:v>474.78448478336821</c:v>
                </c:pt>
                <c:pt idx="521">
                  <c:v>477.39447705733784</c:v>
                </c:pt>
                <c:pt idx="522">
                  <c:v>480.00149467991025</c:v>
                </c:pt>
                <c:pt idx="523">
                  <c:v>482.60554970783937</c:v>
                </c:pt>
                <c:pt idx="524">
                  <c:v>485.20664993404284</c:v>
                </c:pt>
                <c:pt idx="525">
                  <c:v>487.80479890755061</c:v>
                </c:pt>
                <c:pt idx="526">
                  <c:v>490.39999597077548</c:v>
                </c:pt>
                <c:pt idx="527">
                  <c:v>492.99223631389333</c:v>
                </c:pt>
                <c:pt idx="528">
                  <c:v>495.58151104575774</c:v>
                </c:pt>
                <c:pt idx="529">
                  <c:v>498.16780728043881</c:v>
                </c:pt>
                <c:pt idx="530">
                  <c:v>500.75110823818181</c:v>
                </c:pt>
                <c:pt idx="531">
                  <c:v>503.33139335934146</c:v>
                </c:pt>
                <c:pt idx="532">
                  <c:v>505.90863842966883</c:v>
                </c:pt>
                <c:pt idx="533">
                  <c:v>508.48281571521306</c:v>
                </c:pt>
                <c:pt idx="534">
                  <c:v>511.05389410504853</c:v>
                </c:pt>
                <c:pt idx="535">
                  <c:v>513.621839260044</c:v>
                </c:pt>
                <c:pt idx="536">
                  <c:v>516.18661376594901</c:v>
                </c:pt>
                <c:pt idx="537">
                  <c:v>518.7481772891706</c:v>
                </c:pt>
                <c:pt idx="538">
                  <c:v>521.30648673374526</c:v>
                </c:pt>
                <c:pt idx="539">
                  <c:v>523.86149639816188</c:v>
                </c:pt>
                <c:pt idx="540">
                  <c:v>526.41315813085873</c:v>
                </c:pt>
                <c:pt idx="541">
                  <c:v>528.96142148338299</c:v>
                </c:pt>
                <c:pt idx="542">
                  <c:v>531.50623386037114</c:v>
                </c:pt>
                <c:pt idx="543">
                  <c:v>534.04754066566557</c:v>
                </c:pt>
                <c:pt idx="544">
                  <c:v>536.58528544403032</c:v>
                </c:pt>
                <c:pt idx="545">
                  <c:v>539.11941001806372</c:v>
                </c:pt>
                <c:pt idx="546">
                  <c:v>541.64985462002312</c:v>
                </c:pt>
                <c:pt idx="547">
                  <c:v>544.17655801838032</c:v>
                </c:pt>
                <c:pt idx="548">
                  <c:v>546.6994576390158</c:v>
                </c:pt>
                <c:pt idx="549">
                  <c:v>549.21848968103131</c:v>
                </c:pt>
                <c:pt idx="550">
                  <c:v>551.73358922722161</c:v>
                </c:pt>
                <c:pt idx="551">
                  <c:v>554.24469034929598</c:v>
                </c:pt>
                <c:pt idx="552">
                  <c:v>556.75172620797593</c:v>
                </c:pt>
                <c:pt idx="553">
                  <c:v>559.25462914812533</c:v>
                </c:pt>
                <c:pt idx="554">
                  <c:v>561.75333078909034</c:v>
                </c:pt>
                <c:pt idx="555">
                  <c:v>564.24776211044048</c:v>
                </c:pt>
                <c:pt idx="556">
                  <c:v>566.73785353331084</c:v>
                </c:pt>
                <c:pt idx="557">
                  <c:v>569.22353499755036</c:v>
                </c:pt>
                <c:pt idx="558">
                  <c:v>571.70473603488233</c:v>
                </c:pt>
                <c:pt idx="559">
                  <c:v>574.18138583827931</c:v>
                </c:pt>
                <c:pt idx="560">
                  <c:v>576.65341332775381</c:v>
                </c:pt>
                <c:pt idx="561">
                  <c:v>579.12074721275621</c:v>
                </c:pt>
                <c:pt idx="562">
                  <c:v>581.58331605136902</c:v>
                </c:pt>
                <c:pt idx="563">
                  <c:v>584.04104830647407</c:v>
                </c:pt>
                <c:pt idx="564">
                  <c:v>586.49387239906423</c:v>
                </c:pt>
                <c:pt idx="565">
                  <c:v>588.94171675886173</c:v>
                </c:pt>
                <c:pt idx="566">
                  <c:v>591.38450987239491</c:v>
                </c:pt>
                <c:pt idx="567">
                  <c:v>593.82218032867911</c:v>
                </c:pt>
                <c:pt idx="568">
                  <c:v>596.25465686263612</c:v>
                </c:pt>
                <c:pt idx="569">
                  <c:v>598.68186839638088</c:v>
                </c:pt>
                <c:pt idx="570">
                  <c:v>601.10374407849361</c:v>
                </c:pt>
                <c:pt idx="571">
                  <c:v>603.5202133213902</c:v>
                </c:pt>
                <c:pt idx="572">
                  <c:v>605.93120583689449</c:v>
                </c:pt>
                <c:pt idx="573">
                  <c:v>608.33665167010986</c:v>
                </c:pt>
                <c:pt idx="574">
                  <c:v>610.73648123168186</c:v>
                </c:pt>
                <c:pt idx="575">
                  <c:v>613.13062532853598</c:v>
                </c:pt>
                <c:pt idx="576">
                  <c:v>615.51901519316971</c:v>
                </c:pt>
                <c:pt idx="577">
                  <c:v>617.90158251157231</c:v>
                </c:pt>
                <c:pt idx="578">
                  <c:v>620.2782594498417</c:v>
                </c:pt>
                <c:pt idx="579">
                  <c:v>622.64897867956131</c:v>
                </c:pt>
                <c:pt idx="580">
                  <c:v>625.01367340199727</c:v>
                </c:pt>
                <c:pt idx="581">
                  <c:v>627.37227737117075</c:v>
                </c:pt>
                <c:pt idx="582">
                  <c:v>629.72472491585791</c:v>
                </c:pt>
                <c:pt idx="583">
                  <c:v>632.07095096056469</c:v>
                </c:pt>
                <c:pt idx="584">
                  <c:v>634.41089104552282</c:v>
                </c:pt>
                <c:pt idx="585">
                  <c:v>636.74448134574766</c:v>
                </c:pt>
                <c:pt idx="586">
                  <c:v>639.07165868919799</c:v>
                </c:pt>
                <c:pt idx="587">
                  <c:v>641.39236057407402</c:v>
                </c:pt>
                <c:pt idx="588">
                  <c:v>643.70652518528834</c:v>
                </c:pt>
                <c:pt idx="589">
                  <c:v>646.01409141014153</c:v>
                </c:pt>
                <c:pt idx="590">
                  <c:v>648.31499885323296</c:v>
                </c:pt>
                <c:pt idx="591">
                  <c:v>650.60918785063427</c:v>
                </c:pt>
                <c:pt idx="592">
                  <c:v>652.89659948335327</c:v>
                </c:pt>
                <c:pt idx="593">
                  <c:v>655.17717559011214</c:v>
                </c:pt>
                <c:pt idx="594">
                  <c:v>657.45085877946394</c:v>
                </c:pt>
                <c:pt idx="595">
                  <c:v>659.71759244126929</c:v>
                </c:pt>
                <c:pt idx="596">
                  <c:v>661.97732075755437</c:v>
                </c:pt>
                <c:pt idx="597">
                  <c:v>664.22998871277002</c:v>
                </c:pt>
                <c:pt idx="598">
                  <c:v>666.47554210347005</c:v>
                </c:pt>
                <c:pt idx="599">
                  <c:v>668.71392754742715</c:v>
                </c:pt>
                <c:pt idx="600">
                  <c:v>670.94509249220289</c:v>
                </c:pt>
                <c:pt idx="601">
                  <c:v>673.16898522318741</c:v>
                </c:pt>
                <c:pt idx="602">
                  <c:v>675.38555487112467</c:v>
                </c:pt>
                <c:pt idx="603">
                  <c:v>677.59475141913731</c:v>
                </c:pt>
                <c:pt idx="604">
                  <c:v>679.79652570926498</c:v>
                </c:pt>
                <c:pt idx="605">
                  <c:v>681.99082944852933</c:v>
                </c:pt>
                <c:pt idx="606">
                  <c:v>684.17761521453838</c:v>
                </c:pt>
                <c:pt idx="607">
                  <c:v>686.35683646064228</c:v>
                </c:pt>
                <c:pt idx="608">
                  <c:v>688.52844752065243</c:v>
                </c:pt>
                <c:pt idx="609">
                  <c:v>690.69240361313496</c:v>
                </c:pt>
                <c:pt idx="610">
                  <c:v>692.8486608452888</c:v>
                </c:pt>
                <c:pt idx="611">
                  <c:v>694.99717621642003</c:v>
                </c:pt>
                <c:pt idx="612">
                  <c:v>697.13790762102167</c:v>
                </c:pt>
                <c:pt idx="613">
                  <c:v>699.27081385146857</c:v>
                </c:pt>
                <c:pt idx="614">
                  <c:v>701.39585460033732</c:v>
                </c:pt>
                <c:pt idx="615">
                  <c:v>703.51299046236056</c:v>
                </c:pt>
                <c:pt idx="616">
                  <c:v>705.62218293602371</c:v>
                </c:pt>
                <c:pt idx="617">
                  <c:v>707.72339442481336</c:v>
                </c:pt>
                <c:pt idx="618">
                  <c:v>709.81658823812609</c:v>
                </c:pt>
                <c:pt idx="619">
                  <c:v>711.9017285918452</c:v>
                </c:pt>
                <c:pt idx="620">
                  <c:v>713.97878060859432</c:v>
                </c:pt>
                <c:pt idx="621">
                  <c:v>716.04771031767439</c:v>
                </c:pt>
                <c:pt idx="622">
                  <c:v>718.10848465469348</c:v>
                </c:pt>
                <c:pt idx="623">
                  <c:v>720.16107146089553</c:v>
                </c:pt>
                <c:pt idx="624">
                  <c:v>722.2054394821962</c:v>
                </c:pt>
                <c:pt idx="625">
                  <c:v>724.24155836793273</c:v>
                </c:pt>
                <c:pt idx="626">
                  <c:v>726.26939866933492</c:v>
                </c:pt>
                <c:pt idx="627">
                  <c:v>728.28893183772493</c:v>
                </c:pt>
                <c:pt idx="628">
                  <c:v>730.30013022245134</c:v>
                </c:pt>
                <c:pt idx="629">
                  <c:v>732.30296706856586</c:v>
                </c:pt>
                <c:pt idx="630">
                  <c:v>734.29741651424843</c:v>
                </c:pt>
                <c:pt idx="631">
                  <c:v>736.28345358798731</c:v>
                </c:pt>
                <c:pt idx="632">
                  <c:v>738.26105420552085</c:v>
                </c:pt>
                <c:pt idx="633">
                  <c:v>740.23019516654733</c:v>
                </c:pt>
                <c:pt idx="634">
                  <c:v>742.19085415120935</c:v>
                </c:pt>
                <c:pt idx="635">
                  <c:v>744.14300971635805</c:v>
                </c:pt>
                <c:pt idx="636">
                  <c:v>746.08664129160491</c:v>
                </c:pt>
                <c:pt idx="637">
                  <c:v>748.02172917516521</c:v>
                </c:pt>
                <c:pt idx="638">
                  <c:v>749.94825452950136</c:v>
                </c:pt>
                <c:pt idx="639">
                  <c:v>751.86619937676949</c:v>
                </c:pt>
                <c:pt idx="640">
                  <c:v>753.77554659407758</c:v>
                </c:pt>
                <c:pt idx="641">
                  <c:v>755.67627990855897</c:v>
                </c:pt>
                <c:pt idx="642">
                  <c:v>757.56838389226823</c:v>
                </c:pt>
                <c:pt idx="643">
                  <c:v>759.4518439569041</c:v>
                </c:pt>
                <c:pt idx="644">
                  <c:v>761.32664634836556</c:v>
                </c:pt>
                <c:pt idx="645">
                  <c:v>763.1927781411465</c:v>
                </c:pt>
                <c:pt idx="646">
                  <c:v>765.05022723257412</c:v>
                </c:pt>
                <c:pt idx="647">
                  <c:v>766.89898233689655</c:v>
                </c:pt>
                <c:pt idx="648">
                  <c:v>768.73903297922527</c:v>
                </c:pt>
                <c:pt idx="649">
                  <c:v>770.57036948933671</c:v>
                </c:pt>
                <c:pt idx="650">
                  <c:v>772.39298299533959</c:v>
                </c:pt>
                <c:pt idx="651">
                  <c:v>774.20686541721136</c:v>
                </c:pt>
                <c:pt idx="652">
                  <c:v>776.01200946021004</c:v>
                </c:pt>
                <c:pt idx="653">
                  <c:v>777.80840860816625</c:v>
                </c:pt>
                <c:pt idx="654">
                  <c:v>779.59605711665949</c:v>
                </c:pt>
                <c:pt idx="655">
                  <c:v>781.37495000608476</c:v>
                </c:pt>
                <c:pt idx="656">
                  <c:v>783.145083054613</c:v>
                </c:pt>
                <c:pt idx="657">
                  <c:v>784.90645279105127</c:v>
                </c:pt>
                <c:pt idx="658">
                  <c:v>786.65905648760588</c:v>
                </c:pt>
                <c:pt idx="659">
                  <c:v>788.40289215255507</c:v>
                </c:pt>
                <c:pt idx="660">
                  <c:v>790.13795852283306</c:v>
                </c:pt>
                <c:pt idx="661">
                  <c:v>791.86425505653278</c:v>
                </c:pt>
                <c:pt idx="662">
                  <c:v>793.5817819253291</c:v>
                </c:pt>
                <c:pt idx="663">
                  <c:v>795.29054000682856</c:v>
                </c:pt>
                <c:pt idx="664">
                  <c:v>796.99053087684956</c:v>
                </c:pt>
                <c:pt idx="665">
                  <c:v>798.68175680163608</c:v>
                </c:pt>
                <c:pt idx="666">
                  <c:v>800.36422073001052</c:v>
                </c:pt>
                <c:pt idx="667">
                  <c:v>802.03792628546876</c:v>
                </c:pt>
                <c:pt idx="668">
                  <c:v>803.70287775822169</c:v>
                </c:pt>
                <c:pt idx="669">
                  <c:v>805.35908009718742</c:v>
                </c:pt>
                <c:pt idx="670">
                  <c:v>807.00653890193689</c:v>
                </c:pt>
                <c:pt idx="671">
                  <c:v>808.6452604145984</c:v>
                </c:pt>
                <c:pt idx="672">
                  <c:v>810.27525151172301</c:v>
                </c:pt>
                <c:pt idx="673">
                  <c:v>811.89651969611566</c:v>
                </c:pt>
                <c:pt idx="674">
                  <c:v>813.50907308863486</c:v>
                </c:pt>
                <c:pt idx="675">
                  <c:v>815.11292041996535</c:v>
                </c:pt>
                <c:pt idx="676">
                  <c:v>816.70807102236529</c:v>
                </c:pt>
                <c:pt idx="677">
                  <c:v>818.29453482139388</c:v>
                </c:pt>
                <c:pt idx="678">
                  <c:v>819.87232232762074</c:v>
                </c:pt>
                <c:pt idx="679">
                  <c:v>821.44144462832071</c:v>
                </c:pt>
                <c:pt idx="680">
                  <c:v>823.00191337915805</c:v>
                </c:pt>
                <c:pt idx="681">
                  <c:v>824.55374079586204</c:v>
                </c:pt>
                <c:pt idx="682">
                  <c:v>826.09693964589758</c:v>
                </c:pt>
                <c:pt idx="683">
                  <c:v>827.63152324013379</c:v>
                </c:pt>
                <c:pt idx="684">
                  <c:v>829.15750542451315</c:v>
                </c:pt>
                <c:pt idx="685">
                  <c:v>830.67490057172415</c:v>
                </c:pt>
                <c:pt idx="686">
                  <c:v>832.18372357288047</c:v>
                </c:pt>
                <c:pt idx="687">
                  <c:v>833.68398982920894</c:v>
                </c:pt>
                <c:pt idx="688">
                  <c:v>835.17571524374898</c:v>
                </c:pt>
                <c:pt idx="689">
                  <c:v>836.6589162130665</c:v>
                </c:pt>
                <c:pt idx="690">
                  <c:v>838.13360961898434</c:v>
                </c:pt>
                <c:pt idx="691">
                  <c:v>839.59981282033152</c:v>
                </c:pt>
                <c:pt idx="692">
                  <c:v>841.05754364471409</c:v>
                </c:pt>
                <c:pt idx="693">
                  <c:v>842.5068203803097</c:v>
                </c:pt>
                <c:pt idx="694">
                  <c:v>843.94766176768803</c:v>
                </c:pt>
                <c:pt idx="695">
                  <c:v>845.38008699165948</c:v>
                </c:pt>
                <c:pt idx="696">
                  <c:v>846.80411567315366</c:v>
                </c:pt>
                <c:pt idx="697">
                  <c:v>848.21976786113055</c:v>
                </c:pt>
                <c:pt idx="698">
                  <c:v>849.62706402452579</c:v>
                </c:pt>
                <c:pt idx="699">
                  <c:v>851.0260250442318</c:v>
                </c:pt>
                <c:pt idx="700">
                  <c:v>852.41667220511727</c:v>
                </c:pt>
                <c:pt idx="701">
                  <c:v>853.79902718808626</c:v>
                </c:pt>
                <c:pt idx="702">
                  <c:v>855.17311206217892</c:v>
                </c:pt>
                <c:pt idx="703">
                  <c:v>856.53894927671536</c:v>
                </c:pt>
                <c:pt idx="704">
                  <c:v>857.89656165348413</c:v>
                </c:pt>
                <c:pt idx="705">
                  <c:v>859.24597237897774</c:v>
                </c:pt>
                <c:pt idx="706">
                  <c:v>859.24597237897774</c:v>
                </c:pt>
                <c:pt idx="707">
                  <c:v>859.24597237897774</c:v>
                </c:pt>
                <c:pt idx="708">
                  <c:v>859.24597237897774</c:v>
                </c:pt>
                <c:pt idx="709">
                  <c:v>859.24597237897774</c:v>
                </c:pt>
                <c:pt idx="710">
                  <c:v>859.24597237897774</c:v>
                </c:pt>
                <c:pt idx="711">
                  <c:v>859.24597237897774</c:v>
                </c:pt>
                <c:pt idx="712">
                  <c:v>859.24597237897774</c:v>
                </c:pt>
                <c:pt idx="713">
                  <c:v>859.24597237897774</c:v>
                </c:pt>
                <c:pt idx="714">
                  <c:v>859.24597237897774</c:v>
                </c:pt>
                <c:pt idx="715">
                  <c:v>859.24597237897774</c:v>
                </c:pt>
                <c:pt idx="716">
                  <c:v>859.24597237897774</c:v>
                </c:pt>
                <c:pt idx="717">
                  <c:v>859.24597237897774</c:v>
                </c:pt>
                <c:pt idx="718">
                  <c:v>859.24597237897774</c:v>
                </c:pt>
                <c:pt idx="719">
                  <c:v>859.24597237897774</c:v>
                </c:pt>
                <c:pt idx="720">
                  <c:v>859.24597237897774</c:v>
                </c:pt>
                <c:pt idx="721">
                  <c:v>859.24597237897774</c:v>
                </c:pt>
                <c:pt idx="722">
                  <c:v>859.24597237897774</c:v>
                </c:pt>
                <c:pt idx="723">
                  <c:v>859.24597237897774</c:v>
                </c:pt>
                <c:pt idx="724">
                  <c:v>859.24597237897774</c:v>
                </c:pt>
                <c:pt idx="725">
                  <c:v>859.24597237897774</c:v>
                </c:pt>
                <c:pt idx="726">
                  <c:v>859.24597237897774</c:v>
                </c:pt>
                <c:pt idx="727">
                  <c:v>859.24597237897774</c:v>
                </c:pt>
                <c:pt idx="728">
                  <c:v>859.24597237897774</c:v>
                </c:pt>
                <c:pt idx="729">
                  <c:v>859.24597237897774</c:v>
                </c:pt>
                <c:pt idx="730">
                  <c:v>859.24597237897774</c:v>
                </c:pt>
                <c:pt idx="731">
                  <c:v>859.24597237897774</c:v>
                </c:pt>
                <c:pt idx="732">
                  <c:v>859.24597237897774</c:v>
                </c:pt>
                <c:pt idx="733">
                  <c:v>859.24597237897774</c:v>
                </c:pt>
                <c:pt idx="734">
                  <c:v>859.24597237897774</c:v>
                </c:pt>
                <c:pt idx="735">
                  <c:v>859.24597237897774</c:v>
                </c:pt>
                <c:pt idx="736">
                  <c:v>859.24597237897774</c:v>
                </c:pt>
                <c:pt idx="737">
                  <c:v>859.24597237897774</c:v>
                </c:pt>
                <c:pt idx="738">
                  <c:v>859.24597237897774</c:v>
                </c:pt>
                <c:pt idx="739">
                  <c:v>859.24597237897774</c:v>
                </c:pt>
                <c:pt idx="740">
                  <c:v>859.24597237897774</c:v>
                </c:pt>
                <c:pt idx="741">
                  <c:v>859.24597237897774</c:v>
                </c:pt>
                <c:pt idx="742">
                  <c:v>859.24597237897774</c:v>
                </c:pt>
                <c:pt idx="743">
                  <c:v>859.24597237897774</c:v>
                </c:pt>
                <c:pt idx="744">
                  <c:v>859.24597237897774</c:v>
                </c:pt>
                <c:pt idx="745">
                  <c:v>859.24597237897774</c:v>
                </c:pt>
                <c:pt idx="746">
                  <c:v>859.24597237897774</c:v>
                </c:pt>
                <c:pt idx="747">
                  <c:v>859.24597237897774</c:v>
                </c:pt>
                <c:pt idx="748">
                  <c:v>859.24597237897774</c:v>
                </c:pt>
                <c:pt idx="749">
                  <c:v>859.24597237897774</c:v>
                </c:pt>
                <c:pt idx="750">
                  <c:v>859.24597237897774</c:v>
                </c:pt>
                <c:pt idx="751">
                  <c:v>859.24597237897774</c:v>
                </c:pt>
                <c:pt idx="752">
                  <c:v>859.24597237897774</c:v>
                </c:pt>
                <c:pt idx="753">
                  <c:v>859.24597237897774</c:v>
                </c:pt>
                <c:pt idx="754">
                  <c:v>859.24597237897774</c:v>
                </c:pt>
                <c:pt idx="755">
                  <c:v>859.24597237897774</c:v>
                </c:pt>
                <c:pt idx="756">
                  <c:v>859.24597237897774</c:v>
                </c:pt>
                <c:pt idx="757">
                  <c:v>859.24597237897774</c:v>
                </c:pt>
                <c:pt idx="758">
                  <c:v>859.24597237897774</c:v>
                </c:pt>
                <c:pt idx="759">
                  <c:v>859.24597237897774</c:v>
                </c:pt>
                <c:pt idx="760">
                  <c:v>859.24597237897774</c:v>
                </c:pt>
                <c:pt idx="761">
                  <c:v>859.24597237897774</c:v>
                </c:pt>
                <c:pt idx="762">
                  <c:v>859.24597237897774</c:v>
                </c:pt>
                <c:pt idx="763">
                  <c:v>859.24597237897774</c:v>
                </c:pt>
                <c:pt idx="764">
                  <c:v>859.24597237897774</c:v>
                </c:pt>
                <c:pt idx="765">
                  <c:v>859.24597237897774</c:v>
                </c:pt>
                <c:pt idx="766">
                  <c:v>859.24597237897774</c:v>
                </c:pt>
                <c:pt idx="767">
                  <c:v>859.24597237897774</c:v>
                </c:pt>
                <c:pt idx="768">
                  <c:v>859.24597237897774</c:v>
                </c:pt>
                <c:pt idx="769">
                  <c:v>859.24597237897774</c:v>
                </c:pt>
                <c:pt idx="770">
                  <c:v>859.24597237897774</c:v>
                </c:pt>
                <c:pt idx="771">
                  <c:v>859.24597237897774</c:v>
                </c:pt>
                <c:pt idx="772">
                  <c:v>859.24597237897774</c:v>
                </c:pt>
                <c:pt idx="773">
                  <c:v>859.24597237897774</c:v>
                </c:pt>
                <c:pt idx="774">
                  <c:v>859.24597237897774</c:v>
                </c:pt>
                <c:pt idx="775">
                  <c:v>859.24597237897774</c:v>
                </c:pt>
                <c:pt idx="776">
                  <c:v>859.24597237897774</c:v>
                </c:pt>
                <c:pt idx="777">
                  <c:v>859.24597237897774</c:v>
                </c:pt>
                <c:pt idx="778">
                  <c:v>859.24597237897774</c:v>
                </c:pt>
                <c:pt idx="779">
                  <c:v>859.24597237897774</c:v>
                </c:pt>
                <c:pt idx="780">
                  <c:v>859.24597237897774</c:v>
                </c:pt>
                <c:pt idx="781">
                  <c:v>859.24597237897774</c:v>
                </c:pt>
                <c:pt idx="782">
                  <c:v>859.24597237897774</c:v>
                </c:pt>
                <c:pt idx="783">
                  <c:v>859.24597237897774</c:v>
                </c:pt>
                <c:pt idx="784">
                  <c:v>859.24597237897774</c:v>
                </c:pt>
                <c:pt idx="785">
                  <c:v>859.24597237897774</c:v>
                </c:pt>
                <c:pt idx="786">
                  <c:v>859.24597237897774</c:v>
                </c:pt>
                <c:pt idx="787">
                  <c:v>859.24597237897774</c:v>
                </c:pt>
                <c:pt idx="788">
                  <c:v>859.24597237897774</c:v>
                </c:pt>
                <c:pt idx="789">
                  <c:v>859.24597237897774</c:v>
                </c:pt>
                <c:pt idx="790">
                  <c:v>859.24597237897774</c:v>
                </c:pt>
                <c:pt idx="791">
                  <c:v>859.24597237897774</c:v>
                </c:pt>
                <c:pt idx="792">
                  <c:v>859.24597237897774</c:v>
                </c:pt>
                <c:pt idx="793">
                  <c:v>859.24597237897774</c:v>
                </c:pt>
                <c:pt idx="794">
                  <c:v>859.24597237897774</c:v>
                </c:pt>
                <c:pt idx="795">
                  <c:v>859.24597237897774</c:v>
                </c:pt>
                <c:pt idx="796">
                  <c:v>859.24597237897774</c:v>
                </c:pt>
                <c:pt idx="797">
                  <c:v>859.24597237897774</c:v>
                </c:pt>
                <c:pt idx="798">
                  <c:v>859.24597237897774</c:v>
                </c:pt>
                <c:pt idx="799">
                  <c:v>859.24597237897774</c:v>
                </c:pt>
                <c:pt idx="800">
                  <c:v>859.24597237897774</c:v>
                </c:pt>
                <c:pt idx="801">
                  <c:v>859.24597237897774</c:v>
                </c:pt>
                <c:pt idx="802">
                  <c:v>859.24597237897774</c:v>
                </c:pt>
                <c:pt idx="803">
                  <c:v>859.24597237897774</c:v>
                </c:pt>
                <c:pt idx="804">
                  <c:v>859.24597237897774</c:v>
                </c:pt>
                <c:pt idx="805">
                  <c:v>859.24597237897774</c:v>
                </c:pt>
                <c:pt idx="806">
                  <c:v>859.24597237897774</c:v>
                </c:pt>
                <c:pt idx="807">
                  <c:v>859.24597237897774</c:v>
                </c:pt>
                <c:pt idx="808">
                  <c:v>859.24597237897774</c:v>
                </c:pt>
                <c:pt idx="809">
                  <c:v>859.24597237897774</c:v>
                </c:pt>
                <c:pt idx="810">
                  <c:v>859.24597237897774</c:v>
                </c:pt>
                <c:pt idx="811">
                  <c:v>859.24597237897774</c:v>
                </c:pt>
                <c:pt idx="812">
                  <c:v>859.24597237897774</c:v>
                </c:pt>
                <c:pt idx="813">
                  <c:v>859.24597237897774</c:v>
                </c:pt>
                <c:pt idx="814">
                  <c:v>859.24597237897774</c:v>
                </c:pt>
                <c:pt idx="815">
                  <c:v>859.24597237897774</c:v>
                </c:pt>
                <c:pt idx="816">
                  <c:v>859.24597237897774</c:v>
                </c:pt>
                <c:pt idx="817">
                  <c:v>859.24597237897774</c:v>
                </c:pt>
                <c:pt idx="818">
                  <c:v>859.24597237897774</c:v>
                </c:pt>
                <c:pt idx="819">
                  <c:v>859.24597237897774</c:v>
                </c:pt>
                <c:pt idx="820">
                  <c:v>859.24597237897774</c:v>
                </c:pt>
                <c:pt idx="821">
                  <c:v>859.24597237897774</c:v>
                </c:pt>
                <c:pt idx="822">
                  <c:v>859.24597237897774</c:v>
                </c:pt>
                <c:pt idx="823">
                  <c:v>859.24597237897774</c:v>
                </c:pt>
                <c:pt idx="824">
                  <c:v>859.24597237897774</c:v>
                </c:pt>
                <c:pt idx="825">
                  <c:v>859.24597237897774</c:v>
                </c:pt>
                <c:pt idx="826">
                  <c:v>859.24597237897774</c:v>
                </c:pt>
                <c:pt idx="827">
                  <c:v>859.24597237897774</c:v>
                </c:pt>
                <c:pt idx="828">
                  <c:v>859.24597237897774</c:v>
                </c:pt>
                <c:pt idx="829">
                  <c:v>859.24597237897774</c:v>
                </c:pt>
                <c:pt idx="830">
                  <c:v>859.24597237897774</c:v>
                </c:pt>
                <c:pt idx="831">
                  <c:v>859.24597237897774</c:v>
                </c:pt>
                <c:pt idx="832">
                  <c:v>859.24597237897774</c:v>
                </c:pt>
                <c:pt idx="833">
                  <c:v>859.24597237897774</c:v>
                </c:pt>
                <c:pt idx="834">
                  <c:v>859.24597237897774</c:v>
                </c:pt>
                <c:pt idx="835">
                  <c:v>859.24597237897774</c:v>
                </c:pt>
                <c:pt idx="836">
                  <c:v>859.24597237897774</c:v>
                </c:pt>
                <c:pt idx="837">
                  <c:v>859.24597237897774</c:v>
                </c:pt>
                <c:pt idx="838">
                  <c:v>859.24597237897774</c:v>
                </c:pt>
                <c:pt idx="839">
                  <c:v>859.24597237897774</c:v>
                </c:pt>
                <c:pt idx="840">
                  <c:v>859.24597237897774</c:v>
                </c:pt>
                <c:pt idx="841">
                  <c:v>859.24597237897774</c:v>
                </c:pt>
                <c:pt idx="842">
                  <c:v>859.24597237897774</c:v>
                </c:pt>
                <c:pt idx="843">
                  <c:v>859.24597237897774</c:v>
                </c:pt>
                <c:pt idx="844">
                  <c:v>859.24597237897774</c:v>
                </c:pt>
                <c:pt idx="845">
                  <c:v>859.24597237897774</c:v>
                </c:pt>
                <c:pt idx="846">
                  <c:v>859.24597237897774</c:v>
                </c:pt>
                <c:pt idx="847">
                  <c:v>859.24597237897774</c:v>
                </c:pt>
                <c:pt idx="848">
                  <c:v>859.24597237897774</c:v>
                </c:pt>
                <c:pt idx="849">
                  <c:v>859.24597237897774</c:v>
                </c:pt>
                <c:pt idx="850">
                  <c:v>859.24597237897774</c:v>
                </c:pt>
                <c:pt idx="851">
                  <c:v>859.24597237897774</c:v>
                </c:pt>
                <c:pt idx="852">
                  <c:v>859.24597237897774</c:v>
                </c:pt>
                <c:pt idx="853">
                  <c:v>859.24597237897774</c:v>
                </c:pt>
                <c:pt idx="854">
                  <c:v>859.24597237897774</c:v>
                </c:pt>
                <c:pt idx="855">
                  <c:v>859.24597237897774</c:v>
                </c:pt>
                <c:pt idx="856">
                  <c:v>859.24597237897774</c:v>
                </c:pt>
                <c:pt idx="857">
                  <c:v>859.24597237897774</c:v>
                </c:pt>
                <c:pt idx="858">
                  <c:v>859.24597237897774</c:v>
                </c:pt>
                <c:pt idx="859">
                  <c:v>859.24597237897774</c:v>
                </c:pt>
                <c:pt idx="860">
                  <c:v>859.24597237897774</c:v>
                </c:pt>
                <c:pt idx="861">
                  <c:v>859.24597237897774</c:v>
                </c:pt>
                <c:pt idx="862">
                  <c:v>859.24597237897774</c:v>
                </c:pt>
                <c:pt idx="863">
                  <c:v>859.24597237897774</c:v>
                </c:pt>
                <c:pt idx="864">
                  <c:v>859.24597237897774</c:v>
                </c:pt>
                <c:pt idx="865">
                  <c:v>859.24597237897774</c:v>
                </c:pt>
                <c:pt idx="866">
                  <c:v>859.24597237897774</c:v>
                </c:pt>
                <c:pt idx="867">
                  <c:v>859.24597237897774</c:v>
                </c:pt>
                <c:pt idx="868">
                  <c:v>859.24597237897774</c:v>
                </c:pt>
                <c:pt idx="869">
                  <c:v>859.24597237897774</c:v>
                </c:pt>
                <c:pt idx="870">
                  <c:v>859.24597237897774</c:v>
                </c:pt>
                <c:pt idx="871">
                  <c:v>859.24597237897774</c:v>
                </c:pt>
                <c:pt idx="872">
                  <c:v>859.24597237897774</c:v>
                </c:pt>
                <c:pt idx="873">
                  <c:v>859.24597237897774</c:v>
                </c:pt>
                <c:pt idx="874">
                  <c:v>859.24597237897774</c:v>
                </c:pt>
                <c:pt idx="875">
                  <c:v>859.24597237897774</c:v>
                </c:pt>
                <c:pt idx="876">
                  <c:v>859.24597237897774</c:v>
                </c:pt>
                <c:pt idx="877">
                  <c:v>859.24597237897774</c:v>
                </c:pt>
                <c:pt idx="878">
                  <c:v>859.24597237897774</c:v>
                </c:pt>
                <c:pt idx="879">
                  <c:v>859.24597237897774</c:v>
                </c:pt>
                <c:pt idx="880">
                  <c:v>859.24597237897774</c:v>
                </c:pt>
                <c:pt idx="881">
                  <c:v>859.24597237897774</c:v>
                </c:pt>
                <c:pt idx="882">
                  <c:v>859.24597237897774</c:v>
                </c:pt>
                <c:pt idx="883">
                  <c:v>859.24597237897774</c:v>
                </c:pt>
                <c:pt idx="884">
                  <c:v>859.24597237897774</c:v>
                </c:pt>
                <c:pt idx="885">
                  <c:v>859.24597237897774</c:v>
                </c:pt>
                <c:pt idx="886">
                  <c:v>859.24597237897774</c:v>
                </c:pt>
                <c:pt idx="887">
                  <c:v>859.24597237897774</c:v>
                </c:pt>
                <c:pt idx="888">
                  <c:v>859.24597237897774</c:v>
                </c:pt>
                <c:pt idx="889">
                  <c:v>859.24597237897774</c:v>
                </c:pt>
                <c:pt idx="890">
                  <c:v>859.24597237897774</c:v>
                </c:pt>
                <c:pt idx="891">
                  <c:v>859.24597237897774</c:v>
                </c:pt>
                <c:pt idx="892">
                  <c:v>859.24597237897774</c:v>
                </c:pt>
                <c:pt idx="893">
                  <c:v>859.24597237897774</c:v>
                </c:pt>
                <c:pt idx="894">
                  <c:v>859.24597237897774</c:v>
                </c:pt>
                <c:pt idx="895">
                  <c:v>859.24597237897774</c:v>
                </c:pt>
                <c:pt idx="896">
                  <c:v>859.24597237897774</c:v>
                </c:pt>
                <c:pt idx="897">
                  <c:v>859.24597237897774</c:v>
                </c:pt>
                <c:pt idx="898">
                  <c:v>859.24597237897774</c:v>
                </c:pt>
                <c:pt idx="899">
                  <c:v>859.24597237897774</c:v>
                </c:pt>
                <c:pt idx="900">
                  <c:v>859.24597237897774</c:v>
                </c:pt>
                <c:pt idx="901">
                  <c:v>859.24597237897774</c:v>
                </c:pt>
                <c:pt idx="902">
                  <c:v>859.24597237897774</c:v>
                </c:pt>
                <c:pt idx="903">
                  <c:v>859.24597237897774</c:v>
                </c:pt>
                <c:pt idx="904">
                  <c:v>859.24597237897774</c:v>
                </c:pt>
                <c:pt idx="905">
                  <c:v>859.24597237897774</c:v>
                </c:pt>
                <c:pt idx="906">
                  <c:v>859.24597237897774</c:v>
                </c:pt>
                <c:pt idx="907">
                  <c:v>859.24597237897774</c:v>
                </c:pt>
                <c:pt idx="908">
                  <c:v>859.24597237897774</c:v>
                </c:pt>
                <c:pt idx="909">
                  <c:v>859.24597237897774</c:v>
                </c:pt>
                <c:pt idx="910">
                  <c:v>859.24597237897774</c:v>
                </c:pt>
                <c:pt idx="911">
                  <c:v>859.24597237897774</c:v>
                </c:pt>
                <c:pt idx="912">
                  <c:v>859.24597237897774</c:v>
                </c:pt>
                <c:pt idx="913">
                  <c:v>859.24597237897774</c:v>
                </c:pt>
                <c:pt idx="914">
                  <c:v>859.24597237897774</c:v>
                </c:pt>
                <c:pt idx="915">
                  <c:v>859.24597237897774</c:v>
                </c:pt>
                <c:pt idx="916">
                  <c:v>859.24597237897774</c:v>
                </c:pt>
                <c:pt idx="917">
                  <c:v>859.24597237897774</c:v>
                </c:pt>
                <c:pt idx="918">
                  <c:v>859.24597237897774</c:v>
                </c:pt>
                <c:pt idx="919">
                  <c:v>859.24597237897774</c:v>
                </c:pt>
                <c:pt idx="920">
                  <c:v>859.24597237897774</c:v>
                </c:pt>
                <c:pt idx="921">
                  <c:v>859.24597237897774</c:v>
                </c:pt>
                <c:pt idx="922">
                  <c:v>859.24597237897774</c:v>
                </c:pt>
                <c:pt idx="923">
                  <c:v>859.24597237897774</c:v>
                </c:pt>
                <c:pt idx="924">
                  <c:v>859.24597237897774</c:v>
                </c:pt>
                <c:pt idx="925">
                  <c:v>859.24597237897774</c:v>
                </c:pt>
                <c:pt idx="926">
                  <c:v>859.24597237897774</c:v>
                </c:pt>
                <c:pt idx="927">
                  <c:v>859.24597237897774</c:v>
                </c:pt>
                <c:pt idx="928">
                  <c:v>859.24597237897774</c:v>
                </c:pt>
                <c:pt idx="929">
                  <c:v>859.24597237897774</c:v>
                </c:pt>
                <c:pt idx="930">
                  <c:v>859.24597237897774</c:v>
                </c:pt>
                <c:pt idx="931">
                  <c:v>859.24597237897774</c:v>
                </c:pt>
                <c:pt idx="932">
                  <c:v>859.24597237897774</c:v>
                </c:pt>
                <c:pt idx="933">
                  <c:v>859.24597237897774</c:v>
                </c:pt>
                <c:pt idx="934">
                  <c:v>859.24597237897774</c:v>
                </c:pt>
                <c:pt idx="935">
                  <c:v>859.24597237897774</c:v>
                </c:pt>
                <c:pt idx="936">
                  <c:v>859.24597237897774</c:v>
                </c:pt>
                <c:pt idx="937">
                  <c:v>859.24597237897774</c:v>
                </c:pt>
                <c:pt idx="938">
                  <c:v>859.24597237897774</c:v>
                </c:pt>
                <c:pt idx="939">
                  <c:v>859.24597237897774</c:v>
                </c:pt>
                <c:pt idx="940">
                  <c:v>859.24597237897774</c:v>
                </c:pt>
                <c:pt idx="941">
                  <c:v>859.24597237897774</c:v>
                </c:pt>
                <c:pt idx="942">
                  <c:v>859.24597237897774</c:v>
                </c:pt>
                <c:pt idx="943">
                  <c:v>859.24597237897774</c:v>
                </c:pt>
                <c:pt idx="944">
                  <c:v>859.24597237897774</c:v>
                </c:pt>
                <c:pt idx="945">
                  <c:v>859.24597237897774</c:v>
                </c:pt>
                <c:pt idx="946">
                  <c:v>859.24597237897774</c:v>
                </c:pt>
                <c:pt idx="947">
                  <c:v>859.24597237897774</c:v>
                </c:pt>
                <c:pt idx="948">
                  <c:v>859.24597237897774</c:v>
                </c:pt>
                <c:pt idx="949">
                  <c:v>859.24597237897774</c:v>
                </c:pt>
                <c:pt idx="950">
                  <c:v>859.24597237897774</c:v>
                </c:pt>
                <c:pt idx="951">
                  <c:v>859.24597237897774</c:v>
                </c:pt>
                <c:pt idx="952">
                  <c:v>859.24597237897774</c:v>
                </c:pt>
                <c:pt idx="953">
                  <c:v>859.24597237897774</c:v>
                </c:pt>
                <c:pt idx="954">
                  <c:v>859.24597237897774</c:v>
                </c:pt>
                <c:pt idx="955">
                  <c:v>859.24597237897774</c:v>
                </c:pt>
                <c:pt idx="956">
                  <c:v>859.24597237897774</c:v>
                </c:pt>
                <c:pt idx="957">
                  <c:v>859.24597237897774</c:v>
                </c:pt>
                <c:pt idx="958">
                  <c:v>859.24597237897774</c:v>
                </c:pt>
                <c:pt idx="959">
                  <c:v>859.24597237897774</c:v>
                </c:pt>
                <c:pt idx="960">
                  <c:v>859.24597237897774</c:v>
                </c:pt>
                <c:pt idx="961">
                  <c:v>859.24597237897774</c:v>
                </c:pt>
                <c:pt idx="962">
                  <c:v>859.24597237897774</c:v>
                </c:pt>
                <c:pt idx="963">
                  <c:v>859.24597237897774</c:v>
                </c:pt>
                <c:pt idx="964">
                  <c:v>859.24597237897774</c:v>
                </c:pt>
                <c:pt idx="965">
                  <c:v>859.24597237897774</c:v>
                </c:pt>
                <c:pt idx="966">
                  <c:v>859.24597237897774</c:v>
                </c:pt>
                <c:pt idx="967">
                  <c:v>859.24597237897774</c:v>
                </c:pt>
                <c:pt idx="968">
                  <c:v>859.24597237897774</c:v>
                </c:pt>
                <c:pt idx="969">
                  <c:v>859.24597237897774</c:v>
                </c:pt>
                <c:pt idx="970">
                  <c:v>859.24597237897774</c:v>
                </c:pt>
                <c:pt idx="971">
                  <c:v>859.24597237897774</c:v>
                </c:pt>
                <c:pt idx="972">
                  <c:v>859.24597237897774</c:v>
                </c:pt>
                <c:pt idx="973">
                  <c:v>859.24597237897774</c:v>
                </c:pt>
                <c:pt idx="974">
                  <c:v>859.24597237897774</c:v>
                </c:pt>
                <c:pt idx="975">
                  <c:v>859.24597237897774</c:v>
                </c:pt>
                <c:pt idx="976">
                  <c:v>859.24597237897774</c:v>
                </c:pt>
                <c:pt idx="977">
                  <c:v>859.24597237897774</c:v>
                </c:pt>
                <c:pt idx="978">
                  <c:v>859.24597237897774</c:v>
                </c:pt>
                <c:pt idx="979">
                  <c:v>859.24597237897774</c:v>
                </c:pt>
                <c:pt idx="980">
                  <c:v>859.24597237897774</c:v>
                </c:pt>
                <c:pt idx="981">
                  <c:v>859.24597237897774</c:v>
                </c:pt>
                <c:pt idx="982">
                  <c:v>859.24597237897774</c:v>
                </c:pt>
                <c:pt idx="983">
                  <c:v>859.24597237897774</c:v>
                </c:pt>
                <c:pt idx="984">
                  <c:v>859.24597237897774</c:v>
                </c:pt>
                <c:pt idx="985">
                  <c:v>859.24597237897774</c:v>
                </c:pt>
                <c:pt idx="986">
                  <c:v>859.24597237897774</c:v>
                </c:pt>
                <c:pt idx="987">
                  <c:v>859.24597237897774</c:v>
                </c:pt>
                <c:pt idx="988">
                  <c:v>859.24597237897774</c:v>
                </c:pt>
                <c:pt idx="989">
                  <c:v>859.24597237897774</c:v>
                </c:pt>
                <c:pt idx="990">
                  <c:v>859.24597237897774</c:v>
                </c:pt>
                <c:pt idx="991">
                  <c:v>859.24597237897774</c:v>
                </c:pt>
                <c:pt idx="992">
                  <c:v>859.24597237897774</c:v>
                </c:pt>
                <c:pt idx="993">
                  <c:v>859.24597237897774</c:v>
                </c:pt>
                <c:pt idx="994">
                  <c:v>859.24597237897774</c:v>
                </c:pt>
                <c:pt idx="995">
                  <c:v>859.24597237897774</c:v>
                </c:pt>
                <c:pt idx="996">
                  <c:v>859.24597237897774</c:v>
                </c:pt>
                <c:pt idx="997">
                  <c:v>859.24597237897774</c:v>
                </c:pt>
                <c:pt idx="998">
                  <c:v>859.24597237897774</c:v>
                </c:pt>
                <c:pt idx="999">
                  <c:v>859.24597237897774</c:v>
                </c:pt>
                <c:pt idx="1000">
                  <c:v>859.24597237897774</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Calculs!$K$4:$K$1004</c:f>
              <c:numCache>
                <c:formatCode>0.00</c:formatCode>
                <c:ptCount val="1001"/>
                <c:pt idx="0">
                  <c:v>0</c:v>
                </c:pt>
                <c:pt idx="1">
                  <c:v>3.7787863175434927E-6</c:v>
                </c:pt>
                <c:pt idx="2">
                  <c:v>9.7430286809401792E-4</c:v>
                </c:pt>
                <c:pt idx="3">
                  <c:v>4.8304626638425606E-3</c:v>
                </c:pt>
                <c:pt idx="4">
                  <c:v>1.3492455547460976E-2</c:v>
                </c:pt>
                <c:pt idx="5">
                  <c:v>2.8882335691858652E-2</c:v>
                </c:pt>
                <c:pt idx="6">
                  <c:v>5.2438330844134518E-2</c:v>
                </c:pt>
                <c:pt idx="7">
                  <c:v>8.4627999028125303E-2</c:v>
                </c:pt>
                <c:pt idx="8">
                  <c:v>0.12543307209862209</c:v>
                </c:pt>
                <c:pt idx="9">
                  <c:v>0.17483518671082196</c:v>
                </c:pt>
                <c:pt idx="10">
                  <c:v>0.23281588467534353</c:v>
                </c:pt>
                <c:pt idx="11">
                  <c:v>0.29935661331694385</c:v>
                </c:pt>
                <c:pt idx="12">
                  <c:v>0.37443872583690696</c:v>
                </c:pt>
                <c:pt idx="13">
                  <c:v>0.45804348167907422</c:v>
                </c:pt>
                <c:pt idx="14">
                  <c:v>0.55015204689948516</c:v>
                </c:pt>
                <c:pt idx="15">
                  <c:v>0.65074549453959929</c:v>
                </c:pt>
                <c:pt idx="16">
                  <c:v>0.75980480500306613</c:v>
                </c:pt>
                <c:pt idx="17">
                  <c:v>0.87731086643601375</c:v>
                </c:pt>
                <c:pt idx="18">
                  <c:v>1.0032444751108227</c:v>
                </c:pt>
                <c:pt idx="19">
                  <c:v>1.1375863358133538</c:v>
                </c:pt>
                <c:pt idx="20">
                  <c:v>1.2803170622335978</c:v>
                </c:pt>
                <c:pt idx="21">
                  <c:v>1.4314171773597135</c:v>
                </c:pt>
                <c:pt idx="22">
                  <c:v>1.5908671138754222</c:v>
                </c:pt>
                <c:pt idx="23">
                  <c:v>1.7586472145607248</c:v>
                </c:pt>
                <c:pt idx="24">
                  <c:v>1.9347377326959072</c:v>
                </c:pt>
                <c:pt idx="25">
                  <c:v>2.1191188324688026</c:v>
                </c:pt>
                <c:pt idx="26">
                  <c:v>2.3117705893852749</c:v>
                </c:pt>
                <c:pt idx="27">
                  <c:v>2.5126729906828871</c:v>
                </c:pt>
                <c:pt idx="28">
                  <c:v>2.7218059357477258</c:v>
                </c:pt>
                <c:pt idx="29">
                  <c:v>2.9391492365343406</c:v>
                </c:pt>
                <c:pt idx="30">
                  <c:v>3.1646826179887673</c:v>
                </c:pt>
                <c:pt idx="31">
                  <c:v>3.3983857184745978</c:v>
                </c:pt>
                <c:pt idx="32">
                  <c:v>3.6402380902020628</c:v>
                </c:pt>
                <c:pt idx="33">
                  <c:v>3.890219199660089</c:v>
                </c:pt>
                <c:pt idx="34">
                  <c:v>4.1483084280512976</c:v>
                </c:pt>
                <c:pt idx="35">
                  <c:v>4.4144702745167566</c:v>
                </c:pt>
                <c:pt idx="36">
                  <c:v>4.6886686673246736</c:v>
                </c:pt>
                <c:pt idx="37">
                  <c:v>4.97088176732339</c:v>
                </c:pt>
                <c:pt idx="38">
                  <c:v>5.2610876701949847</c:v>
                </c:pt>
                <c:pt idx="39">
                  <c:v>5.5592644130745841</c:v>
                </c:pt>
                <c:pt idx="40">
                  <c:v>5.8653899738696778</c:v>
                </c:pt>
                <c:pt idx="41">
                  <c:v>6.1794422706673755</c:v>
                </c:pt>
                <c:pt idx="42">
                  <c:v>6.501399161221042</c:v>
                </c:pt>
                <c:pt idx="43">
                  <c:v>6.8312384425088073</c:v>
                </c:pt>
                <c:pt idx="44">
                  <c:v>7.168937850357322</c:v>
                </c:pt>
                <c:pt idx="45">
                  <c:v>7.5144750591249263</c:v>
                </c:pt>
                <c:pt idx="46">
                  <c:v>7.8678276814390493</c:v>
                </c:pt>
                <c:pt idx="47">
                  <c:v>8.2289732679832355</c:v>
                </c:pt>
                <c:pt idx="48">
                  <c:v>8.5978893073296838</c:v>
                </c:pt>
                <c:pt idx="49">
                  <c:v>8.9745532258136365</c:v>
                </c:pt>
                <c:pt idx="50">
                  <c:v>9.3589423874463211</c:v>
                </c:pt>
                <c:pt idx="51">
                  <c:v>9.7510366482234261</c:v>
                </c:pt>
                <c:pt idx="52">
                  <c:v>10.150820913449881</c:v>
                </c:pt>
                <c:pt idx="53">
                  <c:v>10.558282587435848</c:v>
                </c:pt>
                <c:pt idx="54">
                  <c:v>10.973409020130692</c:v>
                </c:pt>
                <c:pt idx="55">
                  <c:v>11.396187506974208</c:v>
                </c:pt>
                <c:pt idx="56">
                  <c:v>11.826605288769619</c:v>
                </c:pt>
                <c:pt idx="57">
                  <c:v>12.264649551576969</c:v>
                </c:pt>
                <c:pt idx="58">
                  <c:v>12.710307426625654</c:v>
                </c:pt>
                <c:pt idx="59">
                  <c:v>13.163565990244917</c:v>
                </c:pt>
                <c:pt idx="60">
                  <c:v>13.62441226381128</c:v>
                </c:pt>
                <c:pt idx="61">
                  <c:v>14.092833213711897</c:v>
                </c:pt>
                <c:pt idx="62">
                  <c:v>14.568815751322973</c:v>
                </c:pt>
                <c:pt idx="63">
                  <c:v>15.052346733002386</c:v>
                </c:pt>
                <c:pt idx="64">
                  <c:v>15.543412960095768</c:v>
                </c:pt>
                <c:pt idx="65">
                  <c:v>16.042001178955335</c:v>
                </c:pt>
                <c:pt idx="66">
                  <c:v>16.548098080970799</c:v>
                </c:pt>
                <c:pt idx="67">
                  <c:v>17.061690302611765</c:v>
                </c:pt>
                <c:pt idx="68">
                  <c:v>17.582764425481052</c:v>
                </c:pt>
                <c:pt idx="69">
                  <c:v>18.111306976378398</c:v>
                </c:pt>
                <c:pt idx="70">
                  <c:v>18.647304427374063</c:v>
                </c:pt>
                <c:pt idx="71">
                  <c:v>19.190743195891891</c:v>
                </c:pt>
                <c:pt idx="72">
                  <c:v>19.741609644801372</c:v>
                </c:pt>
                <c:pt idx="73">
                  <c:v>20.299890082518331</c:v>
                </c:pt>
                <c:pt idx="74">
                  <c:v>20.865570763113876</c:v>
                </c:pt>
                <c:pt idx="75">
                  <c:v>21.438637886431209</c:v>
                </c:pt>
                <c:pt idx="76">
                  <c:v>22.019077598210028</c:v>
                </c:pt>
                <c:pt idx="77">
                  <c:v>22.606875990218185</c:v>
                </c:pt>
                <c:pt idx="78">
                  <c:v>23.202019100390295</c:v>
                </c:pt>
                <c:pt idx="79">
                  <c:v>23.80449291297305</c:v>
                </c:pt>
                <c:pt idx="80">
                  <c:v>24.414283358676954</c:v>
                </c:pt>
                <c:pt idx="81">
                  <c:v>25.031376314834272</c:v>
                </c:pt>
                <c:pt idx="82">
                  <c:v>25.655757605562911</c:v>
                </c:pt>
                <c:pt idx="83">
                  <c:v>26.287413001936063</c:v>
                </c:pt>
                <c:pt idx="84">
                  <c:v>26.926328222157366</c:v>
                </c:pt>
                <c:pt idx="85">
                  <c:v>27.572488931741425</c:v>
                </c:pt>
                <c:pt idx="86">
                  <c:v>28.225880743699481</c:v>
                </c:pt>
                <c:pt idx="87">
                  <c:v>28.886489218730038</c:v>
                </c:pt>
                <c:pt idx="88">
                  <c:v>29.554299865414336</c:v>
                </c:pt>
                <c:pt idx="89">
                  <c:v>30.229298140416446</c:v>
                </c:pt>
                <c:pt idx="90">
                  <c:v>30.911469448687878</c:v>
                </c:pt>
                <c:pt idx="91">
                  <c:v>31.600799143676532</c:v>
                </c:pt>
                <c:pt idx="92">
                  <c:v>32.297272527539889</c:v>
                </c:pt>
                <c:pt idx="93">
                  <c:v>33.000874851362241</c:v>
                </c:pt>
                <c:pt idx="94">
                  <c:v>33.711591315375934</c:v>
                </c:pt>
                <c:pt idx="95">
                  <c:v>34.429407069186396</c:v>
                </c:pt>
                <c:pt idx="96">
                  <c:v>35.154307212000916</c:v>
                </c:pt>
                <c:pt idx="97">
                  <c:v>35.886276792861025</c:v>
                </c:pt>
                <c:pt idx="98">
                  <c:v>36.625300810878372</c:v>
                </c:pt>
                <c:pt idx="99">
                  <c:v>37.371364215474003</c:v>
                </c:pt>
                <c:pt idx="100">
                  <c:v>38.124451906620934</c:v>
                </c:pt>
                <c:pt idx="101">
                  <c:v>38.884547561353045</c:v>
                </c:pt>
                <c:pt idx="102">
                  <c:v>39.65163245933396</c:v>
                </c:pt>
                <c:pt idx="103">
                  <c:v>40.425686655865711</c:v>
                </c:pt>
                <c:pt idx="104">
                  <c:v>41.206690155897249</c:v>
                </c:pt>
                <c:pt idx="105">
                  <c:v>41.994622914389659</c:v>
                </c:pt>
                <c:pt idx="106">
                  <c:v>42.789464836684097</c:v>
                </c:pt>
                <c:pt idx="107">
                  <c:v>43.591195778872333</c:v>
                </c:pt>
                <c:pt idx="108">
                  <c:v>44.399795548169884</c:v>
                </c:pt>
                <c:pt idx="109">
                  <c:v>45.215243903291544</c:v>
                </c:pt>
                <c:pt idx="110">
                  <c:v>46.037520554829314</c:v>
                </c:pt>
                <c:pt idx="111">
                  <c:v>46.866605165632613</c:v>
                </c:pt>
                <c:pt idx="112">
                  <c:v>47.702477351190673</c:v>
                </c:pt>
                <c:pt idx="113">
                  <c:v>48.545116680017038</c:v>
                </c:pt>
                <c:pt idx="114">
                  <c:v>49.394502674036168</c:v>
                </c:pt>
                <c:pt idx="115">
                  <c:v>50.250614808971932</c:v>
                </c:pt>
                <c:pt idx="116">
                  <c:v>51.113432514738065</c:v>
                </c:pt>
                <c:pt idx="117">
                  <c:v>51.982935175830413</c:v>
                </c:pt>
                <c:pt idx="118">
                  <c:v>52.859102131720924</c:v>
                </c:pt>
                <c:pt idx="119">
                  <c:v>53.741912677253374</c:v>
                </c:pt>
                <c:pt idx="120">
                  <c:v>54.631346063040667</c:v>
                </c:pt>
                <c:pt idx="121">
                  <c:v>55.527381495863715</c:v>
                </c:pt>
                <c:pt idx="122">
                  <c:v>56.429998139071806</c:v>
                </c:pt>
                <c:pt idx="123">
                  <c:v>57.339175112984421</c:v>
                </c:pt>
                <c:pt idx="124">
                  <c:v>58.254891495294409</c:v>
                </c:pt>
                <c:pt idx="125">
                  <c:v>59.177126321472464</c:v>
                </c:pt>
                <c:pt idx="126">
                  <c:v>60.105858585172903</c:v>
                </c:pt>
                <c:pt idx="127">
                  <c:v>61.041067238640601</c:v>
                </c:pt>
                <c:pt idx="128">
                  <c:v>61.982731193119086</c:v>
                </c:pt>
                <c:pt idx="129">
                  <c:v>62.930829319259736</c:v>
                </c:pt>
                <c:pt idx="130">
                  <c:v>63.885340447532002</c:v>
                </c:pt>
                <c:pt idx="131">
                  <c:v>64.846243368634632</c:v>
                </c:pt>
                <c:pt idx="132">
                  <c:v>65.813516833907784</c:v>
                </c:pt>
                <c:pt idx="133">
                  <c:v>66.787139555746108</c:v>
                </c:pt>
                <c:pt idx="134">
                  <c:v>67.76709020801259</c:v>
                </c:pt>
                <c:pt idx="135">
                  <c:v>68.753347426453189</c:v>
                </c:pt>
                <c:pt idx="136">
                  <c:v>69.745889809112271</c:v>
                </c:pt>
                <c:pt idx="137">
                  <c:v>70.744695916748668</c:v>
                </c:pt>
                <c:pt idx="138">
                  <c:v>71.749744273252432</c:v>
                </c:pt>
                <c:pt idx="139">
                  <c:v>72.761013366062144</c:v>
                </c:pt>
                <c:pt idx="140">
                  <c:v>73.778481646582833</c:v>
                </c:pt>
                <c:pt idx="141">
                  <c:v>74.802127530604366</c:v>
                </c:pt>
                <c:pt idx="142">
                  <c:v>75.831929398720348</c:v>
                </c:pt>
                <c:pt idx="143">
                  <c:v>76.867865596747379</c:v>
                </c:pt>
                <c:pt idx="144">
                  <c:v>77.909914436144774</c:v>
                </c:pt>
                <c:pt idx="145">
                  <c:v>78.958054194434595</c:v>
                </c:pt>
                <c:pt idx="146">
                  <c:v>80.012263115621977</c:v>
                </c:pt>
                <c:pt idx="147">
                  <c:v>81.072519410615726</c:v>
                </c:pt>
                <c:pt idx="148">
                  <c:v>82.138801257649149</c:v>
                </c:pt>
                <c:pt idx="149">
                  <c:v>83.211086802701061</c:v>
                </c:pt>
                <c:pt idx="150">
                  <c:v>84.289354159916925</c:v>
                </c:pt>
                <c:pt idx="151">
                  <c:v>85.373581810338379</c:v>
                </c:pt>
                <c:pt idx="152">
                  <c:v>86.463749000770918</c:v>
                </c:pt>
                <c:pt idx="153">
                  <c:v>87.559835345887578</c:v>
                </c:pt>
                <c:pt idx="154">
                  <c:v>88.661820430177187</c:v>
                </c:pt>
                <c:pt idx="155">
                  <c:v>89.769683808330981</c:v>
                </c:pt>
                <c:pt idx="156">
                  <c:v>90.8834050056292</c:v>
                </c:pt>
                <c:pt idx="157">
                  <c:v>92.002963518327832</c:v>
                </c:pt>
                <c:pt idx="158">
                  <c:v>93.128338814045293</c:v>
                </c:pt>
                <c:pt idx="159">
                  <c:v>94.259510332149176</c:v>
                </c:pt>
                <c:pt idx="160">
                  <c:v>95.396457484142886</c:v>
                </c:pt>
                <c:pt idx="161">
                  <c:v>96.539159654052256</c:v>
                </c:pt>
                <c:pt idx="162">
                  <c:v>97.687596198812059</c:v>
                </c:pt>
                <c:pt idx="163">
                  <c:v>98.84174644865233</c:v>
                </c:pt>
                <c:pt idx="164">
                  <c:v>100.00158970748461</c:v>
                </c:pt>
                <c:pt idx="165">
                  <c:v>101.16710525328796</c:v>
                </c:pt>
                <c:pt idx="166">
                  <c:v>102.3382723384947</c:v>
                </c:pt>
                <c:pt idx="167">
                  <c:v>103.51507019037608</c:v>
                </c:pt>
                <c:pt idx="168">
                  <c:v>104.69747801142742</c:v>
                </c:pt>
                <c:pt idx="169">
                  <c:v>105.88547497975317</c:v>
                </c:pt>
                <c:pt idx="170">
                  <c:v>107.07904024945152</c:v>
                </c:pt>
                <c:pt idx="171">
                  <c:v>108.27815295099873</c:v>
                </c:pt>
                <c:pt idx="172">
                  <c:v>109.48279219163297</c:v>
                </c:pt>
                <c:pt idx="173">
                  <c:v>110.69293705573784</c:v>
                </c:pt>
                <c:pt idx="174">
                  <c:v>111.90856660522547</c:v>
                </c:pt>
                <c:pt idx="175">
                  <c:v>113.12965987991907</c:v>
                </c:pt>
                <c:pt idx="176">
                  <c:v>114.35619589793505</c:v>
                </c:pt>
                <c:pt idx="177">
                  <c:v>115.58815365606465</c:v>
                </c:pt>
                <c:pt idx="178">
                  <c:v>116.82551213015493</c:v>
                </c:pt>
                <c:pt idx="179">
                  <c:v>118.06825027548938</c:v>
                </c:pt>
                <c:pt idx="180">
                  <c:v>119.31634702716772</c:v>
                </c:pt>
                <c:pt idx="181">
                  <c:v>120.56978130048529</c:v>
                </c:pt>
                <c:pt idx="182">
                  <c:v>121.82853199131168</c:v>
                </c:pt>
                <c:pt idx="183">
                  <c:v>123.09257797646873</c:v>
                </c:pt>
                <c:pt idx="184">
                  <c:v>124.3618981141079</c:v>
                </c:pt>
                <c:pt idx="185">
                  <c:v>125.63647124408688</c:v>
                </c:pt>
                <c:pt idx="186">
                  <c:v>126.91627618834549</c:v>
                </c:pt>
                <c:pt idx="187">
                  <c:v>128.20129175128088</c:v>
                </c:pt>
                <c:pt idx="188">
                  <c:v>129.4914967201218</c:v>
                </c:pt>
                <c:pt idx="189">
                  <c:v>130.78686986530235</c:v>
                </c:pt>
                <c:pt idx="190">
                  <c:v>132.08738994083461</c:v>
                </c:pt>
                <c:pt idx="191">
                  <c:v>133.39303568468071</c:v>
                </c:pt>
                <c:pt idx="192">
                  <c:v>134.70378581912382</c:v>
                </c:pt>
                <c:pt idx="193">
                  <c:v>136.01961905113839</c:v>
                </c:pt>
                <c:pt idx="194">
                  <c:v>137.3405140727595</c:v>
                </c:pt>
                <c:pt idx="195">
                  <c:v>138.66644956145123</c:v>
                </c:pt>
                <c:pt idx="196">
                  <c:v>139.99740418047406</c:v>
                </c:pt>
                <c:pt idx="197">
                  <c:v>141.33335657925147</c:v>
                </c:pt>
                <c:pt idx="198">
                  <c:v>142.6742853937354</c:v>
                </c:pt>
                <c:pt idx="199">
                  <c:v>144.02016924677076</c:v>
                </c:pt>
                <c:pt idx="200">
                  <c:v>145.37098674845902</c:v>
                </c:pt>
                <c:pt idx="201">
                  <c:v>146.72671649652057</c:v>
                </c:pt>
                <c:pt idx="202">
                  <c:v>148.08733707665621</c:v>
                </c:pt>
                <c:pt idx="203">
                  <c:v>149.45282706290755</c:v>
                </c:pt>
                <c:pt idx="204">
                  <c:v>150.82316501801617</c:v>
                </c:pt>
                <c:pt idx="205">
                  <c:v>152.19832949378184</c:v>
                </c:pt>
                <c:pt idx="206">
                  <c:v>153.5782990314195</c:v>
                </c:pt>
                <c:pt idx="207">
                  <c:v>154.96305216191521</c:v>
                </c:pt>
                <c:pt idx="208">
                  <c:v>156.35256740638087</c:v>
                </c:pt>
                <c:pt idx="209">
                  <c:v>157.7468232764077</c:v>
                </c:pt>
                <c:pt idx="210">
                  <c:v>159.14579827441867</c:v>
                </c:pt>
                <c:pt idx="211">
                  <c:v>160.54947089401969</c:v>
                </c:pt>
                <c:pt idx="212">
                  <c:v>161.95781962034943</c:v>
                </c:pt>
                <c:pt idx="213">
                  <c:v>163.37082293042806</c:v>
                </c:pt>
                <c:pt idx="214">
                  <c:v>164.78845929350473</c:v>
                </c:pt>
                <c:pt idx="215">
                  <c:v>166.21070717140361</c:v>
                </c:pt>
                <c:pt idx="216">
                  <c:v>167.63754501886891</c:v>
                </c:pt>
                <c:pt idx="217">
                  <c:v>169.06895128390832</c:v>
                </c:pt>
                <c:pt idx="218">
                  <c:v>170.50490440813533</c:v>
                </c:pt>
                <c:pt idx="219">
                  <c:v>171.94538282711014</c:v>
                </c:pt>
                <c:pt idx="220">
                  <c:v>173.39036497067923</c:v>
                </c:pt>
                <c:pt idx="221">
                  <c:v>174.83982926331356</c:v>
                </c:pt>
                <c:pt idx="222">
                  <c:v>176.29375412444546</c:v>
                </c:pt>
                <c:pt idx="223">
                  <c:v>177.75211796880401</c:v>
                </c:pt>
                <c:pt idx="224">
                  <c:v>179.21489920674921</c:v>
                </c:pt>
                <c:pt idx="225">
                  <c:v>180.68207624460447</c:v>
                </c:pt>
                <c:pt idx="226">
                  <c:v>182.15362748498794</c:v>
                </c:pt>
                <c:pt idx="227">
                  <c:v>183.62953132714225</c:v>
                </c:pt>
                <c:pt idx="228">
                  <c:v>185.10976616726285</c:v>
                </c:pt>
                <c:pt idx="229">
                  <c:v>186.5943103988248</c:v>
                </c:pt>
                <c:pt idx="230">
                  <c:v>188.08314241290827</c:v>
                </c:pt>
                <c:pt idx="231">
                  <c:v>189.5762405985223</c:v>
                </c:pt>
                <c:pt idx="232">
                  <c:v>191.07358334292732</c:v>
                </c:pt>
                <c:pt idx="233">
                  <c:v>192.57514903195593</c:v>
                </c:pt>
                <c:pt idx="234">
                  <c:v>194.08091605033232</c:v>
                </c:pt>
                <c:pt idx="235">
                  <c:v>195.5908627819901</c:v>
                </c:pt>
                <c:pt idx="236">
                  <c:v>197.10496761038854</c:v>
                </c:pt>
                <c:pt idx="237">
                  <c:v>198.62320891882737</c:v>
                </c:pt>
                <c:pt idx="238">
                  <c:v>200.1455650907599</c:v>
                </c:pt>
                <c:pt idx="239">
                  <c:v>201.67201451010456</c:v>
                </c:pt>
                <c:pt idx="240">
                  <c:v>203.20253556155498</c:v>
                </c:pt>
                <c:pt idx="241">
                  <c:v>204.73710663088838</c:v>
                </c:pt>
                <c:pt idx="242">
                  <c:v>206.27570610527238</c:v>
                </c:pt>
                <c:pt idx="243">
                  <c:v>207.81831237357014</c:v>
                </c:pt>
                <c:pt idx="244">
                  <c:v>209.36490382664402</c:v>
                </c:pt>
                <c:pt idx="245">
                  <c:v>210.9154588576574</c:v>
                </c:pt>
                <c:pt idx="246">
                  <c:v>212.46995586237509</c:v>
                </c:pt>
                <c:pt idx="247">
                  <c:v>214.02837323946187</c:v>
                </c:pt>
                <c:pt idx="248">
                  <c:v>215.59068939077957</c:v>
                </c:pt>
                <c:pt idx="249">
                  <c:v>217.15688272168236</c:v>
                </c:pt>
                <c:pt idx="250">
                  <c:v>218.72693164131039</c:v>
                </c:pt>
                <c:pt idx="251">
                  <c:v>220.30081285299997</c:v>
                </c:pt>
                <c:pt idx="252">
                  <c:v>221.87849964549096</c:v>
                </c:pt>
                <c:pt idx="253">
                  <c:v>223.4599636056802</c:v>
                </c:pt>
                <c:pt idx="254">
                  <c:v>225.04517633063145</c:v>
                </c:pt>
                <c:pt idx="255">
                  <c:v>226.63410942797353</c:v>
                </c:pt>
                <c:pt idx="256">
                  <c:v>228.22673451629583</c:v>
                </c:pt>
                <c:pt idx="257">
                  <c:v>229.82302322554065</c:v>
                </c:pt>
                <c:pt idx="258">
                  <c:v>231.42294719739274</c:v>
                </c:pt>
                <c:pt idx="259">
                  <c:v>233.02647808566584</c:v>
                </c:pt>
                <c:pt idx="260">
                  <c:v>234.63358755668619</c:v>
                </c:pt>
                <c:pt idx="261">
                  <c:v>236.24424728967327</c:v>
                </c:pt>
                <c:pt idx="262">
                  <c:v>237.85842897711737</c:v>
                </c:pt>
                <c:pt idx="263">
                  <c:v>239.47610432515427</c:v>
                </c:pt>
                <c:pt idx="264">
                  <c:v>241.09724505393692</c:v>
                </c:pt>
                <c:pt idx="265">
                  <c:v>242.72182289800421</c:v>
                </c:pt>
                <c:pt idx="266">
                  <c:v>244.3498096066466</c:v>
                </c:pt>
                <c:pt idx="267">
                  <c:v>245.9811769442689</c:v>
                </c:pt>
                <c:pt idx="268">
                  <c:v>247.61589669074982</c:v>
                </c:pt>
                <c:pt idx="269">
                  <c:v>249.25394064179886</c:v>
                </c:pt>
                <c:pt idx="270">
                  <c:v>250.89528060930982</c:v>
                </c:pt>
                <c:pt idx="271">
                  <c:v>252.53988842171159</c:v>
                </c:pt>
                <c:pt idx="272">
                  <c:v>254.18773592431569</c:v>
                </c:pt>
                <c:pt idx="273">
                  <c:v>255.83879497966092</c:v>
                </c:pt>
                <c:pt idx="274">
                  <c:v>257.49303746785495</c:v>
                </c:pt>
                <c:pt idx="275">
                  <c:v>259.15043528691297</c:v>
                </c:pt>
                <c:pt idx="276">
                  <c:v>260.81096035309298</c:v>
                </c:pt>
                <c:pt idx="277">
                  <c:v>262.47458460122846</c:v>
                </c:pt>
                <c:pt idx="278">
                  <c:v>264.14127998505785</c:v>
                </c:pt>
                <c:pt idx="279">
                  <c:v>265.81101847755087</c:v>
                </c:pt>
                <c:pt idx="280">
                  <c:v>267.48377207123195</c:v>
                </c:pt>
                <c:pt idx="281">
                  <c:v>269.15951277850047</c:v>
                </c:pt>
                <c:pt idx="282">
                  <c:v>270.83821263194818</c:v>
                </c:pt>
                <c:pt idx="283">
                  <c:v>272.51984368467339</c:v>
                </c:pt>
                <c:pt idx="284">
                  <c:v>274.20437801059222</c:v>
                </c:pt>
                <c:pt idx="285">
                  <c:v>275.89178770474672</c:v>
                </c:pt>
                <c:pt idx="286">
                  <c:v>277.58204488361008</c:v>
                </c:pt>
                <c:pt idx="287">
                  <c:v>279.27512168538863</c:v>
                </c:pt>
                <c:pt idx="288">
                  <c:v>280.97099027032095</c:v>
                </c:pt>
                <c:pt idx="289">
                  <c:v>282.66962282097387</c:v>
                </c:pt>
                <c:pt idx="290">
                  <c:v>284.37099154253542</c:v>
                </c:pt>
                <c:pt idx="291">
                  <c:v>286.07506866310484</c:v>
                </c:pt>
                <c:pt idx="292">
                  <c:v>287.78182643397946</c:v>
                </c:pt>
                <c:pt idx="293">
                  <c:v>289.4912371299385</c:v>
                </c:pt>
                <c:pt idx="294">
                  <c:v>291.20327304952406</c:v>
                </c:pt>
                <c:pt idx="295">
                  <c:v>292.91790651531886</c:v>
                </c:pt>
                <c:pt idx="296">
                  <c:v>294.63510987422109</c:v>
                </c:pt>
                <c:pt idx="297">
                  <c:v>296.35485549771619</c:v>
                </c:pt>
                <c:pt idx="298">
                  <c:v>298.07709705674057</c:v>
                </c:pt>
                <c:pt idx="299">
                  <c:v>299.8017508128433</c:v>
                </c:pt>
                <c:pt idx="300">
                  <c:v>301.52871438528666</c:v>
                </c:pt>
                <c:pt idx="301">
                  <c:v>303.25788550275541</c:v>
                </c:pt>
                <c:pt idx="302">
                  <c:v>304.98916200541987</c:v>
                </c:pt>
                <c:pt idx="303">
                  <c:v>306.72244184696257</c:v>
                </c:pt>
                <c:pt idx="304">
                  <c:v>308.45762309656772</c:v>
                </c:pt>
                <c:pt idx="305">
                  <c:v>310.19460394087452</c:v>
                </c:pt>
                <c:pt idx="306">
                  <c:v>311.93328268589335</c:v>
                </c:pt>
                <c:pt idx="307">
                  <c:v>313.67355775888564</c:v>
                </c:pt>
                <c:pt idx="308">
                  <c:v>315.41532771020724</c:v>
                </c:pt>
                <c:pt idx="309">
                  <c:v>317.15849121511525</c:v>
                </c:pt>
                <c:pt idx="310">
                  <c:v>318.90294707553852</c:v>
                </c:pt>
                <c:pt idx="311">
                  <c:v>320.64859422181195</c:v>
                </c:pt>
                <c:pt idx="312">
                  <c:v>322.39533171437466</c:v>
                </c:pt>
                <c:pt idx="313">
                  <c:v>324.14305874543197</c:v>
                </c:pt>
                <c:pt idx="314">
                  <c:v>325.89167464058141</c:v>
                </c:pt>
                <c:pt idx="315">
                  <c:v>327.64107886040313</c:v>
                </c:pt>
                <c:pt idx="316">
                  <c:v>329.39117100201418</c:v>
                </c:pt>
                <c:pt idx="317">
                  <c:v>331.14185080058741</c:v>
                </c:pt>
                <c:pt idx="318">
                  <c:v>332.89301813083506</c:v>
                </c:pt>
                <c:pt idx="319">
                  <c:v>334.64457300845652</c:v>
                </c:pt>
                <c:pt idx="320">
                  <c:v>336.39641559155115</c:v>
                </c:pt>
                <c:pt idx="321">
                  <c:v>338.14845362128852</c:v>
                </c:pt>
                <c:pt idx="322">
                  <c:v>339.90060985226188</c:v>
                </c:pt>
                <c:pt idx="323">
                  <c:v>341.65281459222058</c:v>
                </c:pt>
                <c:pt idx="324">
                  <c:v>343.40499825170627</c:v>
                </c:pt>
                <c:pt idx="325">
                  <c:v>345.15709134461525</c:v>
                </c:pt>
                <c:pt idx="326">
                  <c:v>346.9090244887438</c:v>
                </c:pt>
                <c:pt idx="327">
                  <c:v>348.66072840631682</c:v>
                </c:pt>
                <c:pt idx="328">
                  <c:v>350.41213392450032</c:v>
                </c:pt>
                <c:pt idx="329">
                  <c:v>352.16317197589677</c:v>
                </c:pt>
                <c:pt idx="330">
                  <c:v>353.91377359902452</c:v>
                </c:pt>
                <c:pt idx="331">
                  <c:v>355.66386993878092</c:v>
                </c:pt>
                <c:pt idx="332">
                  <c:v>357.41339224688892</c:v>
                </c:pt>
                <c:pt idx="333">
                  <c:v>359.16227188232779</c:v>
                </c:pt>
                <c:pt idx="334">
                  <c:v>360.91044031174783</c:v>
                </c:pt>
                <c:pt idx="335">
                  <c:v>362.65782910986923</c:v>
                </c:pt>
                <c:pt idx="336">
                  <c:v>364.40436995986482</c:v>
                </c:pt>
                <c:pt idx="337">
                  <c:v>366.14999465372756</c:v>
                </c:pt>
                <c:pt idx="338">
                  <c:v>367.89463509262197</c:v>
                </c:pt>
                <c:pt idx="339">
                  <c:v>369.63822328722046</c:v>
                </c:pt>
                <c:pt idx="340">
                  <c:v>371.38069135802397</c:v>
                </c:pt>
                <c:pt idx="341">
                  <c:v>373.12197153566751</c:v>
                </c:pt>
                <c:pt idx="342">
                  <c:v>374.86199616121041</c:v>
                </c:pt>
                <c:pt idx="343">
                  <c:v>376.60069768641154</c:v>
                </c:pt>
                <c:pt idx="344">
                  <c:v>378.33800867398946</c:v>
                </c:pt>
                <c:pt idx="345">
                  <c:v>380.07386179786795</c:v>
                </c:pt>
                <c:pt idx="346">
                  <c:v>381.8081898434063</c:v>
                </c:pt>
                <c:pt idx="347">
                  <c:v>383.5409257076156</c:v>
                </c:pt>
                <c:pt idx="348">
                  <c:v>385.27200320080902</c:v>
                </c:pt>
                <c:pt idx="349">
                  <c:v>387.00135784684369</c:v>
                </c:pt>
                <c:pt idx="350">
                  <c:v>388.72892607903674</c:v>
                </c:pt>
                <c:pt idx="351">
                  <c:v>390.45464443744345</c:v>
                </c:pt>
                <c:pt idx="352">
                  <c:v>392.17844956896499</c:v>
                </c:pt>
                <c:pt idx="353">
                  <c:v>393.90027822744361</c:v>
                </c:pt>
                <c:pt idx="354">
                  <c:v>395.62006727374535</c:v>
                </c:pt>
                <c:pt idx="355">
                  <c:v>397.33775367583041</c:v>
                </c:pt>
                <c:pt idx="356">
                  <c:v>399.05327450881117</c:v>
                </c:pt>
                <c:pt idx="357">
                  <c:v>400.7665669549981</c:v>
                </c:pt>
                <c:pt idx="358">
                  <c:v>402.47756830393365</c:v>
                </c:pt>
                <c:pt idx="359">
                  <c:v>404.18621595241393</c:v>
                </c:pt>
                <c:pt idx="360">
                  <c:v>405.89246406555554</c:v>
                </c:pt>
                <c:pt idx="361">
                  <c:v>407.5963002068317</c:v>
                </c:pt>
                <c:pt idx="362">
                  <c:v>409.2977286161622</c:v>
                </c:pt>
                <c:pt idx="363">
                  <c:v>410.99675351905807</c:v>
                </c:pt>
                <c:pt idx="364">
                  <c:v>412.69337912668556</c:v>
                </c:pt>
                <c:pt idx="365">
                  <c:v>414.38760963592989</c:v>
                </c:pt>
                <c:pt idx="366">
                  <c:v>416.07944922945836</c:v>
                </c:pt>
                <c:pt idx="367">
                  <c:v>417.76890207578356</c:v>
                </c:pt>
                <c:pt idx="368">
                  <c:v>419.45597232932573</c:v>
                </c:pt>
                <c:pt idx="369">
                  <c:v>421.14066413047516</c:v>
                </c:pt>
                <c:pt idx="370">
                  <c:v>422.82298160565404</c:v>
                </c:pt>
                <c:pt idx="371">
                  <c:v>424.50292886737793</c:v>
                </c:pt>
                <c:pt idx="372">
                  <c:v>426.18051001431706</c:v>
                </c:pt>
                <c:pt idx="373">
                  <c:v>427.85572913135724</c:v>
                </c:pt>
                <c:pt idx="374">
                  <c:v>429.52859028966026</c:v>
                </c:pt>
                <c:pt idx="375">
                  <c:v>431.1990975467242</c:v>
                </c:pt>
                <c:pt idx="376">
                  <c:v>432.8672549464431</c:v>
                </c:pt>
                <c:pt idx="377">
                  <c:v>434.53306651916671</c:v>
                </c:pt>
                <c:pt idx="378">
                  <c:v>436.19653628175956</c:v>
                </c:pt>
                <c:pt idx="379">
                  <c:v>437.85766823765977</c:v>
                </c:pt>
                <c:pt idx="380">
                  <c:v>439.51646637693773</c:v>
                </c:pt>
                <c:pt idx="381">
                  <c:v>441.1729346763542</c:v>
                </c:pt>
                <c:pt idx="382">
                  <c:v>442.8270770994182</c:v>
                </c:pt>
                <c:pt idx="383">
                  <c:v>444.47889759644465</c:v>
                </c:pt>
                <c:pt idx="384">
                  <c:v>446.12840010461161</c:v>
                </c:pt>
                <c:pt idx="385">
                  <c:v>447.7755885480172</c:v>
                </c:pt>
                <c:pt idx="386">
                  <c:v>449.42046683773617</c:v>
                </c:pt>
                <c:pt idx="387">
                  <c:v>451.0630388718763</c:v>
                </c:pt>
                <c:pt idx="388">
                  <c:v>452.70330853563439</c:v>
                </c:pt>
                <c:pt idx="389">
                  <c:v>454.34127970135194</c:v>
                </c:pt>
                <c:pt idx="390">
                  <c:v>455.97695622857054</c:v>
                </c:pt>
                <c:pt idx="391">
                  <c:v>457.61034196408701</c:v>
                </c:pt>
                <c:pt idx="392">
                  <c:v>459.24144074200802</c:v>
                </c:pt>
                <c:pt idx="393">
                  <c:v>460.87025638380487</c:v>
                </c:pt>
                <c:pt idx="394">
                  <c:v>462.49679269836736</c:v>
                </c:pt>
                <c:pt idx="395">
                  <c:v>464.12105348205802</c:v>
                </c:pt>
                <c:pt idx="396">
                  <c:v>465.74304251876538</c:v>
                </c:pt>
                <c:pt idx="397">
                  <c:v>467.36276357995757</c:v>
                </c:pt>
                <c:pt idx="398">
                  <c:v>468.98022042473514</c:v>
                </c:pt>
                <c:pt idx="399">
                  <c:v>470.59541679988388</c:v>
                </c:pt>
                <c:pt idx="400">
                  <c:v>472.20835643992734</c:v>
                </c:pt>
                <c:pt idx="401">
                  <c:v>488.21392075178619</c:v>
                </c:pt>
                <c:pt idx="402">
                  <c:v>503.9962075022442</c:v>
                </c:pt>
                <c:pt idx="403">
                  <c:v>519.55883335046735</c:v>
                </c:pt>
                <c:pt idx="404">
                  <c:v>534.90529909920122</c:v>
                </c:pt>
                <c:pt idx="405">
                  <c:v>550.03899447088156</c:v>
                </c:pt>
                <c:pt idx="406">
                  <c:v>564.96320263534824</c:v>
                </c:pt>
                <c:pt idx="407">
                  <c:v>579.68110450454753</c:v>
                </c:pt>
                <c:pt idx="408">
                  <c:v>594.1957828085018</c:v>
                </c:pt>
                <c:pt idx="409">
                  <c:v>608.51022596581072</c:v>
                </c:pt>
                <c:pt idx="410">
                  <c:v>622.62733176101403</c:v>
                </c:pt>
                <c:pt idx="411">
                  <c:v>636.54991084028757</c:v>
                </c:pt>
                <c:pt idx="412">
                  <c:v>650.28069003615144</c:v>
                </c:pt>
                <c:pt idx="413">
                  <c:v>663.8223155311432</c:v>
                </c:pt>
                <c:pt idx="414">
                  <c:v>677.17735586973197</c:v>
                </c:pt>
                <c:pt idx="415">
                  <c:v>690.34830482713278</c:v>
                </c:pt>
                <c:pt idx="416">
                  <c:v>703.33758414310284</c:v>
                </c:pt>
                <c:pt idx="417">
                  <c:v>716.14754612827358</c:v>
                </c:pt>
                <c:pt idx="418">
                  <c:v>728.78047615007927</c:v>
                </c:pt>
                <c:pt idx="419">
                  <c:v>741.23859500488913</c:v>
                </c:pt>
                <c:pt idx="420">
                  <c:v>753.52406118252827</c:v>
                </c:pt>
                <c:pt idx="421">
                  <c:v>765.63897302898113</c:v>
                </c:pt>
                <c:pt idx="422">
                  <c:v>777.5853708127089</c:v>
                </c:pt>
                <c:pt idx="423">
                  <c:v>789.36523869967493</c:v>
                </c:pt>
                <c:pt idx="424">
                  <c:v>800.98050664185814</c:v>
                </c:pt>
                <c:pt idx="425">
                  <c:v>812.43305218374508</c:v>
                </c:pt>
                <c:pt idx="426">
                  <c:v>823.72470219101695</c:v>
                </c:pt>
                <c:pt idx="427">
                  <c:v>834.85723450539786</c:v>
                </c:pt>
                <c:pt idx="428">
                  <c:v>845.83237952939407</c:v>
                </c:pt>
                <c:pt idx="429">
                  <c:v>856.65182174443441</c:v>
                </c:pt>
                <c:pt idx="430">
                  <c:v>867.31720116571717</c:v>
                </c:pt>
                <c:pt idx="431">
                  <c:v>877.83011473687839</c:v>
                </c:pt>
                <c:pt idx="432">
                  <c:v>888.1921176674158</c:v>
                </c:pt>
                <c:pt idx="433">
                  <c:v>898.40472471563851</c:v>
                </c:pt>
                <c:pt idx="434">
                  <c:v>908.46941141975321</c:v>
                </c:pt>
                <c:pt idx="435">
                  <c:v>918.38761527955444</c:v>
                </c:pt>
                <c:pt idx="436">
                  <c:v>928.16073689104678</c:v>
                </c:pt>
                <c:pt idx="437">
                  <c:v>937.7901410362017</c:v>
                </c:pt>
                <c:pt idx="438">
                  <c:v>947.27715772992849</c:v>
                </c:pt>
                <c:pt idx="439">
                  <c:v>956.62308322622846</c:v>
                </c:pt>
                <c:pt idx="440">
                  <c:v>965.82918098539483</c:v>
                </c:pt>
                <c:pt idx="441">
                  <c:v>974.89668260402118</c:v>
                </c:pt>
                <c:pt idx="442">
                  <c:v>983.82678870948928</c:v>
                </c:pt>
                <c:pt idx="443">
                  <c:v>992.62066982051874</c:v>
                </c:pt>
                <c:pt idx="444">
                  <c:v>1001.2794671752787</c:v>
                </c:pt>
                <c:pt idx="445">
                  <c:v>1009.8042935284845</c:v>
                </c:pt>
                <c:pt idx="446">
                  <c:v>1018.1962339188302</c:v>
                </c:pt>
                <c:pt idx="447">
                  <c:v>1026.4563464080379</c:v>
                </c:pt>
                <c:pt idx="448">
                  <c:v>1034.5856627927419</c:v>
                </c:pt>
                <c:pt idx="449">
                  <c:v>1042.585189290365</c:v>
                </c:pt>
                <c:pt idx="450">
                  <c:v>1050.4559072000839</c:v>
                </c:pt>
                <c:pt idx="451">
                  <c:v>1058.1987735399327</c:v>
                </c:pt>
                <c:pt idx="452">
                  <c:v>1065.8147216610382</c:v>
                </c:pt>
                <c:pt idx="453">
                  <c:v>1073.3046618399326</c:v>
                </c:pt>
                <c:pt idx="454">
                  <c:v>1080.6694818498484</c:v>
                </c:pt>
                <c:pt idx="455">
                  <c:v>1087.9100475118535</c:v>
                </c:pt>
                <c:pt idx="456">
                  <c:v>1095.0272032266471</c:v>
                </c:pt>
                <c:pt idx="457">
                  <c:v>1102.0217724877971</c:v>
                </c:pt>
                <c:pt idx="458">
                  <c:v>1108.8945583771665</c:v>
                </c:pt>
                <c:pt idx="459">
                  <c:v>1115.6463440432422</c:v>
                </c:pt>
                <c:pt idx="460">
                  <c:v>1122.2778931630451</c:v>
                </c:pt>
                <c:pt idx="461">
                  <c:v>1128.7899503882766</c:v>
                </c:pt>
                <c:pt idx="462">
                  <c:v>1135.1832417763228</c:v>
                </c:pt>
                <c:pt idx="463">
                  <c:v>1141.4584752067151</c:v>
                </c:pt>
                <c:pt idx="464">
                  <c:v>1147.6163407836204</c:v>
                </c:pt>
                <c:pt idx="465">
                  <c:v>1153.6575112249111</c:v>
                </c:pt>
                <c:pt idx="466">
                  <c:v>1159.582642238342</c:v>
                </c:pt>
                <c:pt idx="467">
                  <c:v>1165.3923728853449</c:v>
                </c:pt>
                <c:pt idx="468">
                  <c:v>1171.0873259329292</c:v>
                </c:pt>
                <c:pt idx="469">
                  <c:v>1176.668108194162</c:v>
                </c:pt>
                <c:pt idx="470">
                  <c:v>1182.1353108576832</c:v>
                </c:pt>
                <c:pt idx="471">
                  <c:v>1187.4895098066997</c:v>
                </c:pt>
                <c:pt idx="472">
                  <c:v>1192.7312659278855</c:v>
                </c:pt>
                <c:pt idx="473">
                  <c:v>1197.8611254106061</c:v>
                </c:pt>
                <c:pt idx="474">
                  <c:v>1202.8796200368736</c:v>
                </c:pt>
                <c:pt idx="475">
                  <c:v>1207.7872674624291</c:v>
                </c:pt>
                <c:pt idx="476">
                  <c:v>1212.5845714893421</c:v>
                </c:pt>
                <c:pt idx="477">
                  <c:v>1217.2720223305091</c:v>
                </c:pt>
                <c:pt idx="478">
                  <c:v>1221.8500968664316</c:v>
                </c:pt>
                <c:pt idx="479">
                  <c:v>1226.3192588946447</c:v>
                </c:pt>
                <c:pt idx="480">
                  <c:v>1230.6799593721721</c:v>
                </c:pt>
                <c:pt idx="481">
                  <c:v>1234.9326366513778</c:v>
                </c:pt>
                <c:pt idx="482">
                  <c:v>1239.0777167095894</c:v>
                </c:pt>
                <c:pt idx="483">
                  <c:v>1243.11561337287</c:v>
                </c:pt>
                <c:pt idx="484">
                  <c:v>1247.0467285343223</c:v>
                </c:pt>
                <c:pt idx="485">
                  <c:v>1250.8714523673139</c:v>
                </c:pt>
                <c:pt idx="486">
                  <c:v>1254.5901635340258</c:v>
                </c:pt>
                <c:pt idx="487">
                  <c:v>1258.2032293897346</c:v>
                </c:pt>
                <c:pt idx="488">
                  <c:v>1261.7110061832559</c:v>
                </c:pt>
                <c:pt idx="489">
                  <c:v>1265.1138392539949</c:v>
                </c:pt>
                <c:pt idx="490">
                  <c:v>1268.4120632260685</c:v>
                </c:pt>
                <c:pt idx="491">
                  <c:v>1271.6060021999865</c:v>
                </c:pt>
                <c:pt idx="492">
                  <c:v>1274.6959699424087</c:v>
                </c:pt>
                <c:pt idx="493">
                  <c:v>1277.682270074524</c:v>
                </c:pt>
                <c:pt idx="494">
                  <c:v>1280.5651962596296</c:v>
                </c:pt>
                <c:pt idx="495">
                  <c:v>1283.3450323905274</c:v>
                </c:pt>
                <c:pt idx="496">
                  <c:v>1286.0220527773956</c:v>
                </c:pt>
                <c:pt idx="497">
                  <c:v>1288.5965223368362</c:v>
                </c:pt>
                <c:pt idx="498">
                  <c:v>1291.0686967828467</c:v>
                </c:pt>
                <c:pt idx="499">
                  <c:v>1293.4388228205157</c:v>
                </c:pt>
                <c:pt idx="500">
                  <c:v>1295.7071383432917</c:v>
                </c:pt>
                <c:pt idx="501">
                  <c:v>1297.8738726347278</c:v>
                </c:pt>
                <c:pt idx="502">
                  <c:v>1299.9392465756589</c:v>
                </c:pt>
                <c:pt idx="503">
                  <c:v>1301.9034728578172</c:v>
                </c:pt>
                <c:pt idx="504">
                  <c:v>1303.7667562049376</c:v>
                </c:pt>
                <c:pt idx="505">
                  <c:v>1305.5292936024475</c:v>
                </c:pt>
                <c:pt idx="506">
                  <c:v>1307.191274536862</c:v>
                </c:pt>
                <c:pt idx="507">
                  <c:v>1308.7528812460223</c:v>
                </c:pt>
                <c:pt idx="508">
                  <c:v>1310.2142889813167</c:v>
                </c:pt>
                <c:pt idx="509">
                  <c:v>1311.5756662829938</c:v>
                </c:pt>
                <c:pt idx="510">
                  <c:v>1312.8371752696298</c:v>
                </c:pt>
                <c:pt idx="511">
                  <c:v>1313.9989719427256</c:v>
                </c:pt>
                <c:pt idx="512">
                  <c:v>1315.0612065072837</c:v>
                </c:pt>
                <c:pt idx="513">
                  <c:v>1316.0240237090568</c:v>
                </c:pt>
                <c:pt idx="514">
                  <c:v>1316.8875631889418</c:v>
                </c:pt>
                <c:pt idx="515">
                  <c:v>1317.6519598547452</c:v>
                </c:pt>
                <c:pt idx="516">
                  <c:v>1318.3173442702391</c:v>
                </c:pt>
                <c:pt idx="517">
                  <c:v>1318.883843061087</c:v>
                </c:pt>
                <c:pt idx="518">
                  <c:v>1319.3515793368435</c:v>
                </c:pt>
                <c:pt idx="519">
                  <c:v>1319.7206731278304</c:v>
                </c:pt>
                <c:pt idx="520">
                  <c:v>1319.9912418352831</c:v>
                </c:pt>
                <c:pt idx="521">
                  <c:v>1320.1634006927657</c:v>
                </c:pt>
                <c:pt idx="522">
                  <c:v>1320.237263236472</c:v>
                </c:pt>
                <c:pt idx="523">
                  <c:v>1320.2129417817055</c:v>
                </c:pt>
                <c:pt idx="524">
                  <c:v>1320.0905479025639</c:v>
                </c:pt>
                <c:pt idx="525">
                  <c:v>1319.8701929116733</c:v>
                </c:pt>
                <c:pt idx="526">
                  <c:v>1319.5519883367128</c:v>
                </c:pt>
                <c:pt idx="527">
                  <c:v>1319.1360463904841</c:v>
                </c:pt>
                <c:pt idx="528">
                  <c:v>1318.6224804313656</c:v>
                </c:pt>
                <c:pt idx="529">
                  <c:v>1318.0114054111907</c:v>
                </c:pt>
                <c:pt idx="530">
                  <c:v>1317.3029383078526</c:v>
                </c:pt>
                <c:pt idx="531">
                  <c:v>1316.4971985402683</c:v>
                </c:pt>
                <c:pt idx="532">
                  <c:v>1315.5943083637164</c:v>
                </c:pt>
                <c:pt idx="533">
                  <c:v>1314.5943932439632</c:v>
                </c:pt>
                <c:pt idx="534">
                  <c:v>1313.4975822090043</c:v>
                </c:pt>
                <c:pt idx="535">
                  <c:v>1312.3040081776483</c:v>
                </c:pt>
                <c:pt idx="536">
                  <c:v>1311.0138082645458</c:v>
                </c:pt>
                <c:pt idx="537">
                  <c:v>1309.6271240616104</c:v>
                </c:pt>
                <c:pt idx="538">
                  <c:v>1308.1441018960766</c:v>
                </c:pt>
                <c:pt idx="539">
                  <c:v>1306.564893065691</c:v>
                </c:pt>
                <c:pt idx="540">
                  <c:v>1304.889654051743</c:v>
                </c:pt>
                <c:pt idx="541">
                  <c:v>1303.1185467107982</c:v>
                </c:pt>
                <c:pt idx="542">
                  <c:v>1301.2517384461125</c:v>
                </c:pt>
                <c:pt idx="543">
                  <c:v>1299.2894023597919</c:v>
                </c:pt>
                <c:pt idx="544">
                  <c:v>1297.2317173867962</c:v>
                </c:pt>
                <c:pt idx="545">
                  <c:v>1295.078868411915</c:v>
                </c:pt>
                <c:pt idx="546">
                  <c:v>1292.8310463708267</c:v>
                </c:pt>
                <c:pt idx="547">
                  <c:v>1290.4884483363373</c:v>
                </c:pt>
                <c:pt idx="548">
                  <c:v>1288.0512775908526</c:v>
                </c:pt>
                <c:pt idx="549">
                  <c:v>1285.5197436860915</c:v>
                </c:pt>
                <c:pt idx="550">
                  <c:v>1282.894062490996</c:v>
                </c:pt>
                <c:pt idx="551">
                  <c:v>1280.1744562287356</c:v>
                </c:pt>
                <c:pt idx="552">
                  <c:v>1277.3611535036405</c:v>
                </c:pt>
                <c:pt idx="553">
                  <c:v>1274.454389318845</c:v>
                </c:pt>
                <c:pt idx="554">
                  <c:v>1271.4544050853581</c:v>
                </c:pt>
                <c:pt idx="555">
                  <c:v>1268.3614486232268</c:v>
                </c:pt>
                <c:pt idx="556">
                  <c:v>1265.1757741553986</c:v>
                </c:pt>
                <c:pt idx="557">
                  <c:v>1261.8976422948456</c:v>
                </c:pt>
                <c:pt idx="558">
                  <c:v>1258.5273200254594</c:v>
                </c:pt>
                <c:pt idx="559">
                  <c:v>1255.0650806771871</c:v>
                </c:pt>
                <c:pt idx="560">
                  <c:v>1251.5112038958348</c:v>
                </c:pt>
                <c:pt idx="561">
                  <c:v>1247.8659756079307</c:v>
                </c:pt>
                <c:pt idx="562">
                  <c:v>1244.1296879810047</c:v>
                </c:pt>
                <c:pt idx="563">
                  <c:v>1240.3026393796104</c:v>
                </c:pt>
                <c:pt idx="564">
                  <c:v>1236.3851343173903</c:v>
                </c:pt>
                <c:pt idx="565">
                  <c:v>1232.3774834054564</c:v>
                </c:pt>
                <c:pt idx="566">
                  <c:v>1228.2800032973362</c:v>
                </c:pt>
                <c:pt idx="567">
                  <c:v>1224.0930166307187</c:v>
                </c:pt>
                <c:pt idx="568">
                  <c:v>1219.8168519662063</c:v>
                </c:pt>
                <c:pt idx="569">
                  <c:v>1215.4518437232739</c:v>
                </c:pt>
                <c:pt idx="570">
                  <c:v>1210.998332113611</c:v>
                </c:pt>
                <c:pt idx="571">
                  <c:v>1206.4566630720178</c:v>
                </c:pt>
                <c:pt idx="572">
                  <c:v>1201.8271881850067</c:v>
                </c:pt>
                <c:pt idx="573">
                  <c:v>1197.1102646172556</c:v>
                </c:pt>
                <c:pt idx="574">
                  <c:v>1192.3062550360476</c:v>
                </c:pt>
                <c:pt idx="575">
                  <c:v>1187.415527533821</c:v>
                </c:pt>
                <c:pt idx="576">
                  <c:v>1182.4384555489492</c:v>
                </c:pt>
                <c:pt idx="577">
                  <c:v>1177.3754177848596</c:v>
                </c:pt>
                <c:pt idx="578">
                  <c:v>1172.2267981275979</c:v>
                </c:pt>
                <c:pt idx="579">
                  <c:v>1166.992985561935</c:v>
                </c:pt>
                <c:pt idx="580">
                  <c:v>1161.6743740861091</c:v>
                </c:pt>
                <c:pt idx="581">
                  <c:v>1156.2713626252944</c:v>
                </c:pt>
                <c:pt idx="582">
                  <c:v>1150.7843549438783</c:v>
                </c:pt>
                <c:pt idx="583">
                  <c:v>1145.2137595566294</c:v>
                </c:pt>
                <c:pt idx="584">
                  <c:v>1139.5599896388323</c:v>
                </c:pt>
                <c:pt idx="585">
                  <c:v>1133.8234629354636</c:v>
                </c:pt>
                <c:pt idx="586">
                  <c:v>1128.0046016694803</c:v>
                </c:pt>
                <c:pt idx="587">
                  <c:v>1122.1038324492888</c:v>
                </c:pt>
                <c:pt idx="588">
                  <c:v>1116.1215861754604</c:v>
                </c:pt>
                <c:pt idx="589">
                  <c:v>1110.0582979467563</c:v>
                </c:pt>
                <c:pt idx="590">
                  <c:v>1103.9144069655254</c:v>
                </c:pt>
                <c:pt idx="591">
                  <c:v>1097.690356442532</c:v>
                </c:pt>
                <c:pt idx="592">
                  <c:v>1091.3865935012736</c:v>
                </c:pt>
                <c:pt idx="593">
                  <c:v>1085.0035690818434</c:v>
                </c:pt>
                <c:pt idx="594">
                  <c:v>1078.5417378443924</c:v>
                </c:pt>
                <c:pt idx="595">
                  <c:v>1072.0015580722459</c:v>
                </c:pt>
                <c:pt idx="596">
                  <c:v>1065.383491574722</c:v>
                </c:pt>
                <c:pt idx="597">
                  <c:v>1058.6880035897077</c:v>
                </c:pt>
                <c:pt idx="598">
                  <c:v>1051.915562686037</c:v>
                </c:pt>
                <c:pt idx="599">
                  <c:v>1045.0666406657222</c:v>
                </c:pt>
                <c:pt idx="600">
                  <c:v>1038.1417124660832</c:v>
                </c:pt>
                <c:pt idx="601">
                  <c:v>1031.1412560618223</c:v>
                </c:pt>
                <c:pt idx="602">
                  <c:v>1024.0657523670866</c:v>
                </c:pt>
                <c:pt idx="603">
                  <c:v>1016.9156851375631</c:v>
                </c:pt>
                <c:pt idx="604">
                  <c:v>1009.6915408726497</c:v>
                </c:pt>
                <c:pt idx="605">
                  <c:v>1002.3938087177424</c:v>
                </c:pt>
                <c:pt idx="606">
                  <c:v>995.02298036667867</c:v>
                </c:pt>
                <c:pt idx="607">
                  <c:v>987.57954996437832</c:v>
                </c:pt>
                <c:pt idx="608">
                  <c:v>980.06401400972015</c:v>
                </c:pt>
                <c:pt idx="609">
                  <c:v>972.47687125869118</c:v>
                </c:pt>
                <c:pt idx="610">
                  <c:v>964.81862262784591</c:v>
                </c:pt>
                <c:pt idx="611">
                  <c:v>957.08977109811235</c:v>
                </c:pt>
                <c:pt idx="612">
                  <c:v>949.29082161897873</c:v>
                </c:pt>
                <c:pt idx="613">
                  <c:v>941.42228101309604</c:v>
                </c:pt>
                <c:pt idx="614">
                  <c:v>933.48465788132899</c:v>
                </c:pt>
                <c:pt idx="615">
                  <c:v>925.47846250828911</c:v>
                </c:pt>
                <c:pt idx="616">
                  <c:v>917.40420676838028</c:v>
                </c:pt>
                <c:pt idx="617">
                  <c:v>909.26240403238842</c:v>
                </c:pt>
                <c:pt idx="618">
                  <c:v>901.05356907464534</c:v>
                </c:pt>
                <c:pt idx="619">
                  <c:v>892.77821798079526</c:v>
                </c:pt>
                <c:pt idx="620">
                  <c:v>884.43686805619302</c:v>
                </c:pt>
                <c:pt idx="621">
                  <c:v>876.03003773496141</c:v>
                </c:pt>
                <c:pt idx="622">
                  <c:v>867.55824648973328</c:v>
                </c:pt>
                <c:pt idx="623">
                  <c:v>859.02201474210619</c:v>
                </c:pt>
                <c:pt idx="624">
                  <c:v>850.42186377383246</c:v>
                </c:pt>
                <c:pt idx="625">
                  <c:v>841.75831563877045</c:v>
                </c:pt>
                <c:pt idx="626">
                  <c:v>833.03189307562002</c:v>
                </c:pt>
                <c:pt idx="627">
                  <c:v>824.24311942146414</c:v>
                </c:pt>
                <c:pt idx="628">
                  <c:v>815.39251852613938</c:v>
                </c:pt>
                <c:pt idx="629">
                  <c:v>806.4806146674556</c:v>
                </c:pt>
                <c:pt idx="630">
                  <c:v>797.50793246728517</c:v>
                </c:pt>
                <c:pt idx="631">
                  <c:v>788.47499680854162</c:v>
                </c:pt>
                <c:pt idx="632">
                  <c:v>779.3823327530655</c:v>
                </c:pt>
                <c:pt idx="633">
                  <c:v>770.23046546043577</c:v>
                </c:pt>
                <c:pt idx="634">
                  <c:v>761.01992010772392</c:v>
                </c:pt>
                <c:pt idx="635">
                  <c:v>751.75122181020663</c:v>
                </c:pt>
                <c:pt idx="636">
                  <c:v>742.4248955430528</c:v>
                </c:pt>
                <c:pt idx="637">
                  <c:v>733.04146606399991</c:v>
                </c:pt>
                <c:pt idx="638">
                  <c:v>723.60145783703319</c:v>
                </c:pt>
                <c:pt idx="639">
                  <c:v>714.10539495708099</c:v>
                </c:pt>
                <c:pt idx="640">
                  <c:v>704.55380107573967</c:v>
                </c:pt>
                <c:pt idx="641">
                  <c:v>694.9471993280381</c:v>
                </c:pt>
                <c:pt idx="642">
                  <c:v>685.28611226025521</c:v>
                </c:pt>
                <c:pt idx="643">
                  <c:v>675.57106175879846</c:v>
                </c:pt>
                <c:pt idx="644">
                  <c:v>665.80256898015466</c:v>
                </c:pt>
                <c:pt idx="645">
                  <c:v>655.98115428192136</c:v>
                </c:pt>
                <c:pt idx="646">
                  <c:v>646.10733715492745</c:v>
                </c:pt>
                <c:pt idx="647">
                  <c:v>636.18163615644949</c:v>
                </c:pt>
                <c:pt idx="648">
                  <c:v>626.20456884453267</c:v>
                </c:pt>
                <c:pt idx="649">
                  <c:v>616.17665171342037</c:v>
                </c:pt>
                <c:pt idx="650">
                  <c:v>606.09840013009989</c:v>
                </c:pt>
                <c:pt idx="651">
                  <c:v>595.97032827196779</c:v>
                </c:pt>
                <c:pt idx="652">
                  <c:v>585.79294906562029</c:v>
                </c:pt>
                <c:pt idx="653">
                  <c:v>575.56677412677186</c:v>
                </c:pt>
                <c:pt idx="654">
                  <c:v>565.29231370130515</c:v>
                </c:pt>
                <c:pt idx="655">
                  <c:v>554.97007660745453</c:v>
                </c:pt>
                <c:pt idx="656">
                  <c:v>544.60057017912629</c:v>
                </c:pt>
                <c:pt idx="657">
                  <c:v>534.18430021035533</c:v>
                </c:pt>
                <c:pt idx="658">
                  <c:v>523.72177090089986</c:v>
                </c:pt>
                <c:pt idx="659">
                  <c:v>513.21348480297468</c:v>
                </c:pt>
                <c:pt idx="660">
                  <c:v>502.6599427691217</c:v>
                </c:pt>
                <c:pt idx="661">
                  <c:v>492.06164390121825</c:v>
                </c:pt>
                <c:pt idx="662">
                  <c:v>481.41908550062038</c:v>
                </c:pt>
                <c:pt idx="663">
                  <c:v>470.73276301944031</c:v>
                </c:pt>
                <c:pt idx="664">
                  <c:v>460.0031700129552</c:v>
                </c:pt>
                <c:pt idx="665">
                  <c:v>449.23079809314447</c:v>
                </c:pt>
                <c:pt idx="666">
                  <c:v>438.41613688335275</c:v>
                </c:pt>
                <c:pt idx="667">
                  <c:v>427.55967397407369</c:v>
                </c:pt>
                <c:pt idx="668">
                  <c:v>416.66189487985179</c:v>
                </c:pt>
                <c:pt idx="669">
                  <c:v>405.72328299729645</c:v>
                </c:pt>
                <c:pt idx="670">
                  <c:v>394.74431956420392</c:v>
                </c:pt>
                <c:pt idx="671">
                  <c:v>383.72548361978119</c:v>
                </c:pt>
                <c:pt idx="672">
                  <c:v>372.66725196596633</c:v>
                </c:pt>
                <c:pt idx="673">
                  <c:v>361.57009912983887</c:v>
                </c:pt>
                <c:pt idx="674">
                  <c:v>350.43449732711355</c:v>
                </c:pt>
                <c:pt idx="675">
                  <c:v>339.26091642671065</c:v>
                </c:pt>
                <c:pt idx="676">
                  <c:v>328.04982391639561</c:v>
                </c:pt>
                <c:pt idx="677">
                  <c:v>316.80168486947986</c:v>
                </c:pt>
                <c:pt idx="678">
                  <c:v>305.51696191257548</c:v>
                </c:pt>
                <c:pt idx="679">
                  <c:v>294.19611519439513</c:v>
                </c:pt>
                <c:pt idx="680">
                  <c:v>282.83960235558845</c:v>
                </c:pt>
                <c:pt idx="681">
                  <c:v>271.44787849960682</c:v>
                </c:pt>
                <c:pt idx="682">
                  <c:v>260.02139616458629</c:v>
                </c:pt>
                <c:pt idx="683">
                  <c:v>248.56060529624028</c:v>
                </c:pt>
                <c:pt idx="684">
                  <c:v>237.06595322175184</c:v>
                </c:pt>
                <c:pt idx="685">
                  <c:v>225.53788462465559</c:v>
                </c:pt>
                <c:pt idx="686">
                  <c:v>213.97684152069965</c:v>
                </c:pt>
                <c:pt idx="687">
                  <c:v>202.38326323467678</c:v>
                </c:pt>
                <c:pt idx="688">
                  <c:v>190.75758637821437</c:v>
                </c:pt>
                <c:pt idx="689">
                  <c:v>179.1002448285127</c:v>
                </c:pt>
                <c:pt idx="690">
                  <c:v>167.41166970802036</c:v>
                </c:pt>
                <c:pt idx="691">
                  <c:v>155.69228936503575</c:v>
                </c:pt>
                <c:pt idx="692">
                  <c:v>143.94252935522363</c:v>
                </c:pt>
                <c:pt idx="693">
                  <c:v>132.16281242403505</c:v>
                </c:pt>
                <c:pt idx="694">
                  <c:v>120.35355849001941</c:v>
                </c:pt>
                <c:pt idx="695">
                  <c:v>108.51518462901662</c:v>
                </c:pt>
                <c:pt idx="696">
                  <c:v>96.648105059217926</c:v>
                </c:pt>
                <c:pt idx="697">
                  <c:v>84.75273112708328</c:v>
                </c:pt>
                <c:pt idx="698">
                  <c:v>72.829471294103314</c:v>
                </c:pt>
                <c:pt idx="699">
                  <c:v>60.878731124393774</c:v>
                </c:pt>
                <c:pt idx="700">
                  <c:v>48.900913273110248</c:v>
                </c:pt>
                <c:pt idx="701">
                  <c:v>36.896417475670944</c:v>
                </c:pt>
                <c:pt idx="702">
                  <c:v>24.865640537775135</c:v>
                </c:pt>
                <c:pt idx="703">
                  <c:v>12.808976326204872</c:v>
                </c:pt>
                <c:pt idx="704">
                  <c:v>0.72681576039756912</c:v>
                </c:pt>
                <c:pt idx="705">
                  <c:v>-11.380453195223096</c:v>
                </c:pt>
                <c:pt idx="706">
                  <c:v>-11.392572934018164</c:v>
                </c:pt>
                <c:pt idx="707">
                  <c:v>-11.404692697344668</c:v>
                </c:pt>
                <c:pt idx="708">
                  <c:v>-11.416812485202231</c:v>
                </c:pt>
                <c:pt idx="709">
                  <c:v>-11.428932297590471</c:v>
                </c:pt>
                <c:pt idx="710">
                  <c:v>-11.441052134509011</c:v>
                </c:pt>
                <c:pt idx="711">
                  <c:v>-11.453171995957469</c:v>
                </c:pt>
                <c:pt idx="712">
                  <c:v>-11.465291881935466</c:v>
                </c:pt>
                <c:pt idx="713">
                  <c:v>-11.477411792442622</c:v>
                </c:pt>
                <c:pt idx="714">
                  <c:v>-11.489531727478557</c:v>
                </c:pt>
                <c:pt idx="715">
                  <c:v>-11.501651687042893</c:v>
                </c:pt>
                <c:pt idx="716">
                  <c:v>-11.513771671135247</c:v>
                </c:pt>
                <c:pt idx="717">
                  <c:v>-11.525891679755242</c:v>
                </c:pt>
                <c:pt idx="718">
                  <c:v>-11.538011712902499</c:v>
                </c:pt>
                <c:pt idx="719">
                  <c:v>-11.550131770576636</c:v>
                </c:pt>
                <c:pt idx="720">
                  <c:v>-11.562251852777274</c:v>
                </c:pt>
                <c:pt idx="721">
                  <c:v>-11.574371959504035</c:v>
                </c:pt>
                <c:pt idx="722">
                  <c:v>-11.586492090756536</c:v>
                </c:pt>
                <c:pt idx="723">
                  <c:v>-11.598612246534399</c:v>
                </c:pt>
                <c:pt idx="724">
                  <c:v>-11.610732426837245</c:v>
                </c:pt>
                <c:pt idx="725">
                  <c:v>-11.622852631664694</c:v>
                </c:pt>
                <c:pt idx="726">
                  <c:v>-11.634972861016365</c:v>
                </c:pt>
                <c:pt idx="727">
                  <c:v>-11.647093114891881</c:v>
                </c:pt>
                <c:pt idx="728">
                  <c:v>-11.659213393290859</c:v>
                </c:pt>
                <c:pt idx="729">
                  <c:v>-11.671333696212921</c:v>
                </c:pt>
                <c:pt idx="730">
                  <c:v>-11.683454023657688</c:v>
                </c:pt>
                <c:pt idx="731">
                  <c:v>-11.69557437562478</c:v>
                </c:pt>
                <c:pt idx="732">
                  <c:v>-11.707694752113817</c:v>
                </c:pt>
                <c:pt idx="733">
                  <c:v>-11.719815153124419</c:v>
                </c:pt>
                <c:pt idx="734">
                  <c:v>-11.731935578656207</c:v>
                </c:pt>
                <c:pt idx="735">
                  <c:v>-11.744056028708801</c:v>
                </c:pt>
                <c:pt idx="736">
                  <c:v>-11.756176503281822</c:v>
                </c:pt>
                <c:pt idx="737">
                  <c:v>-11.768297002374888</c:v>
                </c:pt>
                <c:pt idx="738">
                  <c:v>-11.780417525987623</c:v>
                </c:pt>
                <c:pt idx="739">
                  <c:v>-11.792538074119644</c:v>
                </c:pt>
                <c:pt idx="740">
                  <c:v>-11.804658646770573</c:v>
                </c:pt>
                <c:pt idx="741">
                  <c:v>-11.816779243940031</c:v>
                </c:pt>
                <c:pt idx="742">
                  <c:v>-11.828899865627637</c:v>
                </c:pt>
                <c:pt idx="743">
                  <c:v>-11.841020511833012</c:v>
                </c:pt>
                <c:pt idx="744">
                  <c:v>-11.853141182555776</c:v>
                </c:pt>
                <c:pt idx="745">
                  <c:v>-11.86526187779555</c:v>
                </c:pt>
                <c:pt idx="746">
                  <c:v>-11.877382597551955</c:v>
                </c:pt>
                <c:pt idx="747">
                  <c:v>-11.889503341824611</c:v>
                </c:pt>
                <c:pt idx="748">
                  <c:v>-11.901624110613136</c:v>
                </c:pt>
                <c:pt idx="749">
                  <c:v>-11.913744903917154</c:v>
                </c:pt>
                <c:pt idx="750">
                  <c:v>-11.925865721736281</c:v>
                </c:pt>
                <c:pt idx="751">
                  <c:v>-11.937986564070142</c:v>
                </c:pt>
                <c:pt idx="752">
                  <c:v>-11.950107430918354</c:v>
                </c:pt>
                <c:pt idx="753">
                  <c:v>-11.96222832228054</c:v>
                </c:pt>
                <c:pt idx="754">
                  <c:v>-11.974349238156318</c:v>
                </c:pt>
                <c:pt idx="755">
                  <c:v>-11.986470178545311</c:v>
                </c:pt>
                <c:pt idx="756">
                  <c:v>-11.998591143447136</c:v>
                </c:pt>
                <c:pt idx="757">
                  <c:v>-12.010712132861416</c:v>
                </c:pt>
                <c:pt idx="758">
                  <c:v>-12.022833146787772</c:v>
                </c:pt>
                <c:pt idx="759">
                  <c:v>-12.034954185225821</c:v>
                </c:pt>
                <c:pt idx="760">
                  <c:v>-12.047075248175187</c:v>
                </c:pt>
                <c:pt idx="761">
                  <c:v>-12.059196335635489</c:v>
                </c:pt>
                <c:pt idx="762">
                  <c:v>-12.071317447606347</c:v>
                </c:pt>
                <c:pt idx="763">
                  <c:v>-12.083438584087382</c:v>
                </c:pt>
                <c:pt idx="764">
                  <c:v>-12.095559745078216</c:v>
                </c:pt>
                <c:pt idx="765">
                  <c:v>-12.107680930578466</c:v>
                </c:pt>
                <c:pt idx="766">
                  <c:v>-12.119802140587755</c:v>
                </c:pt>
                <c:pt idx="767">
                  <c:v>-12.131923375105702</c:v>
                </c:pt>
                <c:pt idx="768">
                  <c:v>-12.144044634131928</c:v>
                </c:pt>
                <c:pt idx="769">
                  <c:v>-12.156165917666055</c:v>
                </c:pt>
                <c:pt idx="770">
                  <c:v>-12.168287225707701</c:v>
                </c:pt>
                <c:pt idx="771">
                  <c:v>-12.180408558256486</c:v>
                </c:pt>
                <c:pt idx="772">
                  <c:v>-12.192529915312033</c:v>
                </c:pt>
                <c:pt idx="773">
                  <c:v>-12.204651296873962</c:v>
                </c:pt>
                <c:pt idx="774">
                  <c:v>-12.216772702941892</c:v>
                </c:pt>
                <c:pt idx="775">
                  <c:v>-12.228894133515444</c:v>
                </c:pt>
                <c:pt idx="776">
                  <c:v>-12.241015588594239</c:v>
                </c:pt>
                <c:pt idx="777">
                  <c:v>-12.253137068177898</c:v>
                </c:pt>
                <c:pt idx="778">
                  <c:v>-12.26525857226604</c:v>
                </c:pt>
                <c:pt idx="779">
                  <c:v>-12.277380100858286</c:v>
                </c:pt>
                <c:pt idx="780">
                  <c:v>-12.289501653954257</c:v>
                </c:pt>
                <c:pt idx="781">
                  <c:v>-12.301623231553574</c:v>
                </c:pt>
                <c:pt idx="782">
                  <c:v>-12.313744833655855</c:v>
                </c:pt>
                <c:pt idx="783">
                  <c:v>-12.325866460260723</c:v>
                </c:pt>
                <c:pt idx="784">
                  <c:v>-12.337988111367798</c:v>
                </c:pt>
                <c:pt idx="785">
                  <c:v>-12.350109786976699</c:v>
                </c:pt>
                <c:pt idx="786">
                  <c:v>-12.362231487087048</c:v>
                </c:pt>
                <c:pt idx="787">
                  <c:v>-12.374353211698464</c:v>
                </c:pt>
                <c:pt idx="788">
                  <c:v>-12.386474960810569</c:v>
                </c:pt>
                <c:pt idx="789">
                  <c:v>-12.398596734422982</c:v>
                </c:pt>
                <c:pt idx="790">
                  <c:v>-12.410718532535325</c:v>
                </c:pt>
                <c:pt idx="791">
                  <c:v>-12.422840355147219</c:v>
                </c:pt>
                <c:pt idx="792">
                  <c:v>-12.434962202258284</c:v>
                </c:pt>
                <c:pt idx="793">
                  <c:v>-12.447084073868139</c:v>
                </c:pt>
                <c:pt idx="794">
                  <c:v>-12.459205969976406</c:v>
                </c:pt>
                <c:pt idx="795">
                  <c:v>-12.471327890582705</c:v>
                </c:pt>
                <c:pt idx="796">
                  <c:v>-12.483449835686656</c:v>
                </c:pt>
                <c:pt idx="797">
                  <c:v>-12.495571805287881</c:v>
                </c:pt>
                <c:pt idx="798">
                  <c:v>-12.507693799385999</c:v>
                </c:pt>
                <c:pt idx="799">
                  <c:v>-12.519815817980632</c:v>
                </c:pt>
                <c:pt idx="800">
                  <c:v>-12.5319378610714</c:v>
                </c:pt>
                <c:pt idx="801">
                  <c:v>-12.544059928657923</c:v>
                </c:pt>
                <c:pt idx="802">
                  <c:v>-12.556182020739822</c:v>
                </c:pt>
                <c:pt idx="803">
                  <c:v>-12.568304137316717</c:v>
                </c:pt>
                <c:pt idx="804">
                  <c:v>-12.580426278388229</c:v>
                </c:pt>
                <c:pt idx="805">
                  <c:v>-12.592548443953978</c:v>
                </c:pt>
                <c:pt idx="806">
                  <c:v>-12.604670634013585</c:v>
                </c:pt>
                <c:pt idx="807">
                  <c:v>-12.616792848566671</c:v>
                </c:pt>
                <c:pt idx="808">
                  <c:v>-12.628915087612857</c:v>
                </c:pt>
                <c:pt idx="809">
                  <c:v>-12.641037351151761</c:v>
                </c:pt>
                <c:pt idx="810">
                  <c:v>-12.653159639183006</c:v>
                </c:pt>
                <c:pt idx="811">
                  <c:v>-12.665281951706211</c:v>
                </c:pt>
                <c:pt idx="812">
                  <c:v>-12.677404288720998</c:v>
                </c:pt>
                <c:pt idx="813">
                  <c:v>-12.689526650226988</c:v>
                </c:pt>
                <c:pt idx="814">
                  <c:v>-12.701649036223799</c:v>
                </c:pt>
                <c:pt idx="815">
                  <c:v>-12.713771446711053</c:v>
                </c:pt>
                <c:pt idx="816">
                  <c:v>-12.725893881688373</c:v>
                </c:pt>
                <c:pt idx="817">
                  <c:v>-12.738016341155376</c:v>
                </c:pt>
                <c:pt idx="818">
                  <c:v>-12.750138825111684</c:v>
                </c:pt>
                <c:pt idx="819">
                  <c:v>-12.762261333556918</c:v>
                </c:pt>
                <c:pt idx="820">
                  <c:v>-12.774383866490698</c:v>
                </c:pt>
                <c:pt idx="821">
                  <c:v>-12.786506423912645</c:v>
                </c:pt>
                <c:pt idx="822">
                  <c:v>-12.798629005822379</c:v>
                </c:pt>
                <c:pt idx="823">
                  <c:v>-12.810751612219521</c:v>
                </c:pt>
                <c:pt idx="824">
                  <c:v>-12.822874243103691</c:v>
                </c:pt>
                <c:pt idx="825">
                  <c:v>-12.834996898474509</c:v>
                </c:pt>
                <c:pt idx="826">
                  <c:v>-12.847119578331599</c:v>
                </c:pt>
                <c:pt idx="827">
                  <c:v>-12.859242282674579</c:v>
                </c:pt>
                <c:pt idx="828">
                  <c:v>-12.87136501150307</c:v>
                </c:pt>
                <c:pt idx="829">
                  <c:v>-12.883487764816691</c:v>
                </c:pt>
                <c:pt idx="830">
                  <c:v>-12.895610542615065</c:v>
                </c:pt>
                <c:pt idx="831">
                  <c:v>-12.907733344897812</c:v>
                </c:pt>
                <c:pt idx="832">
                  <c:v>-12.919856171664552</c:v>
                </c:pt>
                <c:pt idx="833">
                  <c:v>-12.931979022914906</c:v>
                </c:pt>
                <c:pt idx="834">
                  <c:v>-12.944101898648494</c:v>
                </c:pt>
                <c:pt idx="835">
                  <c:v>-12.956224798864939</c:v>
                </c:pt>
                <c:pt idx="836">
                  <c:v>-12.968347723563859</c:v>
                </c:pt>
                <c:pt idx="837">
                  <c:v>-12.980470672744877</c:v>
                </c:pt>
                <c:pt idx="838">
                  <c:v>-12.992593646407611</c:v>
                </c:pt>
                <c:pt idx="839">
                  <c:v>-13.004716644551683</c:v>
                </c:pt>
                <c:pt idx="840">
                  <c:v>-13.016839667176715</c:v>
                </c:pt>
                <c:pt idx="841">
                  <c:v>-13.028962714282326</c:v>
                </c:pt>
                <c:pt idx="842">
                  <c:v>-13.041085785868136</c:v>
                </c:pt>
                <c:pt idx="843">
                  <c:v>-13.053208881933767</c:v>
                </c:pt>
                <c:pt idx="844">
                  <c:v>-13.065332002478838</c:v>
                </c:pt>
                <c:pt idx="845">
                  <c:v>-13.077455147502972</c:v>
                </c:pt>
                <c:pt idx="846">
                  <c:v>-13.089578317005788</c:v>
                </c:pt>
                <c:pt idx="847">
                  <c:v>-13.101701510986908</c:v>
                </c:pt>
                <c:pt idx="848">
                  <c:v>-13.113824729445952</c:v>
                </c:pt>
                <c:pt idx="849">
                  <c:v>-13.125947972382541</c:v>
                </c:pt>
                <c:pt idx="850">
                  <c:v>-13.138071239796295</c:v>
                </c:pt>
                <c:pt idx="851">
                  <c:v>-13.150194531686834</c:v>
                </c:pt>
                <c:pt idx="852">
                  <c:v>-13.16231784805378</c:v>
                </c:pt>
                <c:pt idx="853">
                  <c:v>-13.174441188896754</c:v>
                </c:pt>
                <c:pt idx="854">
                  <c:v>-13.186564554215376</c:v>
                </c:pt>
                <c:pt idx="855">
                  <c:v>-13.198687944009267</c:v>
                </c:pt>
                <c:pt idx="856">
                  <c:v>-13.210811358278047</c:v>
                </c:pt>
                <c:pt idx="857">
                  <c:v>-13.222934797021336</c:v>
                </c:pt>
                <c:pt idx="858">
                  <c:v>-13.235058260238757</c:v>
                </c:pt>
                <c:pt idx="859">
                  <c:v>-13.247181747929929</c:v>
                </c:pt>
                <c:pt idx="860">
                  <c:v>-13.259305260094473</c:v>
                </c:pt>
                <c:pt idx="861">
                  <c:v>-13.27142879673201</c:v>
                </c:pt>
                <c:pt idx="862">
                  <c:v>-13.283552357842161</c:v>
                </c:pt>
                <c:pt idx="863">
                  <c:v>-13.295675943424547</c:v>
                </c:pt>
                <c:pt idx="864">
                  <c:v>-13.307799553478787</c:v>
                </c:pt>
                <c:pt idx="865">
                  <c:v>-13.319923188004504</c:v>
                </c:pt>
                <c:pt idx="866">
                  <c:v>-13.332046847001317</c:v>
                </c:pt>
                <c:pt idx="867">
                  <c:v>-13.344170530468848</c:v>
                </c:pt>
                <c:pt idx="868">
                  <c:v>-13.356294238406717</c:v>
                </c:pt>
                <c:pt idx="869">
                  <c:v>-13.368417970814544</c:v>
                </c:pt>
                <c:pt idx="870">
                  <c:v>-13.380541727691952</c:v>
                </c:pt>
                <c:pt idx="871">
                  <c:v>-13.39266550903856</c:v>
                </c:pt>
                <c:pt idx="872">
                  <c:v>-13.404789314853989</c:v>
                </c:pt>
                <c:pt idx="873">
                  <c:v>-13.41691314513786</c:v>
                </c:pt>
                <c:pt idx="874">
                  <c:v>-13.429036999889794</c:v>
                </c:pt>
                <c:pt idx="875">
                  <c:v>-13.441160879109411</c:v>
                </c:pt>
                <c:pt idx="876">
                  <c:v>-13.453284782796331</c:v>
                </c:pt>
                <c:pt idx="877">
                  <c:v>-13.465408710950177</c:v>
                </c:pt>
                <c:pt idx="878">
                  <c:v>-13.477532663570567</c:v>
                </c:pt>
                <c:pt idx="879">
                  <c:v>-13.489656640657126</c:v>
                </c:pt>
                <c:pt idx="880">
                  <c:v>-13.50178064220947</c:v>
                </c:pt>
                <c:pt idx="881">
                  <c:v>-13.513904668227223</c:v>
                </c:pt>
                <c:pt idx="882">
                  <c:v>-13.526028718710004</c:v>
                </c:pt>
                <c:pt idx="883">
                  <c:v>-13.538152793657435</c:v>
                </c:pt>
                <c:pt idx="884">
                  <c:v>-13.550276893069135</c:v>
                </c:pt>
                <c:pt idx="885">
                  <c:v>-13.562401016944728</c:v>
                </c:pt>
                <c:pt idx="886">
                  <c:v>-13.574525165283832</c:v>
                </c:pt>
                <c:pt idx="887">
                  <c:v>-13.586649338086069</c:v>
                </c:pt>
                <c:pt idx="888">
                  <c:v>-13.598773535351059</c:v>
                </c:pt>
                <c:pt idx="889">
                  <c:v>-13.610897757078423</c:v>
                </c:pt>
                <c:pt idx="890">
                  <c:v>-13.623022003267781</c:v>
                </c:pt>
                <c:pt idx="891">
                  <c:v>-13.635146273918757</c:v>
                </c:pt>
                <c:pt idx="892">
                  <c:v>-13.647270569030969</c:v>
                </c:pt>
                <c:pt idx="893">
                  <c:v>-13.659394888604037</c:v>
                </c:pt>
                <c:pt idx="894">
                  <c:v>-13.671519232637584</c:v>
                </c:pt>
                <c:pt idx="895">
                  <c:v>-13.68364360113123</c:v>
                </c:pt>
                <c:pt idx="896">
                  <c:v>-13.695767994084596</c:v>
                </c:pt>
                <c:pt idx="897">
                  <c:v>-13.707892411497303</c:v>
                </c:pt>
                <c:pt idx="898">
                  <c:v>-13.720016853368971</c:v>
                </c:pt>
                <c:pt idx="899">
                  <c:v>-13.732141319699222</c:v>
                </c:pt>
                <c:pt idx="900">
                  <c:v>-13.744265810487676</c:v>
                </c:pt>
                <c:pt idx="901">
                  <c:v>-13.756390325733953</c:v>
                </c:pt>
                <c:pt idx="902">
                  <c:v>-13.768514865437677</c:v>
                </c:pt>
                <c:pt idx="903">
                  <c:v>-13.780639429598466</c:v>
                </c:pt>
                <c:pt idx="904">
                  <c:v>-13.792764018215941</c:v>
                </c:pt>
                <c:pt idx="905">
                  <c:v>-13.804888631289723</c:v>
                </c:pt>
                <c:pt idx="906">
                  <c:v>-13.817013268819434</c:v>
                </c:pt>
                <c:pt idx="907">
                  <c:v>-13.829137930804693</c:v>
                </c:pt>
                <c:pt idx="908">
                  <c:v>-13.841262617245123</c:v>
                </c:pt>
                <c:pt idx="909">
                  <c:v>-13.853387328140343</c:v>
                </c:pt>
                <c:pt idx="910">
                  <c:v>-13.865512063489975</c:v>
                </c:pt>
                <c:pt idx="911">
                  <c:v>-13.87763682329364</c:v>
                </c:pt>
                <c:pt idx="912">
                  <c:v>-13.889761607550959</c:v>
                </c:pt>
                <c:pt idx="913">
                  <c:v>-13.901886416261551</c:v>
                </c:pt>
                <c:pt idx="914">
                  <c:v>-13.914011249425039</c:v>
                </c:pt>
                <c:pt idx="915">
                  <c:v>-13.926136107041042</c:v>
                </c:pt>
                <c:pt idx="916">
                  <c:v>-13.938260989109184</c:v>
                </c:pt>
                <c:pt idx="917">
                  <c:v>-13.950385895629083</c:v>
                </c:pt>
                <c:pt idx="918">
                  <c:v>-13.96251082660036</c:v>
                </c:pt>
                <c:pt idx="919">
                  <c:v>-13.974635782022636</c:v>
                </c:pt>
                <c:pt idx="920">
                  <c:v>-13.986760761895534</c:v>
                </c:pt>
                <c:pt idx="921">
                  <c:v>-13.998885766218672</c:v>
                </c:pt>
                <c:pt idx="922">
                  <c:v>-14.011010794991673</c:v>
                </c:pt>
                <c:pt idx="923">
                  <c:v>-14.023135848214157</c:v>
                </c:pt>
                <c:pt idx="924">
                  <c:v>-14.035260925885744</c:v>
                </c:pt>
                <c:pt idx="925">
                  <c:v>-14.047386028006056</c:v>
                </c:pt>
                <c:pt idx="926">
                  <c:v>-14.059511154574714</c:v>
                </c:pt>
                <c:pt idx="927">
                  <c:v>-14.071636305591339</c:v>
                </c:pt>
                <c:pt idx="928">
                  <c:v>-14.083761481055552</c:v>
                </c:pt>
                <c:pt idx="929">
                  <c:v>-14.095886680966974</c:v>
                </c:pt>
                <c:pt idx="930">
                  <c:v>-14.108011905325224</c:v>
                </c:pt>
                <c:pt idx="931">
                  <c:v>-14.120137154129925</c:v>
                </c:pt>
                <c:pt idx="932">
                  <c:v>-14.132262427380697</c:v>
                </c:pt>
                <c:pt idx="933">
                  <c:v>-14.144387725077161</c:v>
                </c:pt>
                <c:pt idx="934">
                  <c:v>-14.156513047218938</c:v>
                </c:pt>
                <c:pt idx="935">
                  <c:v>-14.168638393805651</c:v>
                </c:pt>
                <c:pt idx="936">
                  <c:v>-14.180763764836918</c:v>
                </c:pt>
                <c:pt idx="937">
                  <c:v>-14.19288916031236</c:v>
                </c:pt>
                <c:pt idx="938">
                  <c:v>-14.2050145802316</c:v>
                </c:pt>
                <c:pt idx="939">
                  <c:v>-14.217140024594258</c:v>
                </c:pt>
                <c:pt idx="940">
                  <c:v>-14.229265493399954</c:v>
                </c:pt>
                <c:pt idx="941">
                  <c:v>-14.241390986648309</c:v>
                </c:pt>
                <c:pt idx="942">
                  <c:v>-14.253516504338945</c:v>
                </c:pt>
                <c:pt idx="943">
                  <c:v>-14.265642046471484</c:v>
                </c:pt>
                <c:pt idx="944">
                  <c:v>-14.277767613045546</c:v>
                </c:pt>
                <c:pt idx="945">
                  <c:v>-14.28989320406075</c:v>
                </c:pt>
                <c:pt idx="946">
                  <c:v>-14.30201881951672</c:v>
                </c:pt>
                <c:pt idx="947">
                  <c:v>-14.314144459413075</c:v>
                </c:pt>
                <c:pt idx="948">
                  <c:v>-14.326270123749437</c:v>
                </c:pt>
                <c:pt idx="949">
                  <c:v>-14.338395812525425</c:v>
                </c:pt>
                <c:pt idx="950">
                  <c:v>-14.350521525740662</c:v>
                </c:pt>
                <c:pt idx="951">
                  <c:v>-14.362647263394768</c:v>
                </c:pt>
                <c:pt idx="952">
                  <c:v>-14.374773025487364</c:v>
                </c:pt>
                <c:pt idx="953">
                  <c:v>-14.386898812018073</c:v>
                </c:pt>
                <c:pt idx="954">
                  <c:v>-14.399024622986513</c:v>
                </c:pt>
                <c:pt idx="955">
                  <c:v>-14.411150458392306</c:v>
                </c:pt>
                <c:pt idx="956">
                  <c:v>-14.423276318235075</c:v>
                </c:pt>
                <c:pt idx="957">
                  <c:v>-14.435402202514439</c:v>
                </c:pt>
                <c:pt idx="958">
                  <c:v>-14.447528111230019</c:v>
                </c:pt>
                <c:pt idx="959">
                  <c:v>-14.459654044381438</c:v>
                </c:pt>
                <c:pt idx="960">
                  <c:v>-14.471780001968314</c:v>
                </c:pt>
                <c:pt idx="961">
                  <c:v>-14.483905983990269</c:v>
                </c:pt>
                <c:pt idx="962">
                  <c:v>-14.496031990446925</c:v>
                </c:pt>
                <c:pt idx="963">
                  <c:v>-14.508158021337902</c:v>
                </c:pt>
                <c:pt idx="964">
                  <c:v>-14.520284076662822</c:v>
                </c:pt>
                <c:pt idx="965">
                  <c:v>-14.532410156421305</c:v>
                </c:pt>
                <c:pt idx="966">
                  <c:v>-14.544536260612972</c:v>
                </c:pt>
                <c:pt idx="967">
                  <c:v>-14.556662389237445</c:v>
                </c:pt>
                <c:pt idx="968">
                  <c:v>-14.568788542294344</c:v>
                </c:pt>
                <c:pt idx="969">
                  <c:v>-14.580914719783291</c:v>
                </c:pt>
                <c:pt idx="970">
                  <c:v>-14.593040921703906</c:v>
                </c:pt>
                <c:pt idx="971">
                  <c:v>-14.605167148055811</c:v>
                </c:pt>
                <c:pt idx="972">
                  <c:v>-14.617293398838628</c:v>
                </c:pt>
                <c:pt idx="973">
                  <c:v>-14.629419674051976</c:v>
                </c:pt>
                <c:pt idx="974">
                  <c:v>-14.641545973695477</c:v>
                </c:pt>
                <c:pt idx="975">
                  <c:v>-14.653672297768752</c:v>
                </c:pt>
                <c:pt idx="976">
                  <c:v>-14.665798646271421</c:v>
                </c:pt>
                <c:pt idx="977">
                  <c:v>-14.677925019203107</c:v>
                </c:pt>
                <c:pt idx="978">
                  <c:v>-14.690051416563429</c:v>
                </c:pt>
                <c:pt idx="979">
                  <c:v>-14.702177838352011</c:v>
                </c:pt>
                <c:pt idx="980">
                  <c:v>-14.71430428456847</c:v>
                </c:pt>
                <c:pt idx="981">
                  <c:v>-14.72643075521243</c:v>
                </c:pt>
                <c:pt idx="982">
                  <c:v>-14.738557250283511</c:v>
                </c:pt>
                <c:pt idx="983">
                  <c:v>-14.750683769781334</c:v>
                </c:pt>
                <c:pt idx="984">
                  <c:v>-14.76281031370552</c:v>
                </c:pt>
                <c:pt idx="985">
                  <c:v>-14.774936882055691</c:v>
                </c:pt>
                <c:pt idx="986">
                  <c:v>-14.787063474831468</c:v>
                </c:pt>
                <c:pt idx="987">
                  <c:v>-14.799190092032472</c:v>
                </c:pt>
                <c:pt idx="988">
                  <c:v>-14.811316733658323</c:v>
                </c:pt>
                <c:pt idx="989">
                  <c:v>-14.823443399708644</c:v>
                </c:pt>
                <c:pt idx="990">
                  <c:v>-14.835570090183055</c:v>
                </c:pt>
                <c:pt idx="991">
                  <c:v>-14.847696805081176</c:v>
                </c:pt>
                <c:pt idx="992">
                  <c:v>-14.85982354440263</c:v>
                </c:pt>
                <c:pt idx="993">
                  <c:v>-14.871950308147037</c:v>
                </c:pt>
                <c:pt idx="994">
                  <c:v>-14.884077096314018</c:v>
                </c:pt>
                <c:pt idx="995">
                  <c:v>-14.896203908903194</c:v>
                </c:pt>
                <c:pt idx="996">
                  <c:v>-14.908330745914187</c:v>
                </c:pt>
                <c:pt idx="997">
                  <c:v>-14.920457607346618</c:v>
                </c:pt>
                <c:pt idx="998">
                  <c:v>-14.932584493200107</c:v>
                </c:pt>
                <c:pt idx="999">
                  <c:v>-14.944711403474276</c:v>
                </c:pt>
                <c:pt idx="1000">
                  <c:v>-14.956838338168746</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Barasinga (Pro54-5G C)</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0.05</c:v>
                </c:pt>
                <c:pt idx="2">
                  <c:v>0.5</c:v>
                </c:pt>
                <c:pt idx="3">
                  <c:v>1</c:v>
                </c:pt>
                <c:pt idx="4">
                  <c:v>1.5</c:v>
                </c:pt>
                <c:pt idx="5">
                  <c:v>2</c:v>
                </c:pt>
                <c:pt idx="6">
                  <c:v>2.5</c:v>
                </c:pt>
                <c:pt idx="7">
                  <c:v>2.97</c:v>
                </c:pt>
                <c:pt idx="8">
                  <c:v>3.2</c:v>
                </c:pt>
                <c:pt idx="9">
                  <c:v>3.47</c:v>
                </c:pt>
                <c:pt idx="10">
                  <c:v>3.59</c:v>
                </c:pt>
                <c:pt idx="11">
                  <c:v>3.59</c:v>
                </c:pt>
                <c:pt idx="12">
                  <c:v>3.59</c:v>
                </c:pt>
                <c:pt idx="13">
                  <c:v>3.59</c:v>
                </c:pt>
                <c:pt idx="14">
                  <c:v>3.59</c:v>
                </c:pt>
                <c:pt idx="15">
                  <c:v>3.59</c:v>
                </c:pt>
                <c:pt idx="16">
                  <c:v>3.59</c:v>
                </c:pt>
                <c:pt idx="17">
                  <c:v>3.59</c:v>
                </c:pt>
                <c:pt idx="18">
                  <c:v>3.59</c:v>
                </c:pt>
                <c:pt idx="19">
                  <c:v>3.59</c:v>
                </c:pt>
                <c:pt idx="20">
                  <c:v>3.59</c:v>
                </c:pt>
                <c:pt idx="21">
                  <c:v>3.59</c:v>
                </c:pt>
                <c:pt idx="22">
                  <c:v>3.59</c:v>
                </c:pt>
              </c:numCache>
            </c:numRef>
          </c:xVal>
          <c:yVal>
            <c:numRef>
              <c:f>Propu!$B$4:$X$4</c:f>
              <c:numCache>
                <c:formatCode>General</c:formatCode>
                <c:ptCount val="23"/>
                <c:pt idx="0">
                  <c:v>0</c:v>
                </c:pt>
                <c:pt idx="1">
                  <c:v>893</c:v>
                </c:pt>
                <c:pt idx="2">
                  <c:v>798</c:v>
                </c:pt>
                <c:pt idx="3">
                  <c:v>739</c:v>
                </c:pt>
                <c:pt idx="4">
                  <c:v>659</c:v>
                </c:pt>
                <c:pt idx="5">
                  <c:v>586</c:v>
                </c:pt>
                <c:pt idx="6">
                  <c:v>513</c:v>
                </c:pt>
                <c:pt idx="7">
                  <c:v>417</c:v>
                </c:pt>
                <c:pt idx="8">
                  <c:v>225</c:v>
                </c:pt>
                <c:pt idx="9">
                  <c:v>67</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Abaco!$K$43:$K$51</c:f>
              <c:numCache>
                <c:formatCode>General" m/s"</c:formatCode>
                <c:ptCount val="9"/>
                <c:pt idx="0">
                  <c:v>740.86493375900318</c:v>
                </c:pt>
                <c:pt idx="1">
                  <c:v>519.06432349701743</c:v>
                </c:pt>
                <c:pt idx="2">
                  <c:v>352.11480759325337</c:v>
                </c:pt>
                <c:pt idx="3">
                  <c:v>256.43531410122489</c:v>
                </c:pt>
                <c:pt idx="4">
                  <c:v>197.22414092702505</c:v>
                </c:pt>
                <c:pt idx="5">
                  <c:v>157.52373255605016</c:v>
                </c:pt>
                <c:pt idx="6">
                  <c:v>129.21503015016165</c:v>
                </c:pt>
                <c:pt idx="7">
                  <c:v>108.06815820046411</c:v>
                </c:pt>
                <c:pt idx="8">
                  <c:v>91.694976914190704</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99 mm</c:v>
                </c:pt>
              </c:strCache>
            </c:strRef>
          </c:tx>
          <c:xVal>
            <c:numRef>
              <c:f>Abaco!$D$52:$D$60</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Abaco!$K$52:$K$60</c:f>
              <c:numCache>
                <c:formatCode>General" m/s"</c:formatCode>
                <c:ptCount val="9"/>
                <c:pt idx="0">
                  <c:v>412.42525699655755</c:v>
                </c:pt>
                <c:pt idx="1">
                  <c:v>372.89334381569898</c:v>
                </c:pt>
                <c:pt idx="2">
                  <c:v>297.30848984717261</c:v>
                </c:pt>
                <c:pt idx="3">
                  <c:v>232.94713407854408</c:v>
                </c:pt>
                <c:pt idx="4">
                  <c:v>185.75391054803782</c:v>
                </c:pt>
                <c:pt idx="5">
                  <c:v>151.3366127556568</c:v>
                </c:pt>
                <c:pt idx="6">
                  <c:v>125.62125708041533</c:v>
                </c:pt>
                <c:pt idx="7">
                  <c:v>105.86102744768547</c:v>
                </c:pt>
                <c:pt idx="8">
                  <c:v>90.280300554842739</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Abaco!$K$61:$K$69</c:f>
              <c:numCache>
                <c:formatCode>General" m/s"</c:formatCode>
                <c:ptCount val="9"/>
                <c:pt idx="0">
                  <c:v>275.07596521895329</c:v>
                </c:pt>
                <c:pt idx="1">
                  <c:v>265.88256819975578</c:v>
                </c:pt>
                <c:pt idx="2">
                  <c:v>237.85360796774208</c:v>
                </c:pt>
                <c:pt idx="3">
                  <c:v>201.84315019010211</c:v>
                </c:pt>
                <c:pt idx="4">
                  <c:v>168.86785606139935</c:v>
                </c:pt>
                <c:pt idx="5">
                  <c:v>141.65846993810027</c:v>
                </c:pt>
                <c:pt idx="6">
                  <c:v>119.7865896617496</c:v>
                </c:pt>
                <c:pt idx="7">
                  <c:v>102.19004614641432</c:v>
                </c:pt>
                <c:pt idx="8">
                  <c:v>87.888434285405538</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Abaco!$L$43:$L$51</c:f>
              <c:numCache>
                <c:formatCode>General" m"</c:formatCode>
                <c:ptCount val="9"/>
                <c:pt idx="0">
                  <c:v>3379.1781597853906</c:v>
                </c:pt>
                <c:pt idx="1">
                  <c:v>4191.4867606519438</c:v>
                </c:pt>
                <c:pt idx="2">
                  <c:v>3661.1319546054992</c:v>
                </c:pt>
                <c:pt idx="3">
                  <c:v>2761.8423302375577</c:v>
                </c:pt>
                <c:pt idx="4">
                  <c:v>1978.9707377345692</c:v>
                </c:pt>
                <c:pt idx="5">
                  <c:v>1414.9846771989273</c:v>
                </c:pt>
                <c:pt idx="6">
                  <c:v>1029.5910836053504</c:v>
                </c:pt>
                <c:pt idx="7">
                  <c:v>766.14421177218264</c:v>
                </c:pt>
                <c:pt idx="8">
                  <c:v>582.54064964922713</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99 mm</c:v>
                </c:pt>
              </c:strCache>
            </c:strRef>
          </c:tx>
          <c:xVal>
            <c:numRef>
              <c:f>Abaco!$D$52:$D$60</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Abaco!$L$52:$L$60</c:f>
              <c:numCache>
                <c:formatCode>General" m"</c:formatCode>
                <c:ptCount val="9"/>
                <c:pt idx="0">
                  <c:v>1679.0821739078401</c:v>
                </c:pt>
                <c:pt idx="1">
                  <c:v>1992.9234377819998</c:v>
                </c:pt>
                <c:pt idx="2">
                  <c:v>1968.092903614041</c:v>
                </c:pt>
                <c:pt idx="3">
                  <c:v>1743.2987328307222</c:v>
                </c:pt>
                <c:pt idx="4">
                  <c:v>1440.898364518627</c:v>
                </c:pt>
                <c:pt idx="5">
                  <c:v>1145.1962210424565</c:v>
                </c:pt>
                <c:pt idx="6">
                  <c:v>894.9615150560054</c:v>
                </c:pt>
                <c:pt idx="7">
                  <c:v>697.6162667733646</c:v>
                </c:pt>
                <c:pt idx="8">
                  <c:v>546.59703419346408</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Abaco!$L$61:$L$69</c:f>
              <c:numCache>
                <c:formatCode>General" m"</c:formatCode>
                <c:ptCount val="9"/>
                <c:pt idx="0">
                  <c:v>1075.439037659014</c:v>
                </c:pt>
                <c:pt idx="1">
                  <c:v>1217.8359370828684</c:v>
                </c:pt>
                <c:pt idx="2">
                  <c:v>1234.7774046983241</c:v>
                </c:pt>
                <c:pt idx="3">
                  <c:v>1165.4271917721453</c:v>
                </c:pt>
                <c:pt idx="4">
                  <c:v>1040.9926322038441</c:v>
                </c:pt>
                <c:pt idx="5">
                  <c:v>892.4665301962807</c:v>
                </c:pt>
                <c:pt idx="6">
                  <c:v>743.98563004113907</c:v>
                </c:pt>
                <c:pt idx="7">
                  <c:v>609.93003885678615</c:v>
                </c:pt>
                <c:pt idx="8">
                  <c:v>496.08086662256062</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Abaco!$M$43:$M$51</c:f>
              <c:numCache>
                <c:formatCode>General" s"</c:formatCode>
                <c:ptCount val="9"/>
                <c:pt idx="0">
                  <c:v>15.620425339981127</c:v>
                </c:pt>
                <c:pt idx="1">
                  <c:v>24.209350712803673</c:v>
                </c:pt>
                <c:pt idx="2">
                  <c:v>25.676145732222469</c:v>
                </c:pt>
                <c:pt idx="3">
                  <c:v>23.935464261455397</c:v>
                </c:pt>
                <c:pt idx="4">
                  <c:v>21.178426797530943</c:v>
                </c:pt>
                <c:pt idx="5">
                  <c:v>18.487632174330052</c:v>
                </c:pt>
                <c:pt idx="6">
                  <c:v>16.191566735582555</c:v>
                </c:pt>
                <c:pt idx="7">
                  <c:v>14.309005405004449</c:v>
                </c:pt>
                <c:pt idx="8">
                  <c:v>12.774487377567105</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99 mm</c:v>
                </c:pt>
              </c:strCache>
            </c:strRef>
          </c:tx>
          <c:xVal>
            <c:numRef>
              <c:f>Abaco!$D$52:$D$60</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Abaco!$M$52:$M$60</c:f>
              <c:numCache>
                <c:formatCode>General" s"</c:formatCode>
                <c:ptCount val="9"/>
                <c:pt idx="0">
                  <c:v>10.161795397052806</c:v>
                </c:pt>
                <c:pt idx="1">
                  <c:v>15.442959032105033</c:v>
                </c:pt>
                <c:pt idx="2">
                  <c:v>17.61520791707666</c:v>
                </c:pt>
                <c:pt idx="3">
                  <c:v>18.070167187013894</c:v>
                </c:pt>
                <c:pt idx="4">
                  <c:v>17.442229602912938</c:v>
                </c:pt>
                <c:pt idx="5">
                  <c:v>16.252715004390566</c:v>
                </c:pt>
                <c:pt idx="6">
                  <c:v>14.877851711989361</c:v>
                </c:pt>
                <c:pt idx="7">
                  <c:v>13.530991660123929</c:v>
                </c:pt>
                <c:pt idx="8">
                  <c:v>12.304936240344523</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3.5564999999999998</c:v>
                </c:pt>
                <c:pt idx="2">
                  <c:v>5.4279999999999999</c:v>
                </c:pt>
                <c:pt idx="3">
                  <c:v>7.2995000000000001</c:v>
                </c:pt>
                <c:pt idx="4">
                  <c:v>9.1709999999999994</c:v>
                </c:pt>
                <c:pt idx="5">
                  <c:v>11.0425</c:v>
                </c:pt>
                <c:pt idx="6">
                  <c:v>12.914</c:v>
                </c:pt>
                <c:pt idx="7">
                  <c:v>14.785500000000001</c:v>
                </c:pt>
                <c:pt idx="8">
                  <c:v>16.657</c:v>
                </c:pt>
              </c:numCache>
            </c:numRef>
          </c:xVal>
          <c:yVal>
            <c:numRef>
              <c:f>Abaco!$M$61:$M$69</c:f>
              <c:numCache>
                <c:formatCode>General" s"</c:formatCode>
                <c:ptCount val="9"/>
                <c:pt idx="0">
                  <c:v>7.9713413208649264</c:v>
                </c:pt>
                <c:pt idx="1">
                  <c:v>11.576577163936403</c:v>
                </c:pt>
                <c:pt idx="2">
                  <c:v>13.382825084628967</c:v>
                </c:pt>
                <c:pt idx="3">
                  <c:v>14.23096267357022</c:v>
                </c:pt>
                <c:pt idx="4">
                  <c:v>14.372298252391509</c:v>
                </c:pt>
                <c:pt idx="5">
                  <c:v>14.009942113598987</c:v>
                </c:pt>
                <c:pt idx="6">
                  <c:v>13.33386517739654</c:v>
                </c:pt>
                <c:pt idx="7">
                  <c:v>12.503037887956186</c:v>
                </c:pt>
                <c:pt idx="8">
                  <c:v>11.630302650534677</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7486"/>
</file>

<file path=xl/ctrlProps/ctrlProp3.xml><?xml version="1.0" encoding="utf-8"?>
<formControlPr xmlns="http://schemas.microsoft.com/office/spreadsheetml/2009/9/main" objectType="Spin" dx="15" fmlaLink="$C$13" inc="50" max="30000" noThreeD="1" page="10" val="1030"/>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19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80"/>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3"/>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2052"/>
</file>

<file path=xl/ctrlProps/ctrlProp12.xml><?xml version="1.0" encoding="utf-8"?>
<formControlPr xmlns="http://schemas.microsoft.com/office/spreadsheetml/2009/9/main" objectType="Spin" dx="15" fmlaLink="$C$12" inc="100" max="30000" noThreeD="1" page="10" val="7486"/>
</file>

<file path=xl/ctrlProps/ctrlProp13.xml><?xml version="1.0" encoding="utf-8"?>
<formControlPr xmlns="http://schemas.microsoft.com/office/spreadsheetml/2009/9/main" objectType="Spin" dx="15" fmlaLink="$C$12" inc="100" max="30000" noThreeD="1" page="10" val="7486"/>
</file>

<file path=xl/ctrlProps/ctrlProp14.xml><?xml version="1.0" encoding="utf-8"?>
<formControlPr xmlns="http://schemas.microsoft.com/office/spreadsheetml/2009/9/main" objectType="Spin" dx="15" fmlaLink="Stabilito!C12" inc="100" max="30000" noThreeD="1" page="10" val="7486"/>
</file>

<file path=xl/ctrlProps/ctrlProp15.xml><?xml version="1.0" encoding="utf-8"?>
<formControlPr xmlns="http://schemas.microsoft.com/office/spreadsheetml/2009/9/main" objectType="Spin" dx="15" fmlaLink="$B$44" inc="50" max="30000" noThreeD="1" page="10" val="320"/>
</file>

<file path=xl/ctrlProps/ctrlProp16.xml><?xml version="1.0" encoding="utf-8"?>
<formControlPr xmlns="http://schemas.microsoft.com/office/spreadsheetml/2009/9/main" objectType="Spin" dx="15" fmlaLink="$B$46" inc="50" max="30000" noThreeD="1" page="10" val="32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7486"/>
</file>

<file path=xl/ctrlProps/ctrlProp20.xml><?xml version="1.0" encoding="utf-8"?>
<formControlPr xmlns="http://schemas.microsoft.com/office/spreadsheetml/2009/9/main" objectType="Spin" dx="15" fmlaLink="Stabilito!C12" inc="100" max="30000" noThreeD="1" page="10" val="7486"/>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2074" y="19105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zoomScale="115" zoomScaleNormal="115" zoomScaleSheetLayoutView="100" workbookViewId="0">
      <selection activeCell="C18" sqref="C18:D18"/>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68" t="s">
        <v>53</v>
      </c>
      <c r="D2" s="568"/>
      <c r="L2" s="147" t="str">
        <f>"Language/Langue"</f>
        <v>Language/Langue</v>
      </c>
      <c r="M2" s="544" t="s">
        <v>1</v>
      </c>
      <c r="N2" s="544"/>
      <c r="O2" s="544"/>
      <c r="P2" s="545"/>
      <c r="Q2" s="27"/>
    </row>
    <row r="3" spans="1:20" ht="12.75" customHeight="1" x14ac:dyDescent="0.2">
      <c r="A3" s="25"/>
      <c r="C3" s="568"/>
      <c r="D3" s="568"/>
      <c r="L3" s="555"/>
      <c r="M3" s="555"/>
      <c r="N3" s="45"/>
      <c r="Q3" s="27"/>
    </row>
    <row r="4" spans="1:20" ht="12.75" customHeight="1" x14ac:dyDescent="0.2">
      <c r="A4" s="25"/>
      <c r="C4" s="569" t="str">
        <f>IF(Lang="Français","Stabilité de fusée à ailerons",IF(Lang="English","Stability for rocket with fins",""))</f>
        <v>Stabilité de fusée à ailerons</v>
      </c>
      <c r="D4" s="569"/>
      <c r="L4" s="33"/>
      <c r="M4" s="544" t="s">
        <v>571</v>
      </c>
      <c r="N4" s="544"/>
      <c r="O4" s="544"/>
      <c r="P4" s="545"/>
      <c r="Q4" s="27"/>
    </row>
    <row r="5" spans="1:20" ht="12.75" customHeight="1" x14ac:dyDescent="0.25">
      <c r="A5" s="25"/>
      <c r="B5" s="28"/>
      <c r="C5" s="583"/>
      <c r="D5" s="583"/>
      <c r="L5" s="33"/>
      <c r="M5" s="575" t="s">
        <v>156</v>
      </c>
      <c r="N5" s="576"/>
      <c r="O5" s="558" t="s">
        <v>157</v>
      </c>
      <c r="P5" s="558"/>
      <c r="Q5" s="29"/>
    </row>
    <row r="6" spans="1:20" ht="12.75" customHeight="1" thickBot="1" x14ac:dyDescent="0.25">
      <c r="A6" s="25"/>
      <c r="B6" s="87"/>
      <c r="C6" s="593" t="str">
        <f>IF(Lang="Français","Remplir les cases jaunes",IF(Lang="English","Fill-in yellow cells only",""))</f>
        <v>Remplir les cases jaunes</v>
      </c>
      <c r="D6" s="593"/>
      <c r="L6" s="139" t="str">
        <f>IF(Lang="Français","Longueur      'L'",IF(Lang="English","Length      'L'",""))</f>
        <v>Longueur      'L'</v>
      </c>
      <c r="M6" s="564">
        <v>60</v>
      </c>
      <c r="N6" s="565"/>
      <c r="O6" s="550">
        <v>50</v>
      </c>
      <c r="P6" s="550"/>
      <c r="Q6" s="29"/>
    </row>
    <row r="7" spans="1:20" ht="12.75" customHeight="1" thickTop="1" thickBot="1" x14ac:dyDescent="0.25">
      <c r="A7" s="25"/>
      <c r="B7" s="31"/>
      <c r="C7" s="571" t="str">
        <f>IF(Lang="Français","Fusée",IF(Lang="English","Rocket",""))</f>
        <v>Fusée</v>
      </c>
      <c r="D7" s="572"/>
      <c r="L7" s="139" t="str">
        <f>IF(Lang="Français","Diamètre     'D1'",IF(Lang="English","Diameter 'D1'",""))</f>
        <v>Diamètre     'D1'</v>
      </c>
      <c r="M7" s="564">
        <v>84</v>
      </c>
      <c r="N7" s="565"/>
      <c r="O7" s="550">
        <v>104</v>
      </c>
      <c r="P7" s="550"/>
      <c r="Q7" s="29"/>
    </row>
    <row r="8" spans="1:20" ht="12.75" customHeight="1" thickTop="1" x14ac:dyDescent="0.2">
      <c r="A8" s="25"/>
      <c r="B8" s="138" t="str">
        <f>IF(Lang="Français","Nom",IF(Lang="English","Name",""))</f>
        <v>Nom</v>
      </c>
      <c r="C8" s="594" t="s">
        <v>572</v>
      </c>
      <c r="D8" s="594"/>
      <c r="E8" s="90"/>
      <c r="K8" s="33"/>
      <c r="L8" s="139" t="str">
        <f>IF(Lang="Français","Diamètre     'D2'",IF(Lang="English","Diameter 'D2'",""))</f>
        <v>Diamètre     'D2'</v>
      </c>
      <c r="M8" s="564">
        <v>104</v>
      </c>
      <c r="N8" s="565"/>
      <c r="O8" s="550">
        <v>84</v>
      </c>
      <c r="P8" s="550"/>
      <c r="Q8" s="29"/>
    </row>
    <row r="9" spans="1:20" ht="12.75" customHeight="1" x14ac:dyDescent="0.2">
      <c r="A9" s="25"/>
      <c r="B9" s="138" t="s">
        <v>4</v>
      </c>
      <c r="C9" s="595" t="s">
        <v>569</v>
      </c>
      <c r="D9" s="595"/>
      <c r="E9" s="90"/>
      <c r="K9" s="33"/>
      <c r="L9" s="139" t="str">
        <f>IF(Lang="Français","Implantation 'x'",IF(Lang="English","Basement 'x'",""))</f>
        <v>Implantation 'x'</v>
      </c>
      <c r="M9" s="564">
        <v>942</v>
      </c>
      <c r="N9" s="565"/>
      <c r="O9" s="550">
        <v>2002</v>
      </c>
      <c r="P9" s="550"/>
      <c r="Q9" s="29"/>
    </row>
    <row r="10" spans="1:20" ht="12.75" customHeight="1" x14ac:dyDescent="0.2">
      <c r="A10" s="25"/>
      <c r="B10" s="138" t="s">
        <v>563</v>
      </c>
      <c r="C10" s="537" t="str">
        <f>IF((LEFT(Type_fusee,4)="Mini"),"MF",(IF((RIGHT(Type_fusee,1)="."),"FX","")))</f>
        <v>FX</v>
      </c>
      <c r="D10" s="538">
        <v>0</v>
      </c>
      <c r="E10" s="539" t="str">
        <f>IF(C10="","",C10&amp;D10)</f>
        <v>FX0</v>
      </c>
      <c r="K10" s="33"/>
      <c r="Q10" s="29"/>
    </row>
    <row r="11" spans="1:20" ht="12.75" customHeight="1" x14ac:dyDescent="0.2">
      <c r="A11" s="25"/>
      <c r="B11" s="139" t="s">
        <v>54</v>
      </c>
      <c r="C11" s="573" t="s">
        <v>568</v>
      </c>
      <c r="D11" s="574"/>
      <c r="E11" s="90"/>
      <c r="K11" s="33"/>
      <c r="L11" s="107"/>
      <c r="M11" s="224" t="str">
        <f>IF(Lang="Français","Propu plein",IF(Lang="English","Loaded Motor",""))</f>
        <v>Propu plein</v>
      </c>
      <c r="N11" s="556" t="str">
        <f>IF(Lang="Français","Propu vide",IF(Lang="English","Empty Motor",""))</f>
        <v>Propu vide</v>
      </c>
      <c r="O11" s="557"/>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7486</v>
      </c>
      <c r="D12" s="34" t="s">
        <v>423</v>
      </c>
      <c r="L12" s="108" t="str">
        <f>IF(Lang="Français","Masse propu",IF(Lang="English","Motor Mass",""))</f>
        <v>Masse propu</v>
      </c>
      <c r="M12" s="109">
        <f ca="1">MpropuPlein</f>
        <v>1.6850000000000001</v>
      </c>
      <c r="N12" s="548">
        <f ca="1">MpropuVide</f>
        <v>0.65200000000000002</v>
      </c>
      <c r="O12" s="549"/>
      <c r="P12" s="110" t="s">
        <v>14</v>
      </c>
      <c r="Q12" s="29"/>
      <c r="S12" s="386" t="str">
        <f>IF(Lang="Français","Haut",IF(Lang="English","Top",""))</f>
        <v>Haut</v>
      </c>
      <c r="T12" s="387">
        <f ca="1">XpropuRef-Long_propu</f>
        <v>1564</v>
      </c>
    </row>
    <row r="13" spans="1:20" ht="12.75" customHeight="1" x14ac:dyDescent="0.2">
      <c r="A13" s="25"/>
      <c r="B13" s="139" t="str">
        <f>IF(Lang="Français","Centre de Masse",IF(Lang="English","Center of Mass",""))</f>
        <v>Centre de Masse</v>
      </c>
      <c r="C13" s="35">
        <v>1030</v>
      </c>
      <c r="D13" s="34" t="s">
        <v>423</v>
      </c>
      <c r="L13" s="108" t="str">
        <f>IF(Lang="Français","CdM propu",IF(Lang="English","Motor CoM",""))</f>
        <v>CdM propu</v>
      </c>
      <c r="M13" s="111">
        <f ca="1">XpropuPlein</f>
        <v>250</v>
      </c>
      <c r="N13" s="546">
        <f ca="1">XpropuVide</f>
        <v>240</v>
      </c>
      <c r="O13" s="547"/>
      <c r="P13" s="110" t="s">
        <v>14</v>
      </c>
      <c r="Q13" s="29"/>
      <c r="S13" s="386" t="str">
        <f>IF(Lang="Français","Longueur",IF(Lang="English","Length",""))</f>
        <v>Longueur</v>
      </c>
      <c r="T13" s="387">
        <f ca="1">Long_propu</f>
        <v>488</v>
      </c>
    </row>
    <row r="14" spans="1:20" ht="12.6" customHeight="1" x14ac:dyDescent="0.2">
      <c r="A14" s="25"/>
      <c r="B14" s="139" t="str">
        <f>IF(Lang="Français","Longueur totale",IF(Lang="English","Total length",""))</f>
        <v>Longueur totale</v>
      </c>
      <c r="C14" s="564">
        <v>2052</v>
      </c>
      <c r="D14" s="565"/>
      <c r="L14" s="108" t="str">
        <f>IF(Lang="Français","Masse fusée",IF(Lang="English","Rocket Mass",""))</f>
        <v>Masse fusée</v>
      </c>
      <c r="M14" s="112">
        <f ca="1">MasseSans+MpropuPlein</f>
        <v>9.1709999999999994</v>
      </c>
      <c r="N14" s="577">
        <f ca="1">MasseSans+MpropuVide</f>
        <v>8.1379999999999999</v>
      </c>
      <c r="O14" s="578"/>
      <c r="P14" s="109">
        <f>IF(OR(D12="sans propu",D12="without motor"),C12/1000,IF(OR(D12="avec propu vide",D12="with empty motor"),C12/1000-MpropuVide,IF(OR(D12="avec propu plein",D12="with loaded motor"),C12/1000-MpropuPlein,"Erreur")))</f>
        <v>7.4859999999999998</v>
      </c>
      <c r="Q14" s="29"/>
      <c r="S14" s="386" t="str">
        <f>IF(Lang="Français","Bas",IF(Lang="English","Base",""))</f>
        <v>Bas</v>
      </c>
      <c r="T14" s="387">
        <f>XpropuRef</f>
        <v>2052</v>
      </c>
    </row>
    <row r="15" spans="1:20" ht="12.75" customHeight="1" x14ac:dyDescent="0.2">
      <c r="A15" s="25"/>
      <c r="B15" s="139" t="str">
        <f>IF(Lang="Français","Diamètre Réf.",IF(Lang="English","Ref. Diameter",""))</f>
        <v>Diamètre Réf.</v>
      </c>
      <c r="C15" s="564">
        <f>((3/4)*104+(1/4)*84)</f>
        <v>99</v>
      </c>
      <c r="D15" s="565"/>
      <c r="L15" s="175" t="str">
        <f>IF(Lang="Français","CdM fusée",IF(Lang="English","Rocket CoM",""))</f>
        <v>CdM fusée</v>
      </c>
      <c r="M15" s="176">
        <f ca="1">(XcgSans*MasseSans+(XpropuRef-Long_propu+XpropuPlein)*MpropuPlein)/MassePlein</f>
        <v>1174.0453603750955</v>
      </c>
      <c r="N15" s="579">
        <f ca="1">(XcgSans*MasseSans+(XpropuRef-Long_propu+XpropuVide)*MpropuVide)/MasseVide</f>
        <v>1092.0113049889408</v>
      </c>
      <c r="O15" s="580"/>
      <c r="P15" s="113">
        <f>IF(OR(D13="sans propu",D13="without motor"),C13,IF(OR(D13="avec propu vide",D13="with empty motor"),(C13*MasseVide-(XpropuRef-Long_propu+XpropuVide)*MpropuVide)/MasseSans,IF(OR(D13="avec propu plein",D13="with loaded motor"),(C13*MassePlein-(XpropuRef-Long_propu+XpropuPlein)*MpropuPlein)/MasseSans,"Erreur")))</f>
        <v>1030</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85" t="str">
        <f>IF(Lang="Français","Propulseur",IF(Lang="English","Motor",""))</f>
        <v>Propulseur</v>
      </c>
      <c r="D17" s="586"/>
      <c r="L17" s="114"/>
      <c r="M17" s="581" t="s">
        <v>55</v>
      </c>
      <c r="N17" s="582"/>
      <c r="O17" s="559" t="s">
        <v>65</v>
      </c>
      <c r="P17" s="559"/>
      <c r="Q17" s="29"/>
      <c r="S17" s="386" t="str">
        <f>IF(Lang="Français","Haut","Top")</f>
        <v>Haut</v>
      </c>
      <c r="T17" s="387">
        <f>X_ail-m_ail</f>
        <v>1782</v>
      </c>
    </row>
    <row r="18" spans="1:22" ht="12.75" customHeight="1" thickTop="1" x14ac:dyDescent="0.2">
      <c r="A18" s="25"/>
      <c r="B18" s="139" t="s">
        <v>54</v>
      </c>
      <c r="C18" s="587" t="s">
        <v>549</v>
      </c>
      <c r="D18" s="588"/>
      <c r="K18" s="37"/>
      <c r="L18" s="108" t="str">
        <f>IF(Lang="Français","Coiffe",IF(Lang="English","Nose Cone",""))</f>
        <v>Coiffe</v>
      </c>
      <c r="M18" s="553">
        <f>IF(LEFT(Forme_ogive,5)="Parab",1/2*Long_ogive,IF(LEFT(Forme_ogive,4)="Ogiv",7/15*Long_ogive,IF(LEFT(Forme_ogive,3)="Con",2/3*Long_ogive)))</f>
        <v>168</v>
      </c>
      <c r="N18" s="554"/>
      <c r="O18" s="560">
        <f>2*POWER(D_og/D_ref, 2)</f>
        <v>1.4398530762167128</v>
      </c>
      <c r="P18" s="560"/>
      <c r="Q18" s="29"/>
      <c r="S18" s="386" t="str">
        <f>IF(Lang="Français","Emplanture","Root edge")</f>
        <v>Emplanture</v>
      </c>
      <c r="T18" s="387">
        <f>m_ail</f>
        <v>190</v>
      </c>
    </row>
    <row r="19" spans="1:22" ht="12.75" customHeight="1" x14ac:dyDescent="0.2">
      <c r="A19" s="25"/>
      <c r="B19" s="139" t="str">
        <f>IF(Lang="Français","Position du bas",IF(Lang="English","Basement",""))</f>
        <v>Position du bas</v>
      </c>
      <c r="C19" s="550">
        <v>2052</v>
      </c>
      <c r="D19" s="550"/>
      <c r="L19" s="108" t="str">
        <f>IF(Lang="Français","Ailerons",IF(Lang="English","Fins",""))</f>
        <v>Ailerons</v>
      </c>
      <c r="M19" s="553">
        <f>(XCpa*Cnail-0.5*XCpi*Cni)/Cnai</f>
        <v>1902.9040247264793</v>
      </c>
      <c r="N19" s="554"/>
      <c r="O19" s="589">
        <f>Cnail-Cni/2</f>
        <v>11.362966962910459</v>
      </c>
      <c r="P19" s="590"/>
      <c r="Q19" s="29"/>
      <c r="S19" s="386" t="str">
        <f>IF(Lang="Français","Bas","Base")</f>
        <v>Bas</v>
      </c>
      <c r="T19" s="387">
        <f>X_ail</f>
        <v>1972</v>
      </c>
    </row>
    <row r="20" spans="1:22" ht="12.75" customHeight="1" thickBot="1" x14ac:dyDescent="0.25">
      <c r="A20" s="25"/>
      <c r="B20" s="428" t="str">
        <f>IF(Propu="Cariacou","Cariacou :"," ")</f>
        <v xml:space="preserve"> </v>
      </c>
      <c r="C20" s="563" t="str">
        <f>IF(Propu="Pandora (Pro24-6G)",IF(Lang="Français","C'Space Seulement",IF(Lang="English","C'Space only","")),"")</f>
        <v/>
      </c>
      <c r="D20" s="563"/>
      <c r="L20" s="108" t="str">
        <f>IF(Lang="Français","Ail bas entier",IF(Lang="English","Total Lower Fins",""))</f>
        <v>Ail bas entier</v>
      </c>
      <c r="M20" s="553">
        <f>X_ail-m_ail+p_ail*(m_ail+2*n_ail)/(3*(m_ail+n_ail))+(m_ail+n_ail-m_ail*n_ail/(m_ail+n_ail))/6</f>
        <v>1895.3950617283951</v>
      </c>
      <c r="N20" s="554"/>
      <c r="O20" s="560">
        <f>4*Q_ail*POWER((E_ail/D_ref),2)*(1+D_ail/(2*E_ail+D_ail))/(1+SQRT(1+POWER(2*f_ail/(m_ail+n_ail),2)))</f>
        <v>15.86087415886348</v>
      </c>
      <c r="P20" s="560"/>
      <c r="Q20" s="29"/>
    </row>
    <row r="21" spans="1:22" ht="12.75" customHeight="1" thickTop="1" thickBot="1" x14ac:dyDescent="0.25">
      <c r="A21" s="25"/>
      <c r="B21" s="30"/>
      <c r="C21" s="591" t="str">
        <f>IF(Lang="Français","Coiffe",IF(Lang="English","Nose Cone",""))</f>
        <v>Coiffe</v>
      </c>
      <c r="D21" s="592"/>
      <c r="L21" s="108" t="str">
        <f>IF(Lang="Français","Ailerons haut",IF(Lang="English","Upper Fins",""))</f>
        <v>Ailerons haut</v>
      </c>
      <c r="M21" s="553">
        <f>IF(LEFT(Type_masquage,1)="M",0, X_can-m_can+p_can*(m_can+2*n_can)/(3*(m_can+n_can))+(m_can+n_can-m_can*n_can/(m_can+n_can))/6)</f>
        <v>857.4</v>
      </c>
      <c r="N21" s="554"/>
      <c r="O21" s="560">
        <f>IF(LEFT(Type_masquage,1)="M",0, 4*Q_can*POWER((E_can/D_ref),2)*(1+D_can/(2*E_can+D_can))/(1+SQRT(1+POWER(2*f_can/(m_can+n_can),2))))</f>
        <v>9.7925567175680541</v>
      </c>
      <c r="P21" s="560"/>
      <c r="Q21" s="29"/>
    </row>
    <row r="22" spans="1:22" ht="12.75" customHeight="1" thickTop="1" x14ac:dyDescent="0.2">
      <c r="A22" s="25"/>
      <c r="B22" s="139" t="str">
        <f>IF(Lang="Français","Forme",IF(Lang="English","Shape",""))</f>
        <v>Forme</v>
      </c>
      <c r="C22" s="566" t="s">
        <v>570</v>
      </c>
      <c r="D22" s="567"/>
      <c r="L22" s="108" t="str">
        <f>IF(Lang="Français","Partie masquée",IF(Lang="English","Interation zone",""))</f>
        <v>Partie masquée</v>
      </c>
      <c r="M22" s="570">
        <f>IF(LEFT(Type_masquage,1)="B", X_int-m_int+p_int*(m_int+2*n_int)/(3*(m_int+n_int))+(m_int+n_int-m_int*n_int/(m_int+n_int))/6, 0 )</f>
        <v>1876.4253287490849</v>
      </c>
      <c r="N22" s="570"/>
      <c r="O22" s="589">
        <f>IF(LEFT(Type_masquage,1)="B", 4*Q_int*POWER((E_int/D_ref),2)*(1+D_int/(2*E_int+D_int))/(1+SQRT(1+POWER(2*f_int/(m_int+n_int),2))), 0 )</f>
        <v>8.9958143919060412</v>
      </c>
      <c r="P22" s="590"/>
      <c r="Q22" s="29"/>
    </row>
    <row r="23" spans="1:22" ht="12.75" customHeight="1" x14ac:dyDescent="0.2">
      <c r="A23" s="25"/>
      <c r="B23" s="139" t="str">
        <f>IF(Lang="Français","Hauteur",IF(Lang="English","Heigth",""))</f>
        <v>Hauteur</v>
      </c>
      <c r="C23" s="564">
        <v>252</v>
      </c>
      <c r="D23" s="565"/>
      <c r="L23" s="108" t="s">
        <v>156</v>
      </c>
      <c r="M23" s="553">
        <f>IF(OR(RIGHT(Nb_diam,1)=",",D2j=0),0, X_j+l_j/3*(1+1/(1+D1j/D2j)) )</f>
        <v>973.063829787234</v>
      </c>
      <c r="N23" s="554"/>
      <c r="O23" s="560">
        <f>IF(OR(RIGHT(Nb_diam,1)=",",D2j=0),0,2*(POWER(D2j/D_ref,2)-POWER(D1j/D_ref,2)))</f>
        <v>0.76726864605652523</v>
      </c>
      <c r="P23" s="560"/>
      <c r="Q23" s="29"/>
    </row>
    <row r="24" spans="1:22" ht="12.75" customHeight="1" thickBot="1" x14ac:dyDescent="0.25">
      <c r="A24" s="25"/>
      <c r="B24" s="139" t="str">
        <f>IF(Lang="Français","Diamètre",IF(Lang="English","Diameter",""))</f>
        <v>Diamètre</v>
      </c>
      <c r="C24" s="564">
        <v>84</v>
      </c>
      <c r="D24" s="565"/>
      <c r="L24" s="108" t="s">
        <v>157</v>
      </c>
      <c r="M24" s="553">
        <f>IF( OR(RIGHT(Nb_diam,1)=",",D2r=0), 0, X_r+l_r/3*(1+1/(1+D1r/D2r)) )</f>
        <v>2026.113475177305</v>
      </c>
      <c r="N24" s="554"/>
      <c r="O24" s="560">
        <f>IF( OR(RIGHT(Nb_diam,1)=",",D2r=0), 0, 2*(POWER(D2r/D_ref,2)-POWER(D1r/D_ref,2)) )</f>
        <v>-0.76726864605652523</v>
      </c>
      <c r="P24" s="560"/>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 bas</v>
      </c>
      <c r="D26" s="179" t="str">
        <f>IF(Lang="Français","Ailerons haut",IF(Lang="English","Upper Fins",""))</f>
        <v>Ailerons haut</v>
      </c>
      <c r="F26" s="39">
        <f ca="1">TODAY()</f>
        <v>45991</v>
      </c>
      <c r="G26" s="137" t="s">
        <v>62</v>
      </c>
      <c r="H26" s="584" t="str">
        <f>IF(Lang="Français","Résultats",IF(Lang="English","Results",""))</f>
        <v>Résultats</v>
      </c>
      <c r="I26" s="584"/>
      <c r="J26" s="137" t="s">
        <v>63</v>
      </c>
      <c r="K26" s="32"/>
      <c r="L26" s="38"/>
      <c r="M26" s="38"/>
      <c r="N26" s="38"/>
      <c r="Q26" s="29"/>
      <c r="R26" s="38"/>
      <c r="S26" s="388" t="str">
        <f ca="1">IF(AND(Vsortie_de_rampe&lt;18, OR(LEFT(Type_fusee,1)=",",LEFT(Type_fusee,4)="Mini",LEFT(Type_fusee,1)="R")),IF(Lang="Français","Fusée trop lourde ou rampe trop courte !","Rocket too heavy or launch pad too small!"),"")</f>
        <v/>
      </c>
    </row>
    <row r="27" spans="1:22" ht="12.75" customHeight="1" thickTop="1" x14ac:dyDescent="0.2">
      <c r="A27" s="25"/>
      <c r="B27" s="30"/>
      <c r="C27" s="561" t="s">
        <v>425</v>
      </c>
      <c r="D27" s="562"/>
      <c r="E27" s="146">
        <f>m_ail</f>
        <v>190</v>
      </c>
      <c r="F27" s="105" t="s">
        <v>64</v>
      </c>
      <c r="G27" s="104">
        <f>IF(RIGHT(Type_fusee,1)=".",10, IF(OR(LEFT(Type_fusee,1)="R",LEFT(Type_fusee,1)=",",LEFT(Type_fusee,4)="Mini"),10, IF(LEFT(Type_fusee,5)="Micro",10, IF(RIGHT(Type_fusee,1)=" ",1))))</f>
        <v>10</v>
      </c>
      <c r="H27" s="551">
        <f>Long_tot/D_ref</f>
        <v>20.727272727272727</v>
      </c>
      <c r="I27" s="552"/>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190</v>
      </c>
      <c r="D28" s="177">
        <v>170</v>
      </c>
      <c r="E28" s="146">
        <f>n_ail+(m_ail-n_ail)*(1-E_int/E_ail)</f>
        <v>116.41379310344828</v>
      </c>
      <c r="F28" s="105" t="str">
        <f>IF(Lang="Français","Portance","Lift")</f>
        <v>Portance</v>
      </c>
      <c r="G28" s="104">
        <f>IF(RIGHT(Type_fusee,1)=".",15,IF(OR(LEFT(Type_fusee,1)="R",LEFT(Type_fusee,1)=",",LEFT(Type_fusee,4)="Mini"),15, IF(LEFT(Type_fusee,5)="Micro",15, IF(RIGHT(Type_fusee,1)=" ",15))))</f>
        <v>15</v>
      </c>
      <c r="H28" s="508">
        <f>Cnai+Cnc+Cno+Cnj+Cnr</f>
        <v>22.595376756695227</v>
      </c>
      <c r="I28" s="508">
        <f>Cnail+Cnc+Cno+Cnj+Cnr</f>
        <v>27.09328395264825</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120.41379310344827</v>
      </c>
      <c r="F29" s="515" t="str">
        <f>IF(Lang="Français","MargeStat.","StatMargin")</f>
        <v>MargeStat.</v>
      </c>
      <c r="G29" s="510">
        <f>IF(RIGHT(Type_fusee,1)=".",2, IF(OR(LEFT(Type_fusee,1)="R",LEFT(Type_fusee,1)=",",LEFT(Type_fusee,4)="Mini"),1.5, IF(LEFT(Type_fusee,5)="Micro",1, IF(RIGHT(Type_fusee,1)=" ",1))))</f>
        <v>2</v>
      </c>
      <c r="H29" s="97">
        <f ca="1">(XCp-XcgPlein)/D_ref</f>
        <v>1.3074542833093958</v>
      </c>
      <c r="I29" s="98">
        <f ca="1">(XCp0-XcgVide)/D_ref</f>
        <v>3.0968618767252276</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Abaisser les ailerons ou rehausser le CdM !</v>
      </c>
      <c r="U29" s="24" t="s">
        <v>573</v>
      </c>
    </row>
    <row r="30" spans="1:22" ht="12.75" customHeight="1" x14ac:dyDescent="0.2">
      <c r="A30" s="25"/>
      <c r="B30" s="524" t="str">
        <f>IF(Lang="Français"," Flèche          'p'"," Offset         'p'")</f>
        <v xml:space="preserve"> Flèche          'p'</v>
      </c>
      <c r="C30" s="35">
        <v>180</v>
      </c>
      <c r="D30" s="35">
        <v>120</v>
      </c>
      <c r="E30" s="146">
        <f>IF(D_can/2+E_can&lt;=D_ail/2,0, IF(D_can/2+E_can&gt;=D_ail/2+E_ail,E_ail,  D_can/2+E_can - D_ail/2  ) )</f>
        <v>97</v>
      </c>
      <c r="F30" s="516" t="str">
        <f>IF(Lang="Français","Couple","Torque")</f>
        <v>Couple</v>
      </c>
      <c r="G30" s="511">
        <f>IF(RIGHT(Type_fusee,1)=".",40, IF(OR(LEFT(Type_fusee,1)="R",LEFT(Type_fusee,1)=",",LEFT(Type_fusee,4)="Mini"),30, IF(LEFT(Type_fusee,5)="Micro",15, IF(RIGHT(Type_fusee,1)=" ",15))))</f>
        <v>40</v>
      </c>
      <c r="H30" s="99">
        <f ca="1">MS_min*Cn</f>
        <v>29.542422123530738</v>
      </c>
      <c r="I30" s="96">
        <f ca="1">MS_max*Cn0</f>
        <v>83.904158188247749</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Ailerons trop petits ou trop haut /CdM !</v>
      </c>
      <c r="U30" s="24" t="s">
        <v>574</v>
      </c>
      <c r="V30" s="24" t="s">
        <v>575</v>
      </c>
    </row>
    <row r="31" spans="1:22" ht="12.75" customHeight="1" x14ac:dyDescent="0.2">
      <c r="A31" s="25"/>
      <c r="B31" s="524" t="str">
        <f>IF(Lang="Français"," Envergure     'E'",IF(Lang="English"," Span          'E'",""))</f>
        <v xml:space="preserve"> Envergure     'E'</v>
      </c>
      <c r="C31" s="35">
        <v>145</v>
      </c>
      <c r="D31" s="35">
        <v>107</v>
      </c>
      <c r="E31" s="146">
        <f>ep_ail</f>
        <v>3</v>
      </c>
      <c r="F31" s="106" t="s">
        <v>55</v>
      </c>
      <c r="G31" s="103"/>
      <c r="H31" s="509">
        <f>(Cnai*XCpai+Cnc*XCpc+Cnj*XCpj+Cnr*XCpr+Cno*XCpo)/(Cnai+Cnc+Cnr+Cnj+Cno)</f>
        <v>1303.4833344227256</v>
      </c>
      <c r="I31" s="509">
        <f>(Cnail*XCpa+Cnc*XCpc+Cnj*XCpj+Cnr*XCpr+Cno*XCpo)/(Cnail+Cnc+Cnr+Cnj+Cno)</f>
        <v>1398.6006307847383</v>
      </c>
      <c r="J31" s="102"/>
      <c r="K31" s="32"/>
      <c r="Q31" s="29"/>
      <c r="R31" s="38"/>
      <c r="S31" s="388"/>
      <c r="U31" s="24">
        <v>2.1800000000000002</v>
      </c>
      <c r="V31" s="24">
        <v>24.960999999999999</v>
      </c>
    </row>
    <row r="32" spans="1:22" ht="12.75" customHeight="1" x14ac:dyDescent="0.2">
      <c r="A32" s="25"/>
      <c r="B32" s="525" t="str">
        <f>IF(Lang="Français"," Epaisseur     'ep'",IF(Lang="English"," Thickness  'ep'",""))</f>
        <v xml:space="preserve"> Epaisseur     'ep'</v>
      </c>
      <c r="C32" s="35">
        <v>3</v>
      </c>
      <c r="D32" s="35">
        <v>3</v>
      </c>
      <c r="E32" s="146">
        <f>IF(Q_ail=Q_can,Q_ail,FALSE)</f>
        <v>4</v>
      </c>
      <c r="F32" s="106" t="s">
        <v>66</v>
      </c>
      <c r="G32" s="103"/>
      <c r="H32" s="100">
        <f ca="1">(XCp-XcgPlein)/Long_tot*100</f>
        <v>6.3078934721067332</v>
      </c>
      <c r="I32" s="101">
        <f ca="1">(XCp-XcgVide)/Long_tot*100</f>
        <v>10.30565445583747</v>
      </c>
      <c r="J32" s="102"/>
      <c r="K32" s="32"/>
      <c r="Q32" s="29"/>
      <c r="R32" s="38"/>
      <c r="U32" s="24">
        <v>2.95</v>
      </c>
      <c r="V32" s="24">
        <v>24.960999999999999</v>
      </c>
    </row>
    <row r="33" spans="1:23" ht="12.75" customHeight="1" x14ac:dyDescent="0.2">
      <c r="A33" s="25"/>
      <c r="B33" s="524" t="str">
        <f>IF(Lang="Français"," Nombre            ",IF(Lang="English"," Number of fins",""))</f>
        <v xml:space="preserve"> Nombre            </v>
      </c>
      <c r="C33" s="36">
        <v>4</v>
      </c>
      <c r="D33" s="36">
        <v>4</v>
      </c>
      <c r="E33" s="146">
        <f>X_ail</f>
        <v>1972</v>
      </c>
      <c r="G33" s="24"/>
      <c r="H33" s="540" t="str">
        <f ca="1">IF(AND(CritCnmin&lt;Cn,Cn0&lt;CritCnmax,CritMsmin&lt;MS_min,MS_max&lt;CritMsmax,CritMsCnmin&lt;MS_Cn_min,MS_Cn_max&lt;CritMsCnmax),"STABLE",IF(OR(Cn&lt;CritCnmin,MS_min&lt;CritMsmin,MS_Cn_min&lt;CritMsCnmin),"INSTABLE",IF(Lang="Français","SURSTABLE","OVERSTABLE")))</f>
        <v>INSTABLE</v>
      </c>
      <c r="I33" s="541"/>
      <c r="J33" s="31"/>
      <c r="K33" s="32"/>
      <c r="Q33" s="29"/>
      <c r="R33" s="38"/>
    </row>
    <row r="34" spans="1:23" ht="12.75" customHeight="1" x14ac:dyDescent="0.2">
      <c r="A34" s="25"/>
      <c r="B34" s="524" t="str">
        <f>IF(Lang="Français"," Position du bas",IF(Lang="English"," Basement",""))</f>
        <v xml:space="preserve"> Position du bas</v>
      </c>
      <c r="C34" s="35">
        <v>1972</v>
      </c>
      <c r="D34" s="35">
        <v>942</v>
      </c>
      <c r="E34" s="146">
        <f>D_ail</f>
        <v>104</v>
      </c>
      <c r="G34" s="24"/>
      <c r="H34" s="542"/>
      <c r="I34" s="543"/>
      <c r="K34" s="32"/>
      <c r="Q34" s="29"/>
      <c r="R34" s="38"/>
    </row>
    <row r="35" spans="1:23" ht="12.75" customHeight="1" x14ac:dyDescent="0.2">
      <c r="A35" s="25"/>
      <c r="B35" s="524" t="str">
        <f>IF(Lang="Français"," Diamètre         ",IF(Lang="English"," Diameter at Fins",""))</f>
        <v xml:space="preserve"> Diamètre         </v>
      </c>
      <c r="C35" s="35">
        <v>104</v>
      </c>
      <c r="D35" s="35">
        <v>84</v>
      </c>
      <c r="E35" s="146">
        <f>SQRT(POWER(p_int+n_int/2-m_int/2,2)+POWER(E_int,2))</f>
        <v>128.06802777589206</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191.44189719076647</v>
      </c>
      <c r="D36" s="145">
        <f>SQRT(POWER(p_can+n_can/2-m_can/2,2)+POWER(E_can,2))</f>
        <v>130.66751700403586</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-942</v>
      </c>
      <c r="D126" s="46">
        <f>IF(AND(RIGHT(Nb_diam,1)=".",X_j), D1j/2, D125 )</f>
        <v>42</v>
      </c>
      <c r="E126" s="93">
        <f t="shared" si="0"/>
        <v>-42</v>
      </c>
      <c r="K126" s="46"/>
    </row>
    <row r="127" spans="2:18" x14ac:dyDescent="0.2">
      <c r="B127" s="45" t="s">
        <v>74</v>
      </c>
      <c r="C127" s="46">
        <f>IF(AND(RIGHT(Nb_diam,1)=".",X_j), -X_j-l_j, C126 )</f>
        <v>-1002</v>
      </c>
      <c r="D127" s="46">
        <f>IF(AND(RIGHT(Nb_diam,1)=".",X_j), D2j/2, D126 )</f>
        <v>52</v>
      </c>
      <c r="E127" s="93">
        <f t="shared" si="0"/>
        <v>-52</v>
      </c>
      <c r="K127" s="46"/>
    </row>
    <row r="128" spans="2:18" x14ac:dyDescent="0.2">
      <c r="B128" s="45" t="s">
        <v>75</v>
      </c>
      <c r="C128" s="46">
        <f>IF(AND(RIGHT(Nb_diam,1)=".",X_r), -X_r, C127 )</f>
        <v>-2002</v>
      </c>
      <c r="D128" s="46">
        <f>IF(AND(RIGHT(Nb_diam,1)=".",X_r), D1r/2, D127 )</f>
        <v>52</v>
      </c>
      <c r="E128" s="93">
        <f t="shared" si="0"/>
        <v>-52</v>
      </c>
      <c r="K128" s="46"/>
    </row>
    <row r="129" spans="2:11" x14ac:dyDescent="0.2">
      <c r="B129" s="45" t="s">
        <v>76</v>
      </c>
      <c r="C129" s="46">
        <f>IF(AND(RIGHT(Nb_diam,1)=".",X_r), -X_r-l_r, C128 )</f>
        <v>-2052</v>
      </c>
      <c r="D129" s="46">
        <f>IF(AND(RIGHT(Nb_diam,1)=".",X_r), D2r/2, D128 )</f>
        <v>42</v>
      </c>
      <c r="E129" s="93">
        <f t="shared" si="0"/>
        <v>-42</v>
      </c>
      <c r="K129" s="46"/>
    </row>
    <row r="130" spans="2:11" x14ac:dyDescent="0.2">
      <c r="B130" s="45" t="s">
        <v>77</v>
      </c>
      <c r="C130" s="46">
        <f>-Long_tot</f>
        <v>-2052</v>
      </c>
      <c r="D130" s="46">
        <f>D129</f>
        <v>42</v>
      </c>
      <c r="E130" s="93">
        <f t="shared" si="0"/>
        <v>-42</v>
      </c>
      <c r="K130" s="46"/>
    </row>
    <row r="131" spans="2:11" x14ac:dyDescent="0.2">
      <c r="B131" s="45" t="s">
        <v>77</v>
      </c>
      <c r="C131" s="46">
        <f>-Long_tot</f>
        <v>-2052</v>
      </c>
      <c r="D131" s="46">
        <v>0</v>
      </c>
      <c r="E131" s="93">
        <f t="shared" si="0"/>
        <v>0</v>
      </c>
      <c r="K131" s="46"/>
    </row>
    <row r="132" spans="2:11" x14ac:dyDescent="0.2">
      <c r="B132" s="183" t="s">
        <v>78</v>
      </c>
      <c r="C132" s="197">
        <f>-X_ail+m_ail</f>
        <v>-1782</v>
      </c>
      <c r="D132" s="197">
        <f>D_ail/2</f>
        <v>52</v>
      </c>
      <c r="E132" s="198">
        <f t="shared" si="0"/>
        <v>-52</v>
      </c>
      <c r="K132" s="46"/>
    </row>
    <row r="133" spans="2:11" x14ac:dyDescent="0.2">
      <c r="B133" s="185" t="s">
        <v>79</v>
      </c>
      <c r="C133" s="46">
        <f>-X_ail+m_ail-p_ail</f>
        <v>-1962</v>
      </c>
      <c r="D133" s="46">
        <f>D_ail/2+E_ail</f>
        <v>197</v>
      </c>
      <c r="E133" s="199">
        <f t="shared" si="0"/>
        <v>-197</v>
      </c>
      <c r="K133" s="46"/>
    </row>
    <row r="134" spans="2:11" x14ac:dyDescent="0.2">
      <c r="B134" s="185" t="s">
        <v>80</v>
      </c>
      <c r="C134" s="46">
        <f>-X_ail+m_ail-p_ail-n_ail</f>
        <v>-2042</v>
      </c>
      <c r="D134" s="46">
        <f>D_ail/2+E_ail</f>
        <v>197</v>
      </c>
      <c r="E134" s="199">
        <f t="shared" si="0"/>
        <v>-197</v>
      </c>
      <c r="K134" s="46"/>
    </row>
    <row r="135" spans="2:11" x14ac:dyDescent="0.2">
      <c r="B135" s="185" t="s">
        <v>81</v>
      </c>
      <c r="C135" s="46">
        <f>-X_ail</f>
        <v>-1972</v>
      </c>
      <c r="D135" s="46">
        <f>D_ail/2</f>
        <v>52</v>
      </c>
      <c r="E135" s="199">
        <f t="shared" si="0"/>
        <v>-52</v>
      </c>
      <c r="K135" s="46"/>
    </row>
    <row r="136" spans="2:11" x14ac:dyDescent="0.2">
      <c r="B136" s="187" t="s">
        <v>78</v>
      </c>
      <c r="C136" s="200">
        <f>-X_ail+m_ail</f>
        <v>-1782</v>
      </c>
      <c r="D136" s="200">
        <f>D_ail/2</f>
        <v>52</v>
      </c>
      <c r="E136" s="201">
        <f t="shared" si="0"/>
        <v>-52</v>
      </c>
      <c r="K136" s="46"/>
    </row>
    <row r="137" spans="2:11" x14ac:dyDescent="0.2">
      <c r="B137" s="192" t="str">
        <f>IF(E_ail&gt;0,IF(Lang="Français","Envergure","Span"),"")</f>
        <v>Envergure</v>
      </c>
      <c r="C137" s="197">
        <f>MIN(-X_ail,-X_ail+m_ail-p_ail-n_ail)-Long_tot/30</f>
        <v>-2110.4</v>
      </c>
      <c r="D137" s="207">
        <f>-D_ail/2-E_ail</f>
        <v>-197</v>
      </c>
      <c r="E137" s="93"/>
      <c r="K137" s="46"/>
    </row>
    <row r="138" spans="2:11" x14ac:dyDescent="0.2">
      <c r="B138" s="195" t="s">
        <v>166</v>
      </c>
      <c r="C138" s="46">
        <f>MIN(-X_ail,-X_ail+m_ail-p_ail-n_ail)-Long_tot/30</f>
        <v>-2110.4</v>
      </c>
      <c r="D138" s="208">
        <f>-D_ail/2-E_ail/2</f>
        <v>-124.5</v>
      </c>
      <c r="E138" s="93"/>
      <c r="K138" s="46"/>
    </row>
    <row r="139" spans="2:11" x14ac:dyDescent="0.2">
      <c r="B139" s="212" t="s">
        <v>162</v>
      </c>
      <c r="C139" s="200">
        <f>MIN(-X_ail,-X_ail+m_ail-p_ail-n_ail)-Long_tot/30</f>
        <v>-2110.4</v>
      </c>
      <c r="D139" s="209">
        <f>-D_ail/2</f>
        <v>-52</v>
      </c>
      <c r="E139" s="93"/>
      <c r="K139" s="46"/>
    </row>
    <row r="140" spans="2:11" x14ac:dyDescent="0.2">
      <c r="B140" s="192" t="str">
        <f>IF(Lang="Français","Emplanture","Root edge")</f>
        <v>Emplanture</v>
      </c>
      <c r="C140" s="197">
        <f>-X_ail+m_ail</f>
        <v>-1782</v>
      </c>
      <c r="D140" s="207">
        <f>D_ail/2+E_ail+Long_tot/20</f>
        <v>299.60000000000002</v>
      </c>
      <c r="E140" s="93"/>
      <c r="K140" s="46"/>
    </row>
    <row r="141" spans="2:11" x14ac:dyDescent="0.2">
      <c r="B141" s="195" t="s">
        <v>168</v>
      </c>
      <c r="C141" s="46">
        <f>-X_ail+m_ail/2</f>
        <v>-1877</v>
      </c>
      <c r="D141" s="208">
        <f>D_ail/2+E_ail+Long_tot/20</f>
        <v>299.60000000000002</v>
      </c>
      <c r="E141" s="93"/>
      <c r="K141" s="46"/>
    </row>
    <row r="142" spans="2:11" x14ac:dyDescent="0.2">
      <c r="B142" s="212" t="s">
        <v>169</v>
      </c>
      <c r="C142" s="200">
        <f>-X_ail</f>
        <v>-1972</v>
      </c>
      <c r="D142" s="209">
        <f>D_ail/2+E_ail+Long_tot/20</f>
        <v>299.60000000000002</v>
      </c>
      <c r="E142" s="93"/>
      <c r="K142" s="46"/>
    </row>
    <row r="143" spans="2:11" x14ac:dyDescent="0.2">
      <c r="B143" s="192" t="str">
        <f>IF(p_ail&lt;&gt;0,IF(Lang="Français","Flèche","Offset"),"")</f>
        <v>Flèche</v>
      </c>
      <c r="C143" s="197">
        <f>-X_ail+m_ail</f>
        <v>-1782</v>
      </c>
      <c r="D143" s="207">
        <f>-D_ail/2-E_ail-Long_tot/30</f>
        <v>-265.39999999999998</v>
      </c>
      <c r="E143" s="93"/>
      <c r="K143" s="46"/>
    </row>
    <row r="144" spans="2:11" x14ac:dyDescent="0.2">
      <c r="B144" s="195" t="s">
        <v>165</v>
      </c>
      <c r="C144" s="46">
        <f>-X_ail+m_ail-p_ail/2</f>
        <v>-1872</v>
      </c>
      <c r="D144" s="208">
        <f>-D_ail/2-E_ail-Long_tot/30</f>
        <v>-265.39999999999998</v>
      </c>
      <c r="E144" s="93"/>
      <c r="K144" s="46"/>
    </row>
    <row r="145" spans="2:11" x14ac:dyDescent="0.2">
      <c r="B145" s="212" t="s">
        <v>163</v>
      </c>
      <c r="C145" s="200">
        <f>-X_ail+m_ail-p_ail</f>
        <v>-1962</v>
      </c>
      <c r="D145" s="209">
        <f>-D_ail/2-E_ail-Long_tot/30</f>
        <v>-265.39999999999998</v>
      </c>
      <c r="E145" s="93"/>
      <c r="K145" s="46"/>
    </row>
    <row r="146" spans="2:11" x14ac:dyDescent="0.2">
      <c r="B146" s="192" t="str">
        <f>IF(n_ail&gt;0,IF(Lang="Français","Saumon","Tip edge"),"")</f>
        <v>Saumon</v>
      </c>
      <c r="C146" s="197">
        <f>-X_ail+m_ail-p_ail</f>
        <v>-1962</v>
      </c>
      <c r="D146" s="207">
        <f>-D_ail/2-E_ail-Long_tot/20</f>
        <v>-299.60000000000002</v>
      </c>
      <c r="E146" s="93"/>
      <c r="K146" s="46"/>
    </row>
    <row r="147" spans="2:11" x14ac:dyDescent="0.2">
      <c r="B147" s="195" t="s">
        <v>167</v>
      </c>
      <c r="C147" s="46">
        <f>-X_ail+m_ail-p_ail-n_ail/2</f>
        <v>-2002</v>
      </c>
      <c r="D147" s="208">
        <f>-D_ail/2-E_ail-Long_tot/20</f>
        <v>-299.60000000000002</v>
      </c>
      <c r="E147" s="93"/>
      <c r="K147" s="46"/>
    </row>
    <row r="148" spans="2:11" x14ac:dyDescent="0.2">
      <c r="B148" s="212" t="s">
        <v>164</v>
      </c>
      <c r="C148" s="200">
        <f>-X_ail+m_ail-p_ail-n_ail</f>
        <v>-2042</v>
      </c>
      <c r="D148" s="209">
        <f>-D_ail/2-E_ail-Long_tot/20</f>
        <v>-299.60000000000002</v>
      </c>
      <c r="E148" s="93"/>
      <c r="K148" s="46"/>
    </row>
    <row r="149" spans="2:11" x14ac:dyDescent="0.2">
      <c r="B149" s="183" t="s">
        <v>82</v>
      </c>
      <c r="C149" s="197">
        <f ca="1">-XcgPlein</f>
        <v>-1174.0453603750955</v>
      </c>
      <c r="D149" s="207">
        <v>0</v>
      </c>
      <c r="E149" s="93"/>
      <c r="K149" s="46"/>
    </row>
    <row r="150" spans="2:11" x14ac:dyDescent="0.2">
      <c r="B150" s="187" t="s">
        <v>83</v>
      </c>
      <c r="C150" s="200">
        <f ca="1">-XcgVide</f>
        <v>-1092.0113049889408</v>
      </c>
      <c r="D150" s="209">
        <v>0</v>
      </c>
      <c r="E150" s="93"/>
      <c r="K150" s="46"/>
    </row>
    <row r="151" spans="2:11" x14ac:dyDescent="0.2">
      <c r="B151" s="183" t="s">
        <v>84</v>
      </c>
      <c r="C151" s="197">
        <f>-XCp</f>
        <v>-1303.4833344227256</v>
      </c>
      <c r="D151" s="207">
        <v>0</v>
      </c>
      <c r="E151" s="93"/>
      <c r="K151" s="46"/>
    </row>
    <row r="152" spans="2:11" x14ac:dyDescent="0.2">
      <c r="B152" s="187" t="s">
        <v>84</v>
      </c>
      <c r="C152" s="200">
        <f>-XCp</f>
        <v>-1303.4833344227256</v>
      </c>
      <c r="D152" s="209">
        <f>Cn*D_ref/CritCnmin</f>
        <v>149.12948659418851</v>
      </c>
      <c r="E152" s="93"/>
      <c r="K152" s="46"/>
    </row>
    <row r="153" spans="2:11" x14ac:dyDescent="0.2">
      <c r="B153" s="185" t="s">
        <v>422</v>
      </c>
      <c r="C153" s="46">
        <f>-XCp0</f>
        <v>-1398.6006307847383</v>
      </c>
      <c r="D153" s="208">
        <f>Cn0*D_ref/CritCnmin</f>
        <v>178.81567408747844</v>
      </c>
      <c r="E153" s="93"/>
      <c r="K153" s="46"/>
    </row>
    <row r="154" spans="2:11" x14ac:dyDescent="0.2">
      <c r="B154" s="185" t="s">
        <v>422</v>
      </c>
      <c r="C154" s="46">
        <f>-XCp0</f>
        <v>-1398.6006307847383</v>
      </c>
      <c r="D154" s="208">
        <v>0</v>
      </c>
      <c r="E154" s="93"/>
      <c r="K154" s="46"/>
    </row>
    <row r="155" spans="2:11" x14ac:dyDescent="0.2">
      <c r="B155" s="192" t="str">
        <f>IF(n_ail&gt;0,IF(Lang="Français","Marge Statique","Static Margin"),"")</f>
        <v>Marge Statique</v>
      </c>
      <c r="C155" s="197">
        <f ca="1">(-XcgPlein-XcgVide)/2</f>
        <v>-1133.0283326820181</v>
      </c>
      <c r="D155" s="207">
        <f>-D_ail/2-E_ail-Long_tot/20</f>
        <v>-299.60000000000002</v>
      </c>
      <c r="E155" s="93"/>
      <c r="K155" s="46"/>
    </row>
    <row r="156" spans="2:11" x14ac:dyDescent="0.2">
      <c r="B156" s="195" t="s">
        <v>170</v>
      </c>
      <c r="C156" s="46">
        <f ca="1">(C155+C157)/2</f>
        <v>-1218.2558335523718</v>
      </c>
      <c r="D156" s="208">
        <f>-D_ail/2-E_ail-Long_tot/20</f>
        <v>-299.60000000000002</v>
      </c>
      <c r="E156" s="93"/>
      <c r="K156" s="46"/>
    </row>
    <row r="157" spans="2:11" x14ac:dyDescent="0.2">
      <c r="B157" s="212" t="s">
        <v>171</v>
      </c>
      <c r="C157" s="200">
        <f>-XCp</f>
        <v>-1303.4833344227256</v>
      </c>
      <c r="D157" s="209">
        <f>-D_ail/2-E_ail-Long_tot/20</f>
        <v>-299.60000000000002</v>
      </c>
      <c r="E157" s="93"/>
      <c r="K157" s="46"/>
    </row>
    <row r="158" spans="2:11" x14ac:dyDescent="0.2">
      <c r="B158" s="183" t="s">
        <v>85</v>
      </c>
      <c r="C158" s="197">
        <f>IF(LEFT(Type_masquage,1)="M",0,-X_can+m_can)</f>
        <v>-772</v>
      </c>
      <c r="D158" s="197">
        <f>IF(LEFT(Type_masquage,1)="M",0,D_ail/2)</f>
        <v>52</v>
      </c>
      <c r="E158" s="198">
        <f t="shared" ref="E158:E167" si="1">-D158</f>
        <v>-52</v>
      </c>
      <c r="K158" s="46"/>
    </row>
    <row r="159" spans="2:11" x14ac:dyDescent="0.2">
      <c r="B159" s="185" t="s">
        <v>86</v>
      </c>
      <c r="C159" s="46">
        <f>IF(LEFT(Type_masquage,1)="M",0,-X_can+m_can-p_can)</f>
        <v>-892</v>
      </c>
      <c r="D159" s="46">
        <f>IF(LEFT(Type_masquage,1)="M",0,D_ail/2+E_can)</f>
        <v>159</v>
      </c>
      <c r="E159" s="199">
        <f t="shared" si="1"/>
        <v>-159</v>
      </c>
      <c r="K159" s="46"/>
    </row>
    <row r="160" spans="2:11" x14ac:dyDescent="0.2">
      <c r="B160" s="185" t="s">
        <v>87</v>
      </c>
      <c r="C160" s="46">
        <f>IF(LEFT(Type_masquage,1)="M",0,-X_can+m_can-p_can-n_can)</f>
        <v>-972</v>
      </c>
      <c r="D160" s="46">
        <f>IF(LEFT(Type_masquage,1)="M",0,D_ail/2+E_can)</f>
        <v>159</v>
      </c>
      <c r="E160" s="199">
        <f t="shared" si="1"/>
        <v>-159</v>
      </c>
      <c r="K160" s="46"/>
    </row>
    <row r="161" spans="2:11" x14ac:dyDescent="0.2">
      <c r="B161" s="185" t="s">
        <v>88</v>
      </c>
      <c r="C161" s="46">
        <f>IF(LEFT(Type_masquage,1)="M",0,-X_can)</f>
        <v>-942</v>
      </c>
      <c r="D161" s="46">
        <f>IF(LEFT(Type_masquage,1)="M",0,D_ail/2)</f>
        <v>52</v>
      </c>
      <c r="E161" s="199">
        <f t="shared" si="1"/>
        <v>-52</v>
      </c>
      <c r="K161" s="46"/>
    </row>
    <row r="162" spans="2:11" x14ac:dyDescent="0.2">
      <c r="B162" s="187" t="s">
        <v>85</v>
      </c>
      <c r="C162" s="200">
        <f>IF(LEFT(Type_masquage,1)="M",0,-X_can+m_can)</f>
        <v>-772</v>
      </c>
      <c r="D162" s="200">
        <f>IF(LEFT(Type_masquage,1)="M",0,D_ail/2)</f>
        <v>52</v>
      </c>
      <c r="E162" s="201">
        <f t="shared" si="1"/>
        <v>-52</v>
      </c>
      <c r="K162" s="46"/>
    </row>
    <row r="163" spans="2:11" x14ac:dyDescent="0.2">
      <c r="B163" s="183" t="s">
        <v>89</v>
      </c>
      <c r="C163" s="197">
        <f>IF(LEFT(Type_masquage,1)="B",-X_int+m_int,0)</f>
        <v>-1782</v>
      </c>
      <c r="D163" s="197">
        <f>IF(LEFT(Type_masquage,1)="B",D_int/2,0)</f>
        <v>52</v>
      </c>
      <c r="E163" s="198">
        <f t="shared" si="1"/>
        <v>-52</v>
      </c>
      <c r="K163" s="46"/>
    </row>
    <row r="164" spans="2:11" x14ac:dyDescent="0.2">
      <c r="B164" s="185" t="s">
        <v>90</v>
      </c>
      <c r="C164" s="46">
        <f>IF(LEFT(Type_masquage,1)="B",-X_int+m_int-p_int,0)</f>
        <v>-1902.4137931034484</v>
      </c>
      <c r="D164" s="46">
        <f>IF(LEFT(Type_masquage,1)="B",D_int/2+E_int,0)</f>
        <v>149</v>
      </c>
      <c r="E164" s="199">
        <f t="shared" si="1"/>
        <v>-149</v>
      </c>
      <c r="K164" s="46"/>
    </row>
    <row r="165" spans="2:11" x14ac:dyDescent="0.2">
      <c r="B165" s="185" t="s">
        <v>91</v>
      </c>
      <c r="C165" s="46">
        <f>IF(LEFT(Type_masquage,1)="B",-X_int+m_int-p_int-n_int,0)</f>
        <v>-2018.8275862068967</v>
      </c>
      <c r="D165" s="46">
        <f>IF(LEFT(Type_masquage,1)="B",D_int/2+E_int,0)</f>
        <v>149</v>
      </c>
      <c r="E165" s="199">
        <f t="shared" si="1"/>
        <v>-149</v>
      </c>
      <c r="K165" s="46"/>
    </row>
    <row r="166" spans="2:11" x14ac:dyDescent="0.2">
      <c r="B166" s="185" t="s">
        <v>92</v>
      </c>
      <c r="C166" s="46">
        <f>IF(LEFT(Type_masquage,1)="B",-X_int,0)</f>
        <v>-1972</v>
      </c>
      <c r="D166" s="46">
        <f>IF(LEFT(Type_masquage,1)="B",D_int/2,0)</f>
        <v>52</v>
      </c>
      <c r="E166" s="199">
        <f t="shared" si="1"/>
        <v>-52</v>
      </c>
      <c r="K166" s="46"/>
    </row>
    <row r="167" spans="2:11" x14ac:dyDescent="0.2">
      <c r="B167" s="187" t="s">
        <v>89</v>
      </c>
      <c r="C167" s="200">
        <f>IF(LEFT(Type_masquage,1)="B",-X_int+m_int,0)</f>
        <v>-1782</v>
      </c>
      <c r="D167" s="200">
        <f>IF(LEFT(Type_masquage,1)="B",D_int/2,0)</f>
        <v>52</v>
      </c>
      <c r="E167" s="201">
        <f t="shared" si="1"/>
        <v>-52</v>
      </c>
      <c r="K167" s="46"/>
    </row>
    <row r="168" spans="2:11" x14ac:dyDescent="0.2">
      <c r="B168" s="45" t="s">
        <v>93</v>
      </c>
      <c r="C168" s="46">
        <f>-MAX(Long_tot, X_ail-m_ail+p_ail+n_ail, (E_ail+D_ail/2)*3.2)*1.01</f>
        <v>-2072.52</v>
      </c>
      <c r="D168" s="46">
        <f>MAX(E_ail+D_ail/2, Long_tot/3)</f>
        <v>684</v>
      </c>
      <c r="E168" s="93"/>
      <c r="K168" s="46"/>
    </row>
    <row r="169" spans="2:11" x14ac:dyDescent="0.2">
      <c r="B169" s="45" t="s">
        <v>93</v>
      </c>
      <c r="C169" s="46">
        <f>C168</f>
        <v>-2072.52</v>
      </c>
      <c r="D169" s="46">
        <f>-D168</f>
        <v>-684</v>
      </c>
      <c r="E169" s="93"/>
      <c r="K169" s="46"/>
    </row>
    <row r="170" spans="2:11" x14ac:dyDescent="0.2">
      <c r="B170" s="183" t="s">
        <v>94</v>
      </c>
      <c r="C170" s="197">
        <f ca="1">-XpropuRef+Long_propu</f>
        <v>-1564</v>
      </c>
      <c r="D170" s="207">
        <f ca="1">-Diam_propu/2</f>
        <v>-27</v>
      </c>
      <c r="E170" s="93"/>
      <c r="K170" s="46"/>
    </row>
    <row r="171" spans="2:11" x14ac:dyDescent="0.2">
      <c r="B171" s="185" t="s">
        <v>95</v>
      </c>
      <c r="C171" s="46">
        <f ca="1">-XpropuRef+Long_propu</f>
        <v>-1564</v>
      </c>
      <c r="D171" s="208">
        <f ca="1">Diam_propu/2</f>
        <v>27</v>
      </c>
      <c r="E171" s="93"/>
      <c r="K171" s="46"/>
    </row>
    <row r="172" spans="2:11" x14ac:dyDescent="0.2">
      <c r="B172" s="185" t="s">
        <v>96</v>
      </c>
      <c r="C172" s="46">
        <f>-XpropuRef</f>
        <v>-2052</v>
      </c>
      <c r="D172" s="208">
        <f ca="1">Diam_propu/2</f>
        <v>27</v>
      </c>
      <c r="E172" s="93"/>
      <c r="K172" s="46"/>
    </row>
    <row r="173" spans="2:11" x14ac:dyDescent="0.2">
      <c r="B173" s="185" t="s">
        <v>97</v>
      </c>
      <c r="C173" s="46">
        <f>-XpropuRef</f>
        <v>-2052</v>
      </c>
      <c r="D173" s="208">
        <f ca="1">-Diam_propu/2</f>
        <v>-27</v>
      </c>
      <c r="E173" s="93"/>
      <c r="K173" s="46"/>
    </row>
    <row r="174" spans="2:11" x14ac:dyDescent="0.2">
      <c r="B174" s="187" t="s">
        <v>98</v>
      </c>
      <c r="C174" s="200">
        <f ca="1">-XpropuRef+Long_propu</f>
        <v>-1564</v>
      </c>
      <c r="D174" s="209">
        <f ca="1">-Diam_propu/2</f>
        <v>-27</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1.3074542833093958</v>
      </c>
      <c r="C190" s="203">
        <f>Cn</f>
        <v>22.595376756695227</v>
      </c>
      <c r="D190" s="185">
        <v>3</v>
      </c>
      <c r="E190" s="205">
        <f t="shared" si="4"/>
        <v>33.333333333333336</v>
      </c>
      <c r="K190" s="45"/>
    </row>
    <row r="191" spans="2:11" x14ac:dyDescent="0.2">
      <c r="B191" s="512">
        <f ca="1">(XCp0-XcgPlein)/D_ref</f>
        <v>2.2682350546428571</v>
      </c>
      <c r="C191" s="513">
        <f>Cn0</f>
        <v>27.09328395264825</v>
      </c>
      <c r="D191" s="185">
        <v>4</v>
      </c>
      <c r="E191" s="205">
        <f t="shared" si="4"/>
        <v>25</v>
      </c>
      <c r="K191" s="45"/>
    </row>
    <row r="192" spans="2:11" x14ac:dyDescent="0.2">
      <c r="B192" s="512">
        <f ca="1">(XCp0-XcgVide)/D_ref</f>
        <v>3.0968618767252276</v>
      </c>
      <c r="C192" s="513">
        <f>Cn0</f>
        <v>27.09328395264825</v>
      </c>
      <c r="D192" s="185">
        <v>6</v>
      </c>
      <c r="E192" s="205">
        <f t="shared" si="4"/>
        <v>16.666666666666668</v>
      </c>
      <c r="K192" s="45"/>
    </row>
    <row r="193" spans="2:11" x14ac:dyDescent="0.2">
      <c r="B193" s="512">
        <f ca="1">(XCp-XcgVide)/D_ref</f>
        <v>2.1360811053917663</v>
      </c>
      <c r="C193" s="513">
        <f>Cn</f>
        <v>22.595376756695227</v>
      </c>
      <c r="D193" s="187">
        <v>7</v>
      </c>
      <c r="E193" s="206">
        <f t="shared" si="4"/>
        <v>14.285714285714286</v>
      </c>
      <c r="K193" s="45"/>
    </row>
    <row r="194" spans="2:11" x14ac:dyDescent="0.2">
      <c r="B194" s="512">
        <f ca="1">MS_min</f>
        <v>1.3074542833093958</v>
      </c>
      <c r="C194" s="514">
        <f>Cn</f>
        <v>22.595376756695227</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27:D27"/>
    <mergeCell ref="C19:D19"/>
    <mergeCell ref="C20:D20"/>
    <mergeCell ref="O23:P23"/>
    <mergeCell ref="O24:P24"/>
    <mergeCell ref="C23:D23"/>
    <mergeCell ref="C22:D22"/>
    <mergeCell ref="C24:D24"/>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tabSelected="1" topLeftCell="A10" zoomScaleNormal="100" workbookViewId="0">
      <selection activeCell="B47" sqref="B47"/>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598" t="s">
        <v>0</v>
      </c>
      <c r="D2" s="598"/>
      <c r="F2" s="3"/>
      <c r="J2" s="4"/>
      <c r="N2" s="57"/>
    </row>
    <row r="3" spans="1:14" ht="12.75" customHeight="1" x14ac:dyDescent="0.2">
      <c r="A3" s="56"/>
      <c r="B3" s="2"/>
      <c r="C3" s="598"/>
      <c r="D3" s="598"/>
      <c r="H3" s="5"/>
      <c r="J3" s="4"/>
      <c r="N3" s="57"/>
    </row>
    <row r="4" spans="1:14" ht="12.75" customHeight="1" x14ac:dyDescent="0.2">
      <c r="A4" s="56"/>
      <c r="B4" s="2"/>
      <c r="C4" s="603" t="str">
        <f>IF(Lang="Français","Trajectographie de fusée",IF(Lang="English","Rocket Trajectography",""))</f>
        <v>Trajectographie de fusée</v>
      </c>
      <c r="D4" s="603"/>
      <c r="H4" s="5"/>
      <c r="J4" s="4"/>
      <c r="N4" s="57"/>
    </row>
    <row r="5" spans="1:14" ht="12.75" customHeight="1" x14ac:dyDescent="0.2">
      <c r="A5" s="56"/>
      <c r="B5" s="2"/>
      <c r="C5" s="597"/>
      <c r="D5" s="597"/>
      <c r="J5" s="4"/>
      <c r="N5" s="57"/>
    </row>
    <row r="6" spans="1:14" ht="12.95" customHeight="1" x14ac:dyDescent="0.2">
      <c r="A6" s="56"/>
      <c r="B6" s="87"/>
      <c r="C6" s="602" t="str">
        <f>IF(Lang="Français","Remplir les cases jaunes",IF(Lang="English","Fill-in yellow cells only",""))</f>
        <v>Remplir les cases jaunes</v>
      </c>
      <c r="D6" s="602"/>
      <c r="J6" s="4"/>
      <c r="N6" s="57"/>
    </row>
    <row r="7" spans="1:14" x14ac:dyDescent="0.2">
      <c r="A7" s="56"/>
      <c r="B7" s="6"/>
      <c r="C7" s="599" t="str">
        <f>IF(Lang="Français","Fusée",IF(Lang="English","Rocket",""))</f>
        <v>Fusée</v>
      </c>
      <c r="D7" s="599"/>
      <c r="N7" s="58"/>
    </row>
    <row r="8" spans="1:14" ht="12.75" customHeight="1" x14ac:dyDescent="0.25">
      <c r="A8" s="56"/>
      <c r="B8" s="140" t="str">
        <f>IF(Lang="Français","Nom",IF(Lang="English","Name",""))</f>
        <v>Nom</v>
      </c>
      <c r="C8" s="600" t="str">
        <f>Nom</f>
        <v>SP02</v>
      </c>
      <c r="D8" s="600"/>
      <c r="E8" s="5"/>
      <c r="F8" s="5"/>
      <c r="J8" s="4"/>
      <c r="N8" s="57"/>
    </row>
    <row r="9" spans="1:14" ht="12.75" customHeight="1" x14ac:dyDescent="0.25">
      <c r="A9" s="59"/>
      <c r="B9" s="140" t="s">
        <v>4</v>
      </c>
      <c r="C9" s="601" t="str">
        <f>Club</f>
        <v>L'AéroIPSA</v>
      </c>
      <c r="D9" s="601"/>
      <c r="F9" s="5"/>
      <c r="N9" s="58"/>
    </row>
    <row r="10" spans="1:14" ht="12.75" customHeight="1" x14ac:dyDescent="0.25">
      <c r="A10" s="59"/>
      <c r="B10" s="141" t="s">
        <v>563</v>
      </c>
      <c r="C10" s="596" t="str">
        <f>Matricule</f>
        <v>FX0</v>
      </c>
      <c r="D10" s="596"/>
      <c r="F10" s="5"/>
      <c r="N10" s="58"/>
    </row>
    <row r="11" spans="1:14" ht="12.75" customHeight="1" x14ac:dyDescent="0.2">
      <c r="A11" s="59"/>
      <c r="B11" s="140" t="str">
        <f>IF(Lang="Français","Masse totale",IF(Lang="English","Total Mass",""))</f>
        <v>Masse totale</v>
      </c>
      <c r="C11" s="625">
        <f ca="1">MassePlein</f>
        <v>9.1709999999999994</v>
      </c>
      <c r="D11" s="625"/>
      <c r="F11" s="5"/>
      <c r="N11" s="58"/>
    </row>
    <row r="12" spans="1:14" ht="12.75" customHeight="1" x14ac:dyDescent="0.2">
      <c r="A12" s="59"/>
      <c r="B12" s="227" t="str">
        <f>IF(Lang="Français","Propulseur",IF(Lang="English","Motor",""))</f>
        <v>Propulseur</v>
      </c>
      <c r="C12" s="628" t="str">
        <f>Propu</f>
        <v>Barasinga (Pro54-5G C)</v>
      </c>
      <c r="D12" s="629"/>
      <c r="F12" s="5"/>
      <c r="N12" s="58"/>
    </row>
    <row r="13" spans="1:14" ht="12.75" customHeight="1" x14ac:dyDescent="0.2">
      <c r="A13" s="59"/>
      <c r="N13" s="58"/>
    </row>
    <row r="14" spans="1:14" ht="12.75" customHeight="1" x14ac:dyDescent="0.2">
      <c r="A14" s="59"/>
      <c r="B14"/>
      <c r="C14" s="599" t="str">
        <f>IF(Lang="Français","Traînée Aérdynamique",IF(Lang="English","Drag",""))</f>
        <v>Traînée Aérdynamique</v>
      </c>
      <c r="D14" s="599"/>
      <c r="N14" s="58"/>
    </row>
    <row r="15" spans="1:14" ht="12.75" customHeight="1" x14ac:dyDescent="0.2">
      <c r="A15" s="59"/>
      <c r="B15" s="140" t="s">
        <v>40</v>
      </c>
      <c r="C15" s="630">
        <f>(PI()*D_ref^2/4+E_ail*ep_ail*Q_ail)/10^6</f>
        <v>9.4376873994583919E-3</v>
      </c>
      <c r="D15" s="630"/>
      <c r="N15" s="58"/>
    </row>
    <row r="16" spans="1:14" ht="12.75" customHeight="1" x14ac:dyDescent="0.2">
      <c r="A16" s="59"/>
      <c r="B16" s="141" t="s">
        <v>5</v>
      </c>
      <c r="C16" s="623">
        <v>0.7</v>
      </c>
      <c r="D16" s="624"/>
      <c r="N16" s="58"/>
    </row>
    <row r="17" spans="1:18" ht="12.75" customHeight="1" x14ac:dyDescent="0.2">
      <c r="A17" s="59"/>
      <c r="N17" s="58"/>
    </row>
    <row r="18" spans="1:18" ht="12.75" customHeight="1" x14ac:dyDescent="0.2">
      <c r="A18" s="59"/>
      <c r="B18"/>
      <c r="C18" s="599" t="str">
        <f>IF(Lang="Français","Rampe de Lancement",IF(Lang="English","Launch Pad",""))</f>
        <v>Rampe de Lancement</v>
      </c>
      <c r="D18" s="599"/>
      <c r="N18" s="58"/>
    </row>
    <row r="19" spans="1:18" ht="12.75" customHeight="1" x14ac:dyDescent="0.2">
      <c r="A19" s="59"/>
      <c r="B19" s="140" t="str">
        <f>IF(Lang="Français","Longueur",IF(Lang="English","Length",""))</f>
        <v>Longueur</v>
      </c>
      <c r="C19" s="627">
        <f>IF(RIGHT(Type_fusee,1)=".",4, IF(LEFT(Type_fusee,4)="Mini",2.5, IF(LEFT(Type_fusee,5)="Micro",1, IF(RIGHT(Type_fusee,1)=" ",0.1,IF(LEFT(Type_fusee,1)="R",3, 2.5)))))</f>
        <v>4</v>
      </c>
      <c r="D19" s="627"/>
      <c r="N19" s="58"/>
    </row>
    <row r="20" spans="1:18" ht="12.75" customHeight="1" x14ac:dyDescent="0.2">
      <c r="A20" s="59"/>
      <c r="B20" s="140" t="str">
        <f>IF(Lang="Français","Élévation",IF(Lang="English","Angle /horizon",""))</f>
        <v>Élévation</v>
      </c>
      <c r="C20" s="626">
        <v>80</v>
      </c>
      <c r="D20" s="626"/>
      <c r="N20" s="58"/>
    </row>
    <row r="21" spans="1:18" ht="12.75" customHeight="1" x14ac:dyDescent="0.2">
      <c r="A21" s="59"/>
      <c r="B21" s="140" t="s">
        <v>6</v>
      </c>
      <c r="C21" s="627">
        <v>0</v>
      </c>
      <c r="D21" s="627"/>
      <c r="N21" s="58"/>
    </row>
    <row r="22" spans="1:18" x14ac:dyDescent="0.2">
      <c r="A22" s="59"/>
      <c r="F22" s="384" t="str">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
      </c>
      <c r="N22" s="58"/>
    </row>
    <row r="23" spans="1:18" x14ac:dyDescent="0.2">
      <c r="A23" s="59"/>
      <c r="C23" s="613" t="str">
        <f>IF(Lang="Français","DescenteSousParachute",IF(Lang="English","Over Parachute",""))</f>
        <v>DescenteSousParachute</v>
      </c>
      <c r="D23" s="614"/>
      <c r="F23" s="4"/>
      <c r="G23" s="50">
        <f ca="1">TODAY()</f>
        <v>45991</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121</v>
      </c>
      <c r="E24" s="18" t="str">
        <f>IF(ABS(T_satellite-0.11-T_para)&lt;0.1,"Pb!","")</f>
        <v/>
      </c>
      <c r="F24" s="615" t="str">
        <f>IF(Lang="Français","Sortie de Rampe",IF(Lang="English","Launch-Pad Exit",""))</f>
        <v>Sortie de Rampe</v>
      </c>
      <c r="G24" s="616"/>
      <c r="H24" s="491"/>
      <c r="I24" s="491"/>
      <c r="J24" s="491"/>
      <c r="K24" s="492">
        <f ca="1">INDEX(vit_xz,MATCH("Sortie de rampe",Event,0))</f>
        <v>25.795887856142588</v>
      </c>
      <c r="L24" s="493"/>
      <c r="M24" s="500"/>
      <c r="N24" s="58"/>
    </row>
    <row r="25" spans="1:18" x14ac:dyDescent="0.2">
      <c r="A25" s="59"/>
      <c r="B25" s="466" t="str">
        <f>IF(Lang="Français","Masse",IF(Lang="English","Mass",""))</f>
        <v>Masse</v>
      </c>
      <c r="C25" s="467">
        <f ca="1">IF(Nb_sat="0 satellite",MasseVide,MasseVide-m_satellite)</f>
        <v>7.1379999999999999</v>
      </c>
      <c r="D25" s="480">
        <f>IF(RIGHT(Type_fusee,1)=".",1,0.15)</f>
        <v>1</v>
      </c>
      <c r="F25" s="619" t="str">
        <f>IF(Lang="Français","Vit max &amp; Acc max",IF(Lang="English","Max Velocity &amp; Acc",""))</f>
        <v>Vit max &amp; Acc max</v>
      </c>
      <c r="G25" s="620"/>
      <c r="H25" s="115"/>
      <c r="I25" s="115"/>
      <c r="J25" s="115"/>
      <c r="K25" s="158">
        <f ca="1">MAX(vit_xz)</f>
        <v>180.16869241022349</v>
      </c>
      <c r="L25" s="494">
        <f ca="1">MAX(acc_xz)</f>
        <v>87.760974377876138</v>
      </c>
      <c r="M25" s="500"/>
      <c r="N25" s="58"/>
    </row>
    <row r="26" spans="1:18" x14ac:dyDescent="0.2">
      <c r="A26" s="59"/>
      <c r="B26" s="469" t="str">
        <f>IF(Lang="Français","Dépotage",IF(Lang="English","Delay",""))</f>
        <v>Dépotage</v>
      </c>
      <c r="C26" s="505" t="s">
        <v>407</v>
      </c>
      <c r="D26" s="535"/>
      <c r="F26" s="621" t="str">
        <f>IF(Lang="Français","Largage du satellite",IF(Lang="English","Satellite separation",""))</f>
        <v>Largage du satellite</v>
      </c>
      <c r="G26" s="622"/>
      <c r="H26" s="152">
        <f>IF(T_satellite&lt;&gt;0,T_satellite,"")</f>
        <v>4.5999999999999996</v>
      </c>
      <c r="I26" s="156">
        <f ca="1">IF(T_satellite&lt;&gt;0,INDEX(pos_z,MATCH("Satellite",Event_sat,0)),"")</f>
        <v>564.96320263534824</v>
      </c>
      <c r="J26" s="154">
        <f ca="1">IF(T_satellite&lt;&gt;0,INDEX(pos_x,MATCH("Satellite",Event_sat,0)),"")</f>
        <v>131.1551130355156</v>
      </c>
      <c r="K26" s="159">
        <f ca="1">IF(T_satellite&lt;&gt;0,INDEX(vit_xz,MATCH("Satellite",Event_sat,0)),"")</f>
        <v>153.12922149896602</v>
      </c>
      <c r="L26" s="495"/>
      <c r="M26" s="485">
        <f ca="1">1/2*Rho_moyen*1*V_ouv_sat^2*S_satellite</f>
        <v>1436.2242067088632</v>
      </c>
      <c r="N26" s="58"/>
    </row>
    <row r="27" spans="1:18" x14ac:dyDescent="0.2">
      <c r="A27" s="59"/>
      <c r="B27" s="468" t="str">
        <f>IF(Lang="Français","Ouverture para",IF(Lang="English","Opening time",""))</f>
        <v>Ouverture para</v>
      </c>
      <c r="C27" s="507">
        <v>16.2</v>
      </c>
      <c r="D27" s="507">
        <v>4.5999999999999996</v>
      </c>
      <c r="F27" s="619" t="s">
        <v>15</v>
      </c>
      <c r="G27" s="620"/>
      <c r="H27" s="153">
        <f ca="1">INDEX(t,MATCH("Apogée",Event,0))</f>
        <v>16.199999999999918</v>
      </c>
      <c r="I27" s="157">
        <f ca="1">INDEX(pos_z,MATCH("Apogée",Event,0))</f>
        <v>1320.237263236472</v>
      </c>
      <c r="J27" s="155">
        <f ca="1">INDEX(pos_x,MATCH("Apogée",Event,0))</f>
        <v>480.00149467991025</v>
      </c>
      <c r="K27" s="160">
        <f ca="1">INDEX(vit_xz,MATCH("Apogée",Event,0))</f>
        <v>26.056513219919683</v>
      </c>
      <c r="L27" s="496"/>
      <c r="M27" s="500"/>
      <c r="N27" s="58"/>
    </row>
    <row r="28" spans="1:18" x14ac:dyDescent="0.2">
      <c r="A28" s="59"/>
      <c r="B28" s="534" t="s">
        <v>558</v>
      </c>
      <c r="C28" s="507" t="s">
        <v>560</v>
      </c>
      <c r="D28" s="507"/>
      <c r="F28" s="617" t="str">
        <f>IF(Lang="Français","Ouverture parachute fusée",IF(Lang="English","Rocket parachute opening",""))</f>
        <v>Ouverture parachute fusée</v>
      </c>
      <c r="G28" s="618"/>
      <c r="H28" s="152">
        <f>T_para</f>
        <v>16.2</v>
      </c>
      <c r="I28" s="156">
        <f ca="1">INDEX(pos_z,MATCH("Para",Event_para,0))</f>
        <v>1320.237263236472</v>
      </c>
      <c r="J28" s="486">
        <f ca="1">INDEX(pos_x,MATCH("Para",Event_para,0))</f>
        <v>480.00149467991025</v>
      </c>
      <c r="K28" s="159">
        <f ca="1">INDEX(vit_xz,MATCH("Para",Event_para,0))</f>
        <v>26.056513219919683</v>
      </c>
      <c r="L28" s="495"/>
      <c r="M28" s="485">
        <f ca="1">1/2*Rho_moyen*1*V_ouverture^2*S_para</f>
        <v>212.91617393800075</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0.51200000000000001</v>
      </c>
      <c r="D29" s="17">
        <f>IF(RIGHT(Type_fusee,1)=".",0.1,0.02)</f>
        <v>0.1</v>
      </c>
      <c r="F29" s="606" t="str">
        <f>IF(Lang="Français","Impact balistique",IF(Lang="English","Balistic Impact",""))</f>
        <v>Impact balistique</v>
      </c>
      <c r="G29" s="607"/>
      <c r="H29" s="497">
        <f ca="1">INDEX(t,MATCH("Impact balistique",Event,0))</f>
        <v>34.500000000000178</v>
      </c>
      <c r="I29" s="517" t="s">
        <v>428</v>
      </c>
      <c r="J29" s="487">
        <f ca="1">INDEX(pos_x,MATCH("Impact balistique",Event,0))</f>
        <v>859.24597237897774</v>
      </c>
      <c r="K29" s="501">
        <f ca="1">K47</f>
        <v>121.9416440714384</v>
      </c>
      <c r="L29" s="498"/>
      <c r="M29" s="502">
        <f ca="1">0.5*m_vide*K29^2</f>
        <v>53070.189710519124</v>
      </c>
      <c r="N29" s="58"/>
      <c r="P29" s="384" t="str">
        <f ca="1">IF( OR( V_para&lt;5, V_para&gt;15, AND(Nb_sat="1 satellite", OR(V_satellite&lt;5, V_satellite&gt;15))), IF(Lang="Français","La Vitesse de descente sous parachute doit être comprise entre 5 &amp; 15 m/s.","Fall Velocity with parachute must be between 5 &amp; 15 m/s."), "")</f>
        <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str">
        <f ca="1">IF(OR(AND(Vsortie_de_rampe&lt;20,LEFT(Type_fusee,1)="F"),AND(Vsortie_de_rampe&lt;18, OR(LEFT(Type_fusee,1)=",",LEFT(Type_fusee,4)="Mini",LEFT(Type_fusee,1)="R"))),IF(Lang="Français","Fusée trop lourde ou rampe trop courte !","Rocket too heavy or launch pad too small!"),"")</f>
        <v/>
      </c>
    </row>
    <row r="32" spans="1:18" x14ac:dyDescent="0.2">
      <c r="A32" s="59"/>
      <c r="B32" s="133" t="str">
        <f>IF(Lang="Français","Vitesse descente",IF(Lang="English","Fall velocity",""))</f>
        <v>Vitesse descente</v>
      </c>
      <c r="C32" s="424">
        <f ca="1">SQRT(2*m_vide*g/Rho_moyen/S_para/Cx_para)</f>
        <v>14.942895127649072</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88.352173521824184</v>
      </c>
      <c r="D33" s="132">
        <f ca="1">IF(V_satellite&lt;&gt;0,Alt_sat/V_satellite,0)</f>
        <v>44.641492398452556</v>
      </c>
      <c r="H33" s="608" t="str">
        <f>IF(Lang="Français","Pour localiser la fusée","To locate the rocket")</f>
        <v>Pour localiser la fusée</v>
      </c>
      <c r="I33" s="608"/>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104.55217352182419</v>
      </c>
      <c r="D34" s="132">
        <f ca="1">T_satellite+Dt_satellite</f>
        <v>49.241492398452557</v>
      </c>
      <c r="F34" s="608" t="str">
        <f>IF(Lang="Français","Couleur fuselage/coiffe","Body/Nose color")</f>
        <v>Couleur fuselage/coiffe</v>
      </c>
      <c r="G34" s="608"/>
      <c r="H34" s="604" t="s">
        <v>266</v>
      </c>
      <c r="I34" s="605"/>
      <c r="J34" s="1"/>
      <c r="K34" s="1"/>
      <c r="L34" s="1"/>
      <c r="M34" s="1"/>
      <c r="N34" s="394"/>
    </row>
    <row r="35" spans="1:16" x14ac:dyDescent="0.2">
      <c r="A35" s="74"/>
      <c r="B35" s="133" t="str">
        <f>IF(Lang="Français","Déport latéral",IF(Lang="English","Lateral shift",""))</f>
        <v>Déport latéral</v>
      </c>
      <c r="C35" s="151">
        <f ca="1">Alt_para*V_vent/V_para</f>
        <v>441.76086760912096</v>
      </c>
      <c r="D35" s="151">
        <f ca="1">IF(V_satellite&lt;&gt;0,Alt_sat*V_vent_sat/V_satellite,0)</f>
        <v>223.20746199226281</v>
      </c>
      <c r="F35" s="608" t="str">
        <f>IF(Lang="Français","Couleur parachute fusée","Rocket parachute color")</f>
        <v>Couleur parachute fusée</v>
      </c>
      <c r="G35" s="608"/>
      <c r="H35" s="604" t="s">
        <v>267</v>
      </c>
      <c r="I35" s="605"/>
      <c r="J35"/>
      <c r="K35"/>
      <c r="L35"/>
      <c r="M35"/>
      <c r="N35" s="394" t="str">
        <f>IF(Lang="Français","fichier initial","Initial file")</f>
        <v>fichier initial</v>
      </c>
      <c r="P35"/>
    </row>
    <row r="36" spans="1:16" x14ac:dyDescent="0.2">
      <c r="A36" s="59"/>
      <c r="F36" s="608" t="str">
        <f>IF(Lang="Français","Couleur parachute satellite","Satellite parachute color")</f>
        <v>Couleur parachute satellite</v>
      </c>
      <c r="G36" s="608"/>
      <c r="H36" s="612" t="s">
        <v>158</v>
      </c>
      <c r="I36" s="612"/>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09" t="str">
        <f>IF(Lang="Français","Calcul de la surface d'un parachute","Parachute surface calculation")</f>
        <v>Calcul de la surface d'un parachute</v>
      </c>
      <c r="B40" s="610"/>
      <c r="C40" s="610"/>
      <c r="D40" s="611"/>
      <c r="F40" s="609" t="str">
        <f>IF(Lang="Français","Résultats détaillés","Detailled results")</f>
        <v>Résultats détaillés</v>
      </c>
      <c r="G40" s="611"/>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633" t="str">
        <f>IF(Lang="Français","Décollage",IF(Lang="English","Lift-Off",""))</f>
        <v>Décollage</v>
      </c>
      <c r="G42" s="633"/>
      <c r="H42" s="150">
        <v>0</v>
      </c>
      <c r="I42" s="150">
        <v>0</v>
      </c>
      <c r="J42" s="150">
        <v>0</v>
      </c>
      <c r="K42" s="150">
        <v>0</v>
      </c>
      <c r="L42" s="148" t="s">
        <v>14</v>
      </c>
      <c r="M42" s="149">
        <f>Beta_rampe</f>
        <v>80</v>
      </c>
    </row>
    <row r="43" spans="1:16" x14ac:dyDescent="0.2">
      <c r="A43" s="161"/>
      <c r="B43" s="166" t="str">
        <f>IF(Lang="Français","Bord   'a'","Side length 'a'")</f>
        <v>Bord   'a'</v>
      </c>
      <c r="D43" s="162"/>
      <c r="F43" s="620" t="str">
        <f>IF(Lang="Français","Sortie de Rampe",IF(Lang="English","Launch-Pad Exit",""))</f>
        <v>Sortie de Rampe</v>
      </c>
      <c r="G43" s="620"/>
      <c r="H43" s="115">
        <f ca="1">INDEX(t,MATCH("Sortie de rampe",Event,0))</f>
        <v>0.33000000000000013</v>
      </c>
      <c r="I43" s="115">
        <f ca="1">INDEX(pos_z,MATCH("Sortie de rampe",Event,0))</f>
        <v>3.890219199660089</v>
      </c>
      <c r="J43" s="115">
        <f ca="1">INDEX(pos_x,MATCH("Sortie de rampe",Event,0))</f>
        <v>0.6859117289226776</v>
      </c>
      <c r="K43" s="116">
        <f ca="1">INDEX(vit_xz,MATCH("Sortie de rampe",Event,0))</f>
        <v>25.795887856142588</v>
      </c>
      <c r="L43" s="116">
        <f ca="1">INDEX(acc_xz,MATCH("Sortie de rampe",Event,0))</f>
        <v>82.436758452637605</v>
      </c>
      <c r="M43" s="116">
        <f ca="1">INDEX(BetaD,MATCH("Sortie de rampe",Event,0))</f>
        <v>80</v>
      </c>
    </row>
    <row r="44" spans="1:16" x14ac:dyDescent="0.2">
      <c r="A44" s="161"/>
      <c r="B44" s="167">
        <v>320</v>
      </c>
      <c r="D44" s="162"/>
      <c r="F44" s="620" t="str">
        <f>IF(Lang="Français","Vit max &amp; Acc max",IF(Lang="English","Max Velocity &amp; Acc",""))</f>
        <v>Vit max &amp; Acc max</v>
      </c>
      <c r="G44" s="620"/>
      <c r="H44" s="115" t="s">
        <v>14</v>
      </c>
      <c r="I44" s="115" t="s">
        <v>14</v>
      </c>
      <c r="J44" s="115" t="s">
        <v>14</v>
      </c>
      <c r="K44" s="117">
        <f ca="1">MAX(vit_xz)</f>
        <v>180.16869241022349</v>
      </c>
      <c r="L44" s="118">
        <f ca="1">MAX(acc_xz)</f>
        <v>87.760974377876138</v>
      </c>
      <c r="M44" s="116" t="s">
        <v>14</v>
      </c>
    </row>
    <row r="45" spans="1:16" x14ac:dyDescent="0.2">
      <c r="A45" s="161"/>
      <c r="B45" s="166" t="str">
        <f>IF(Lang="Français","Coté   'b'","Side width 'b'")</f>
        <v>Coté   'b'</v>
      </c>
      <c r="D45" s="162"/>
      <c r="F45" s="620" t="str">
        <f>IF(Lang="Français","Fin de Propulsion",IF(Lang="English","Motor Burn-Out",""))</f>
        <v>Fin de Propulsion</v>
      </c>
      <c r="G45" s="620"/>
      <c r="H45" s="116">
        <f ca="1">INDEX(t,MATCH("Fin de propulsion",Event,0))</f>
        <v>3.5999999999999672</v>
      </c>
      <c r="I45" s="119">
        <f ca="1">INDEX(pos_z,MATCH("Fin de propulsion",Event,0))</f>
        <v>405.89246406555554</v>
      </c>
      <c r="J45" s="119">
        <f ca="1">INDEX(pos_x,MATCH("Fin de propulsion",Event,0))</f>
        <v>91.113789992473258</v>
      </c>
      <c r="K45" s="119">
        <f ca="1">INDEX(vit_xz,MATCH("Fin de propulsion",Event,0))</f>
        <v>175.52110661099704</v>
      </c>
      <c r="L45" s="116">
        <f ca="1">INDEX(acc_xz,MATCH("Fin de propulsion",Event,0))</f>
        <v>24.393351228625111</v>
      </c>
      <c r="M45" s="116">
        <f ca="1">INDEX(BetaD,MATCH("Fin de propulsion",Event,0))</f>
        <v>76.267963680394814</v>
      </c>
    </row>
    <row r="46" spans="1:16" x14ac:dyDescent="0.2">
      <c r="A46" s="161"/>
      <c r="B46" s="168">
        <v>320</v>
      </c>
      <c r="D46" s="162"/>
      <c r="F46" s="620" t="s">
        <v>15</v>
      </c>
      <c r="G46" s="620"/>
      <c r="H46" s="118">
        <f ca="1">INDEX(t,MATCH("Apogée",Event,0))</f>
        <v>16.199999999999918</v>
      </c>
      <c r="I46" s="117">
        <f ca="1">INDEX(pos_z,MATCH("Apogée",Event,0))</f>
        <v>1320.237263236472</v>
      </c>
      <c r="J46" s="120">
        <f ca="1">INDEX(pos_x,MATCH("Apogée",Event,0))</f>
        <v>480.00149467991025</v>
      </c>
      <c r="K46" s="120">
        <f ca="1">INDEX(vit_xz,MATCH("Apogée",Event,0))</f>
        <v>26.056513219919683</v>
      </c>
      <c r="L46" s="116">
        <f ca="1">INDEX(acc_xz,MATCH("Apogée",Event,0))</f>
        <v>9.8284721358060914</v>
      </c>
      <c r="M46" s="121">
        <f ca="1">INDEX(BetaD,MATCH("Apogée",Event,0))</f>
        <v>0.54407402053546305</v>
      </c>
    </row>
    <row r="47" spans="1:16" x14ac:dyDescent="0.2">
      <c r="A47" s="161"/>
      <c r="B47" s="169" t="s">
        <v>9</v>
      </c>
      <c r="D47" s="162"/>
      <c r="F47" s="635" t="str">
        <f>IF(Lang="Français","Impact balistique",IF(Lang="English","Balistic Impact",""))</f>
        <v>Impact balistique</v>
      </c>
      <c r="G47" s="635"/>
      <c r="H47" s="116">
        <f ca="1">INDEX(t,MATCH("Impact balistique",Event,0))</f>
        <v>34.500000000000178</v>
      </c>
      <c r="I47" s="148" t="s">
        <v>16</v>
      </c>
      <c r="J47" s="117">
        <f ca="1">INDEX(pos_x,MATCH("Impact balistique",Event,0))</f>
        <v>859.24597237897774</v>
      </c>
      <c r="K47" s="119">
        <f ca="1">INDEX(vit_xz,MATCH("Impact balistique",Event,0))</f>
        <v>121.9416440714384</v>
      </c>
      <c r="L47" s="116">
        <f ca="1">INDEX(acc_xz,MATCH("Impact balistique",Event,0))</f>
        <v>2.622670654543751</v>
      </c>
      <c r="M47" s="116">
        <f ca="1">INDEX(BetaD,MATCH("Impact balistique",Event,0))</f>
        <v>-83.665975021217648</v>
      </c>
    </row>
    <row r="48" spans="1:16" x14ac:dyDescent="0.2">
      <c r="A48" s="161"/>
      <c r="B48" s="174">
        <f>(4*B44*B46+B44^2)/10^6</f>
        <v>0.51200000000000001</v>
      </c>
      <c r="D48" s="162"/>
      <c r="F48" s="618" t="str">
        <f>IF(Lang="Français","Ouverture parachute fusée",IF(Lang="English","Rocket parachute opening",""))</f>
        <v>Ouverture parachute fusée</v>
      </c>
      <c r="G48" s="618"/>
      <c r="H48" s="122">
        <f>T_para</f>
        <v>16.2</v>
      </c>
      <c r="I48" s="123">
        <f ca="1">INDEX(pos_z,MATCH("Para",Event_para,0))</f>
        <v>1320.237263236472</v>
      </c>
      <c r="J48" s="123">
        <f ca="1">INDEX(pos_x,MATCH("Para",Event_para,0))</f>
        <v>480.00149467991025</v>
      </c>
      <c r="K48" s="123">
        <f ca="1">INDEX(vit_xz,MATCH("Para",Event_para,0))</f>
        <v>26.056513219919683</v>
      </c>
      <c r="L48" s="122">
        <f ca="1">INDEX(acc_xz,MATCH("Para",Event_para,0))</f>
        <v>9.8284721358060914</v>
      </c>
      <c r="M48" s="124">
        <f ca="1">INDEX(BetaD,MATCH("Para",Event_para,0))</f>
        <v>0.54407402053546305</v>
      </c>
    </row>
    <row r="49" spans="1:13" x14ac:dyDescent="0.2">
      <c r="A49" s="161"/>
      <c r="D49" s="162"/>
      <c r="F49" s="636" t="str">
        <f>IF(Lang="Français","Impact fusée sous para.",IF(Lang="English","Impact of rocket with para. ",""))</f>
        <v>Impact fusée sous para.</v>
      </c>
      <c r="G49" s="636"/>
      <c r="H49" s="125">
        <f ca="1">T_para+Dt_para</f>
        <v>104.55217352182419</v>
      </c>
      <c r="I49" s="127" t="s">
        <v>16</v>
      </c>
      <c r="J49" s="126" t="str">
        <f ca="1">CONCATENATE(TEXT(X_para-Dx_para,"0")," | ",TEXT(X_para+Dx_para,"0"))</f>
        <v>38 | 922</v>
      </c>
      <c r="K49" s="126">
        <f ca="1">V_para</f>
        <v>14.942895127649072</v>
      </c>
      <c r="L49" s="128">
        <f>g</f>
        <v>9.81</v>
      </c>
      <c r="M49" s="128" t="s">
        <v>14</v>
      </c>
    </row>
    <row r="50" spans="1:13" x14ac:dyDescent="0.2">
      <c r="A50" s="161"/>
      <c r="D50" s="162"/>
      <c r="F50" s="634" t="str">
        <f>IF(Lang="Français","Largage du satellite",IF(Lang="English","Satellite separation",""))</f>
        <v>Largage du satellite</v>
      </c>
      <c r="G50" s="622"/>
      <c r="H50" s="122">
        <f>IF(T_satellite&lt;&gt;0,T_satellite,"")</f>
        <v>4.5999999999999996</v>
      </c>
      <c r="I50" s="123">
        <f ca="1">IF(T_satellite&lt;&gt;0,INDEX(pos_z,MATCH("Satellite",Event_sat,0)),"")</f>
        <v>564.96320263534824</v>
      </c>
      <c r="J50" s="129">
        <f ca="1">IF(T_satellite&lt;&gt;0,INDEX(pos_x,MATCH("Satellite",Event_sat,0)),"")</f>
        <v>131.1551130355156</v>
      </c>
      <c r="K50" s="123">
        <f ca="1">IF(T_satellite&lt;&gt;0,INDEX(vit_xz,MATCH("Satellite",Event_sat,0)),"")</f>
        <v>153.12922149896602</v>
      </c>
      <c r="L50" s="122">
        <f ca="1">IF(T_satellite&lt;&gt;0,INDEX(acc_xz,MATCH("Satellite",Event_sat,0)),"")</f>
        <v>20.979608802512438</v>
      </c>
      <c r="M50" s="124">
        <f ca="1">IF(T_satellite&lt;&gt;0,INDEX(BetaD,MATCH("Satellite",Event_sat,0)),"")</f>
        <v>75.426997324279156</v>
      </c>
    </row>
    <row r="51" spans="1:13" x14ac:dyDescent="0.2">
      <c r="A51" s="161"/>
      <c r="B51" s="166" t="str">
        <f>IF(Lang="Français","Rayon exterieur","Half-diameter ext")</f>
        <v>Rayon exterieur</v>
      </c>
      <c r="D51" s="162"/>
      <c r="F51" s="631" t="str">
        <f>IF(Lang="Français","Impact du satellite",IF(Lang="English","Satellite impact",""))</f>
        <v>Impact du satellite</v>
      </c>
      <c r="G51" s="632"/>
      <c r="H51" s="125">
        <f ca="1">IF(T_satellite&lt;&gt;0,T_satellite+Dt_satellite,"")</f>
        <v>49.241492398452557</v>
      </c>
      <c r="I51" s="130" t="str">
        <f>IF(T_satellite&lt;&gt;0,"~0","")</f>
        <v>~0</v>
      </c>
      <c r="J51" s="130" t="str">
        <f ca="1">IF(T_satellite&lt;&gt;0,CONCATENATE(TEXT(X_satellite-Dx_sat,"0")," | ",TEXT(X_satellite+Dx_sat,"0")),"")</f>
        <v>-92 | 354</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-9</v>
      </c>
      <c r="G105" s="478" t="s">
        <v>409</v>
      </c>
      <c r="I105" s="1" t="s">
        <v>560</v>
      </c>
    </row>
    <row r="106" spans="2:9" x14ac:dyDescent="0.2">
      <c r="B106" s="1" t="s">
        <v>121</v>
      </c>
      <c r="F106" s="477">
        <f ca="1">Combustion+Depotage-7</f>
        <v>-7</v>
      </c>
      <c r="G106" s="478" t="s">
        <v>410</v>
      </c>
      <c r="I106" s="1" t="s">
        <v>561</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Satellite sous parachute</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16.2</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1320.237263236472</v>
      </c>
      <c r="C121" s="216">
        <f ca="1">MAX(Altitude_culmi,Portee_balistique)</f>
        <v>1320.237263236472</v>
      </c>
    </row>
    <row r="123" spans="2:3" x14ac:dyDescent="0.2">
      <c r="B123" s="210" t="s">
        <v>49</v>
      </c>
      <c r="C123" s="211" t="s">
        <v>45</v>
      </c>
    </row>
    <row r="124" spans="2:3" x14ac:dyDescent="0.2">
      <c r="B124" s="217">
        <f ca="1">X_para</f>
        <v>480.00149467991025</v>
      </c>
      <c r="C124" s="214">
        <f ca="1">Alt_para</f>
        <v>1320.237263236472</v>
      </c>
    </row>
    <row r="125" spans="2:3" x14ac:dyDescent="0.2">
      <c r="B125" s="217">
        <f ca="1">X_para</f>
        <v>480.00149467991025</v>
      </c>
      <c r="C125" s="214">
        <f ca="1">Alt_para/2</f>
        <v>660.11863161823601</v>
      </c>
    </row>
    <row r="126" spans="2:3" x14ac:dyDescent="0.2">
      <c r="B126" s="217">
        <f ca="1">X_para</f>
        <v>480.00149467991025</v>
      </c>
      <c r="C126" s="214">
        <v>0</v>
      </c>
    </row>
    <row r="127" spans="2:3" x14ac:dyDescent="0.2">
      <c r="B127" s="217">
        <f ca="1">X_para+Alt_para/40</f>
        <v>513.00742626082206</v>
      </c>
      <c r="C127" s="214">
        <f ca="1">Alt_para/20</f>
        <v>66.011863161823598</v>
      </c>
    </row>
    <row r="128" spans="2:3" x14ac:dyDescent="0.2">
      <c r="B128" s="217">
        <f ca="1">X_para</f>
        <v>480.00149467991025</v>
      </c>
      <c r="C128" s="214">
        <v>0</v>
      </c>
    </row>
    <row r="129" spans="2:6" x14ac:dyDescent="0.2">
      <c r="B129" s="217">
        <f ca="1">X_para-Alt_para/40</f>
        <v>446.99556309899845</v>
      </c>
      <c r="C129" s="214">
        <f ca="1">Alt_para/20</f>
        <v>66.011863161823598</v>
      </c>
    </row>
    <row r="130" spans="2:6" x14ac:dyDescent="0.2">
      <c r="B130" s="218">
        <f ca="1">X_para</f>
        <v>480.00149467991025</v>
      </c>
      <c r="C130" s="219">
        <v>0</v>
      </c>
    </row>
    <row r="131" spans="2:6" x14ac:dyDescent="0.2">
      <c r="B131" s="210" t="s">
        <v>48</v>
      </c>
      <c r="C131" s="211" t="s">
        <v>45</v>
      </c>
    </row>
    <row r="132" spans="2:6" x14ac:dyDescent="0.2">
      <c r="B132" s="213">
        <f>T_para</f>
        <v>16.2</v>
      </c>
      <c r="C132" s="214">
        <f ca="1">Alt_para</f>
        <v>1320.237263236472</v>
      </c>
    </row>
    <row r="133" spans="2:6" x14ac:dyDescent="0.2">
      <c r="B133" s="213">
        <f ca="1">(B132+B134)/2</f>
        <v>60.376086760912095</v>
      </c>
      <c r="C133" s="214">
        <f ca="1">(C132+C134)/2</f>
        <v>660.11863161823601</v>
      </c>
      <c r="E133" s="232">
        <v>1</v>
      </c>
      <c r="F133" s="233" t="s">
        <v>175</v>
      </c>
    </row>
    <row r="134" spans="2:6" x14ac:dyDescent="0.2">
      <c r="B134" s="213">
        <f ca="1">H49</f>
        <v>104.55217352182419</v>
      </c>
      <c r="C134" s="214">
        <f>0</f>
        <v>0</v>
      </c>
      <c r="E134" s="161">
        <v>1</v>
      </c>
      <c r="F134" s="234" t="s">
        <v>176</v>
      </c>
    </row>
    <row r="135" spans="2:6" x14ac:dyDescent="0.2">
      <c r="B135" s="213">
        <f ca="1">H49+E133*sS/2*zZ_fus-E134*sS*tT_fus</f>
        <v>103.36173916610831</v>
      </c>
      <c r="C135" s="214">
        <f ca="1">Alt_para-V_para*(H49-T_para)+E133*sS*Altitude_culmi/H49*zZ_fus+E134*sS/2*Altitude_culmi/H49*tT_fus</f>
        <v>61.972418911801178</v>
      </c>
      <c r="E135" s="161"/>
      <c r="F135" s="241" t="s">
        <v>177</v>
      </c>
    </row>
    <row r="136" spans="2:6" x14ac:dyDescent="0.2">
      <c r="B136" s="213">
        <f ca="1">H49</f>
        <v>104.55217352182419</v>
      </c>
      <c r="C136" s="214">
        <f ca="1">Alt_para-V_para*(H49-T_para)</f>
        <v>0</v>
      </c>
      <c r="E136" s="235" t="s">
        <v>172</v>
      </c>
      <c r="F136" s="236">
        <f ca="1">T_balistique/10</f>
        <v>3.4500000000000179</v>
      </c>
    </row>
    <row r="137" spans="2:6" x14ac:dyDescent="0.2">
      <c r="B137" s="213">
        <f ca="1">H49-E133*sS/2*zZ_fus-E134*sS*tT_fus</f>
        <v>99.911739166108291</v>
      </c>
      <c r="C137" s="214">
        <f ca="1">Alt_para-V_para*(H49-T_para)+E133*sS*Altitude_culmi/H49*zZ_fus-E134*sS/2*Altitude_culmi/H49*tT_fus</f>
        <v>25.157640746214064</v>
      </c>
      <c r="E137" s="235" t="s">
        <v>173</v>
      </c>
      <c r="F137" s="236">
        <f ca="1">(H49-T_para)/H49</f>
        <v>0.84505343643938291</v>
      </c>
    </row>
    <row r="138" spans="2:6" x14ac:dyDescent="0.2">
      <c r="B138" s="215">
        <f ca="1">H49</f>
        <v>104.55217352182419</v>
      </c>
      <c r="C138" s="216">
        <f ca="1">Alt_para-V_para*(H49-T_para)</f>
        <v>0</v>
      </c>
      <c r="E138" s="237" t="s">
        <v>174</v>
      </c>
      <c r="F138" s="238">
        <f ca="1">V_para*(H49-T_para)/Alt_para</f>
        <v>1</v>
      </c>
    </row>
    <row r="140" spans="2:6" x14ac:dyDescent="0.2">
      <c r="B140" s="210" t="s">
        <v>51</v>
      </c>
      <c r="C140" s="211" t="s">
        <v>46</v>
      </c>
    </row>
    <row r="141" spans="2:6" x14ac:dyDescent="0.2">
      <c r="B141" s="217">
        <f ca="1">IF(Nb_sat="1 satellite",X_satellite)</f>
        <v>131.1551130355156</v>
      </c>
      <c r="C141" s="214">
        <f ca="1">IF(Nb_sat="1 satellite",Alt_sat)</f>
        <v>564.96320263534824</v>
      </c>
    </row>
    <row r="142" spans="2:6" x14ac:dyDescent="0.2">
      <c r="B142" s="217">
        <f ca="1">IF(Nb_sat="1 satellite",X_satellite)</f>
        <v>131.1551130355156</v>
      </c>
      <c r="C142" s="214">
        <f ca="1">IF(Nb_sat="1 satellite",Alt_sat*1/4)</f>
        <v>141.24080065883706</v>
      </c>
    </row>
    <row r="143" spans="2:6" x14ac:dyDescent="0.2">
      <c r="B143" s="217">
        <f ca="1">IF(Nb_sat="1 satellite",X_satellite)</f>
        <v>131.1551130355156</v>
      </c>
      <c r="C143" s="214">
        <f>IF(Nb_sat="1 satellite",0)</f>
        <v>0</v>
      </c>
    </row>
    <row r="144" spans="2:6" x14ac:dyDescent="0.2">
      <c r="B144" s="217">
        <f ca="1">IF(Nb_sat="1 satellite",X_satellite+Alt_sat/40)</f>
        <v>145.2791931013993</v>
      </c>
      <c r="C144" s="214">
        <f ca="1">IF(Nb_sat="1 satellite",Alt_sat/20)</f>
        <v>28.248160131767413</v>
      </c>
    </row>
    <row r="145" spans="2:6" x14ac:dyDescent="0.2">
      <c r="B145" s="217">
        <f ca="1">IF(Nb_sat="1 satellite",X_satellite)</f>
        <v>131.1551130355156</v>
      </c>
      <c r="C145" s="214">
        <f>IF(Nb_sat="1 satellite",0)</f>
        <v>0</v>
      </c>
    </row>
    <row r="146" spans="2:6" x14ac:dyDescent="0.2">
      <c r="B146" s="217">
        <f ca="1">IF(Nb_sat="1 satellite",X_satellite-Alt_sat/40)</f>
        <v>117.03103296963189</v>
      </c>
      <c r="C146" s="214">
        <f ca="1">IF(Nb_sat="1 satellite",Alt_sat/20)</f>
        <v>28.248160131767413</v>
      </c>
    </row>
    <row r="147" spans="2:6" x14ac:dyDescent="0.2">
      <c r="B147" s="218">
        <f ca="1">IF(Nb_sat="1 satellite",X_satellite)</f>
        <v>131.1551130355156</v>
      </c>
      <c r="C147" s="214">
        <f>IF(Nb_sat="1 satellite",0)</f>
        <v>0</v>
      </c>
    </row>
    <row r="148" spans="2:6" x14ac:dyDescent="0.2">
      <c r="B148" s="210" t="s">
        <v>50</v>
      </c>
      <c r="C148" s="211" t="s">
        <v>46</v>
      </c>
    </row>
    <row r="149" spans="2:6" x14ac:dyDescent="0.2">
      <c r="B149" s="213">
        <f>IF(Nb_sat="1 satellite",T_satellite)</f>
        <v>4.5999999999999996</v>
      </c>
      <c r="C149" s="214">
        <f ca="1">IF(Nb_sat="1 satellite",Alt_sat)</f>
        <v>564.96320263534824</v>
      </c>
      <c r="D149" s="221"/>
    </row>
    <row r="150" spans="2:6" x14ac:dyDescent="0.2">
      <c r="B150" s="213">
        <f ca="1">(B149+B151)/2</f>
        <v>26.920746199226279</v>
      </c>
      <c r="C150" s="214">
        <f ca="1">(C149+C151)/2</f>
        <v>282.48160131767412</v>
      </c>
      <c r="D150" s="221"/>
    </row>
    <row r="151" spans="2:6" x14ac:dyDescent="0.2">
      <c r="B151" s="213">
        <f ca="1">IF(Nb_sat="1 satellite",H51)</f>
        <v>49.241492398452557</v>
      </c>
      <c r="C151" s="214">
        <f>IF(Nb_sat="1 satellite",0)</f>
        <v>0</v>
      </c>
    </row>
    <row r="152" spans="2:6" x14ac:dyDescent="0.2">
      <c r="B152" s="213">
        <f ca="1">IF(Nb_sat="1 satellite",H51+E133*sS/2*zZ_sat-E134*sS*tT_sat)</f>
        <v>47.406863718471143</v>
      </c>
      <c r="C152" s="214">
        <f ca="1">IF(Nb_sat="1 satellite",Alt_sat-V_satellite*(H51-T_satellite)+E133*sS*Altitude_culmi/H51*zZ_sat+E134*sS/2*Altitude_culmi/H51*tT_sat)</f>
        <v>102.03759071735558</v>
      </c>
      <c r="D152" s="221"/>
    </row>
    <row r="153" spans="2:6" x14ac:dyDescent="0.2">
      <c r="B153" s="213">
        <f ca="1">IF(Nb_sat="1 satellite",H51)</f>
        <v>49.241492398452557</v>
      </c>
      <c r="C153" s="214">
        <f>IF(Nb_sat="1 satellite",0)</f>
        <v>0</v>
      </c>
    </row>
    <row r="154" spans="2:6" x14ac:dyDescent="0.2">
      <c r="B154" s="213">
        <f ca="1">IF(Nb_sat="1 satellite",H51-sS/2*zZ_sat-E134*sS*tT_sat)</f>
        <v>45.096121078433939</v>
      </c>
      <c r="C154" s="214">
        <f ca="1">IF(Nb_sat="1 satellite",Alt_sat-V_satellite*(H51-T_satellite)+E133*sS*Altitude_culmi/H51*zZ_sat-E134*sS/2*Altitude_culmi/H51*tT_sat)</f>
        <v>21.871267058141569</v>
      </c>
      <c r="E154" s="239" t="s">
        <v>173</v>
      </c>
      <c r="F154" s="240">
        <f ca="1">(T_balistique-T_satellite)/T_balistique</f>
        <v>0.86666666666666736</v>
      </c>
    </row>
    <row r="155" spans="2:6" x14ac:dyDescent="0.2">
      <c r="B155" s="215">
        <f ca="1">IF(Nb_sat="1 satellite",H51)</f>
        <v>49.241492398452557</v>
      </c>
      <c r="C155" s="216">
        <f>IF(Nb_sat="1 satellite",0)</f>
        <v>0</v>
      </c>
      <c r="E155" s="237" t="s">
        <v>174</v>
      </c>
      <c r="F155" s="238">
        <f ca="1">V_satellite*(T_balistique-T_satellite)/Alt_sat</f>
        <v>0.66978047537309982</v>
      </c>
    </row>
    <row r="157" spans="2:6" x14ac:dyDescent="0.2">
      <c r="B157" s="210" t="s">
        <v>2</v>
      </c>
      <c r="C157" s="228" t="s">
        <v>29</v>
      </c>
      <c r="D157" s="211" t="s">
        <v>3</v>
      </c>
    </row>
    <row r="158" spans="2:6" x14ac:dyDescent="0.2">
      <c r="B158" s="231">
        <f>T_para/4</f>
        <v>4.05</v>
      </c>
      <c r="C158" s="82">
        <f ca="1">Alt_para/2</f>
        <v>660.11863161823601</v>
      </c>
      <c r="D158" s="214">
        <f ca="1">X_para/4</f>
        <v>120.00037366997756</v>
      </c>
    </row>
    <row r="159" spans="2:6" x14ac:dyDescent="0.2">
      <c r="B159" s="229">
        <f ca="1">Temps_culmi + (T_balistique-Temps_culmi)/2</f>
        <v>25.350000000000048</v>
      </c>
      <c r="C159" s="230">
        <f ca="1">Altitude_culmi/2</f>
        <v>660.11863161823601</v>
      </c>
      <c r="D159" s="216">
        <f ca="1">X_culmi+(Portee_balistique-X_culmi)*2/3</f>
        <v>732.83114647928858</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480.00149467991025</v>
      </c>
      <c r="E162" s="422"/>
      <c r="F162" s="423" t="s">
        <v>305</v>
      </c>
    </row>
    <row r="163" spans="2:6" x14ac:dyDescent="0.2">
      <c r="B163" s="231" t="e">
        <f ca="1">IF(AND(Altitude_culmi&gt;80, Altitude_culmi&lt;=350), 49, NA())</f>
        <v>#N/A</v>
      </c>
      <c r="C163" s="5">
        <v>23</v>
      </c>
      <c r="D163" s="82">
        <f t="shared" ca="1" si="0"/>
        <v>503.00149467991025</v>
      </c>
      <c r="E163" s="82"/>
      <c r="F163" s="214">
        <f t="shared" ref="F163:F178" ca="1" si="1">X_culmi-C162</f>
        <v>480.00149467991025</v>
      </c>
    </row>
    <row r="164" spans="2:6" x14ac:dyDescent="0.2">
      <c r="B164" s="231" t="e">
        <f ca="1">IF(AND(Altitude_culmi&gt;80, Altitude_culmi&lt;=350), 43, NA())</f>
        <v>#N/A</v>
      </c>
      <c r="C164" s="5">
        <v>23</v>
      </c>
      <c r="D164" s="82">
        <f t="shared" ca="1" si="0"/>
        <v>503.00149467991025</v>
      </c>
      <c r="E164" s="82"/>
      <c r="F164" s="214">
        <f t="shared" ca="1" si="1"/>
        <v>457.00149467991025</v>
      </c>
    </row>
    <row r="165" spans="2:6" x14ac:dyDescent="0.2">
      <c r="B165" s="231" t="e">
        <f ca="1">IF(AND(Altitude_culmi&gt;80, Altitude_culmi&lt;=350), 43, NA())</f>
        <v>#N/A</v>
      </c>
      <c r="C165" s="5">
        <v>0</v>
      </c>
      <c r="D165" s="82">
        <f t="shared" ca="1" si="0"/>
        <v>480.00149467991025</v>
      </c>
      <c r="E165" s="82"/>
      <c r="F165" s="214">
        <f t="shared" ca="1" si="1"/>
        <v>457.00149467991025</v>
      </c>
    </row>
    <row r="166" spans="2:6" x14ac:dyDescent="0.2">
      <c r="B166" s="231" t="e">
        <f ca="1">IF(AND(Altitude_culmi&gt;80, Altitude_culmi&lt;=350), 43, NA())</f>
        <v>#N/A</v>
      </c>
      <c r="C166" s="5">
        <v>23</v>
      </c>
      <c r="D166" s="82">
        <f t="shared" ca="1" si="0"/>
        <v>503.00149467991025</v>
      </c>
      <c r="E166" s="82"/>
      <c r="F166" s="214">
        <f t="shared" ca="1" si="1"/>
        <v>480.00149467991025</v>
      </c>
    </row>
    <row r="167" spans="2:6" x14ac:dyDescent="0.2">
      <c r="B167" s="231" t="e">
        <f ca="1">IF(AND(Altitude_culmi&gt;80, Altitude_culmi&lt;=350), 0.5, NA())</f>
        <v>#N/A</v>
      </c>
      <c r="C167" s="5">
        <v>23</v>
      </c>
      <c r="D167" s="82">
        <f t="shared" ca="1" si="0"/>
        <v>503.00149467991025</v>
      </c>
      <c r="E167" s="82"/>
      <c r="F167" s="214">
        <f t="shared" ca="1" si="1"/>
        <v>457.00149467991025</v>
      </c>
    </row>
    <row r="168" spans="2:6" x14ac:dyDescent="0.2">
      <c r="B168" s="231" t="e">
        <f ca="1">IF(AND(Altitude_culmi&gt;80, Altitude_culmi&lt;=350), 0.5, NA())</f>
        <v>#N/A</v>
      </c>
      <c r="C168" s="5">
        <v>8</v>
      </c>
      <c r="D168" s="82">
        <f t="shared" ca="1" si="0"/>
        <v>488.00149467991025</v>
      </c>
      <c r="E168" s="82"/>
      <c r="F168" s="214">
        <f t="shared" ca="1" si="1"/>
        <v>457.00149467991025</v>
      </c>
    </row>
    <row r="169" spans="2:6" x14ac:dyDescent="0.2">
      <c r="B169" s="231" t="e">
        <f ca="1">IF(AND(Altitude_culmi&gt;80, Altitude_culmi&lt;=350), 27, NA())</f>
        <v>#N/A</v>
      </c>
      <c r="C169" s="5">
        <v>8</v>
      </c>
      <c r="D169" s="82">
        <f t="shared" ca="1" si="0"/>
        <v>488.00149467991025</v>
      </c>
      <c r="E169" s="82"/>
      <c r="F169" s="214">
        <f t="shared" ca="1" si="1"/>
        <v>472.00149467991025</v>
      </c>
    </row>
    <row r="170" spans="2:6" x14ac:dyDescent="0.2">
      <c r="B170" s="231" t="e">
        <f ca="1">IF(AND(Altitude_culmi&gt;80, Altitude_culmi&lt;=350), 27, NA())</f>
        <v>#N/A</v>
      </c>
      <c r="C170" s="5">
        <v>23</v>
      </c>
      <c r="D170" s="82">
        <f t="shared" ca="1" si="0"/>
        <v>503.00149467991025</v>
      </c>
      <c r="E170" s="82"/>
      <c r="F170" s="214">
        <f t="shared" ca="1" si="1"/>
        <v>472.00149467991025</v>
      </c>
    </row>
    <row r="171" spans="2:6" x14ac:dyDescent="0.2">
      <c r="B171" s="231" t="e">
        <f ca="1">IF(AND(Altitude_culmi&gt;80, Altitude_culmi&lt;=350), 27, NA())</f>
        <v>#N/A</v>
      </c>
      <c r="C171" s="5">
        <v>8</v>
      </c>
      <c r="D171" s="82">
        <f t="shared" ca="1" si="0"/>
        <v>488.00149467991025</v>
      </c>
      <c r="E171" s="82"/>
      <c r="F171" s="214">
        <f t="shared" ca="1" si="1"/>
        <v>457.00149467991025</v>
      </c>
    </row>
    <row r="172" spans="2:6" x14ac:dyDescent="0.2">
      <c r="B172" s="231" t="e">
        <f ca="1">IF(AND(Altitude_culmi&gt;80, Altitude_culmi&lt;=350), 29, NA())</f>
        <v>#N/A</v>
      </c>
      <c r="C172" s="5">
        <v>7.6</v>
      </c>
      <c r="D172" s="82">
        <f t="shared" ca="1" si="0"/>
        <v>487.60149467991027</v>
      </c>
      <c r="E172" s="82"/>
      <c r="F172" s="214">
        <f t="shared" ca="1" si="1"/>
        <v>472.00149467991025</v>
      </c>
    </row>
    <row r="173" spans="2:6" x14ac:dyDescent="0.2">
      <c r="B173" s="231" t="e">
        <f ca="1">IF(AND(Altitude_culmi&gt;80, Altitude_culmi&lt;=350), 31, NA())</f>
        <v>#N/A</v>
      </c>
      <c r="C173" s="5">
        <v>6.8</v>
      </c>
      <c r="D173" s="82">
        <f t="shared" ca="1" si="0"/>
        <v>486.80149467991026</v>
      </c>
      <c r="E173" s="82"/>
      <c r="F173" s="214">
        <f t="shared" ca="1" si="1"/>
        <v>472.40149467991023</v>
      </c>
    </row>
    <row r="174" spans="2:6" x14ac:dyDescent="0.2">
      <c r="B174" s="231" t="e">
        <f ca="1">IF(AND(Altitude_culmi&gt;80, Altitude_culmi&lt;=350), 32, NA())</f>
        <v>#N/A</v>
      </c>
      <c r="C174" s="5">
        <v>6</v>
      </c>
      <c r="D174" s="82">
        <f t="shared" ca="1" si="0"/>
        <v>486.00149467991025</v>
      </c>
      <c r="E174" s="82"/>
      <c r="F174" s="214">
        <f t="shared" ca="1" si="1"/>
        <v>473.20149467991024</v>
      </c>
    </row>
    <row r="175" spans="2:6" x14ac:dyDescent="0.2">
      <c r="B175" s="231" t="e">
        <f ca="1">IF(AND(Altitude_culmi&gt;80, Altitude_culmi&lt;=350), 33, NA())</f>
        <v>#N/A</v>
      </c>
      <c r="C175" s="5">
        <v>5</v>
      </c>
      <c r="D175" s="82">
        <f t="shared" ca="1" si="0"/>
        <v>485.00149467991025</v>
      </c>
      <c r="E175" s="82"/>
      <c r="F175" s="214">
        <f t="shared" ca="1" si="1"/>
        <v>474.00149467991025</v>
      </c>
    </row>
    <row r="176" spans="2:6" x14ac:dyDescent="0.2">
      <c r="B176" s="231" t="e">
        <f ca="1">IF(AND(Altitude_culmi&gt;80, Altitude_culmi&lt;=350), 34, NA())</f>
        <v>#N/A</v>
      </c>
      <c r="C176" s="5">
        <v>3.8</v>
      </c>
      <c r="D176" s="82">
        <f t="shared" ca="1" si="0"/>
        <v>483.80149467991026</v>
      </c>
      <c r="E176" s="82"/>
      <c r="F176" s="214">
        <f t="shared" ca="1" si="1"/>
        <v>475.00149467991025</v>
      </c>
    </row>
    <row r="177" spans="2:6" x14ac:dyDescent="0.2">
      <c r="B177" s="229" t="e">
        <f ca="1">IF(AND(Altitude_culmi&gt;80, Altitude_culmi&lt;=350), 35, NA())</f>
        <v>#N/A</v>
      </c>
      <c r="C177" s="421">
        <v>0</v>
      </c>
      <c r="D177" s="230">
        <f t="shared" ca="1" si="0"/>
        <v>480.00149467991025</v>
      </c>
      <c r="E177" s="82"/>
      <c r="F177" s="214">
        <f t="shared" ca="1" si="1"/>
        <v>476.20149467991024</v>
      </c>
    </row>
    <row r="178" spans="2:6" x14ac:dyDescent="0.2">
      <c r="E178" s="230"/>
      <c r="F178" s="216">
        <f t="shared" ca="1" si="1"/>
        <v>480.00149467991025</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480.00149467991025</v>
      </c>
      <c r="E180" s="228"/>
      <c r="F180" s="211" t="s">
        <v>308</v>
      </c>
    </row>
    <row r="181" spans="2:6" x14ac:dyDescent="0.2">
      <c r="B181" s="231">
        <f ca="1">IF(Altitude_culmi&gt;350, 300, NA())</f>
        <v>300</v>
      </c>
      <c r="C181" s="5">
        <v>0</v>
      </c>
      <c r="D181" s="82">
        <f t="shared" ca="1" si="2"/>
        <v>480.00149467991025</v>
      </c>
      <c r="E181" s="82"/>
      <c r="F181" s="214">
        <f t="shared" ref="F181:F201" ca="1" si="3">X_culmi-C180</f>
        <v>480.00149467991025</v>
      </c>
    </row>
    <row r="182" spans="2:6" x14ac:dyDescent="0.2">
      <c r="B182" s="231">
        <f ca="1">IF(Altitude_culmi&gt;350, 280, NA())</f>
        <v>280</v>
      </c>
      <c r="C182" s="5">
        <v>10</v>
      </c>
      <c r="D182" s="82">
        <f t="shared" ca="1" si="2"/>
        <v>490.00149467991025</v>
      </c>
      <c r="E182" s="82"/>
      <c r="F182" s="214">
        <f t="shared" ca="1" si="3"/>
        <v>480.00149467991025</v>
      </c>
    </row>
    <row r="183" spans="2:6" x14ac:dyDescent="0.2">
      <c r="B183" s="231">
        <f ca="1">IF(Altitude_culmi&gt;350, 280, NA())</f>
        <v>280</v>
      </c>
      <c r="C183" s="5">
        <v>0</v>
      </c>
      <c r="D183" s="82">
        <f t="shared" ca="1" si="2"/>
        <v>480.00149467991025</v>
      </c>
      <c r="E183" s="82"/>
      <c r="F183" s="214">
        <f t="shared" ca="1" si="3"/>
        <v>470.00149467991025</v>
      </c>
    </row>
    <row r="184" spans="2:6" x14ac:dyDescent="0.2">
      <c r="B184" s="231">
        <f ca="1">IF(Altitude_culmi&gt;350, 280, NA())</f>
        <v>280</v>
      </c>
      <c r="C184" s="5">
        <v>10</v>
      </c>
      <c r="D184" s="82">
        <f t="shared" ca="1" si="2"/>
        <v>490.00149467991025</v>
      </c>
      <c r="E184" s="82"/>
      <c r="F184" s="214">
        <f t="shared" ca="1" si="3"/>
        <v>480.00149467991025</v>
      </c>
    </row>
    <row r="185" spans="2:6" x14ac:dyDescent="0.2">
      <c r="B185" s="231">
        <f ca="1">IF(Altitude_culmi&gt;350, 200, NA())</f>
        <v>200</v>
      </c>
      <c r="C185" s="5">
        <v>13</v>
      </c>
      <c r="D185" s="82">
        <f t="shared" ca="1" si="2"/>
        <v>493.00149467991025</v>
      </c>
      <c r="E185" s="82"/>
      <c r="F185" s="214">
        <f t="shared" ca="1" si="3"/>
        <v>470.00149467991025</v>
      </c>
    </row>
    <row r="186" spans="2:6" x14ac:dyDescent="0.2">
      <c r="B186" s="231">
        <f ca="1">IF(Altitude_culmi&gt;350, 160, NA())</f>
        <v>160</v>
      </c>
      <c r="C186" s="5">
        <v>17</v>
      </c>
      <c r="D186" s="82">
        <f t="shared" ca="1" si="2"/>
        <v>497.00149467991025</v>
      </c>
      <c r="E186" s="82"/>
      <c r="F186" s="214">
        <f t="shared" ca="1" si="3"/>
        <v>467.00149467991025</v>
      </c>
    </row>
    <row r="187" spans="2:6" x14ac:dyDescent="0.2">
      <c r="B187" s="231">
        <f ca="1">IF(Altitude_culmi&gt;350, 115, NA())</f>
        <v>115</v>
      </c>
      <c r="C187" s="5">
        <v>20</v>
      </c>
      <c r="D187" s="82">
        <f t="shared" ca="1" si="2"/>
        <v>500.00149467991025</v>
      </c>
      <c r="E187" s="82"/>
      <c r="F187" s="214">
        <f t="shared" ca="1" si="3"/>
        <v>463.00149467991025</v>
      </c>
    </row>
    <row r="188" spans="2:6" x14ac:dyDescent="0.2">
      <c r="B188" s="231">
        <f ca="1">IF(Altitude_culmi&gt;350, 90, NA())</f>
        <v>90</v>
      </c>
      <c r="C188" s="5">
        <v>25</v>
      </c>
      <c r="D188" s="82">
        <f t="shared" ca="1" si="2"/>
        <v>505.00149467991025</v>
      </c>
      <c r="E188" s="82"/>
      <c r="F188" s="214">
        <f t="shared" ca="1" si="3"/>
        <v>460.00149467991025</v>
      </c>
    </row>
    <row r="189" spans="2:6" x14ac:dyDescent="0.2">
      <c r="B189" s="231">
        <f ca="1">IF(Altitude_culmi&gt;350, 57, NA())</f>
        <v>57</v>
      </c>
      <c r="C189" s="5">
        <v>30</v>
      </c>
      <c r="D189" s="82">
        <f t="shared" ca="1" si="2"/>
        <v>510.00149467991025</v>
      </c>
      <c r="E189" s="82"/>
      <c r="F189" s="214">
        <f t="shared" ca="1" si="3"/>
        <v>455.00149467991025</v>
      </c>
    </row>
    <row r="190" spans="2:6" x14ac:dyDescent="0.2">
      <c r="B190" s="231">
        <f ca="1">IF(Altitude_culmi&gt;350, 40, NA())</f>
        <v>40</v>
      </c>
      <c r="C190" s="5">
        <v>36</v>
      </c>
      <c r="D190" s="82">
        <f t="shared" ca="1" si="2"/>
        <v>516.00149467991025</v>
      </c>
      <c r="E190" s="82"/>
      <c r="F190" s="214">
        <f t="shared" ca="1" si="3"/>
        <v>450.00149467991025</v>
      </c>
    </row>
    <row r="191" spans="2:6" x14ac:dyDescent="0.2">
      <c r="B191" s="231">
        <f ca="1">IF(Altitude_culmi&gt;350, 20, NA())</f>
        <v>20</v>
      </c>
      <c r="C191" s="5">
        <v>48</v>
      </c>
      <c r="D191" s="82">
        <f t="shared" ca="1" si="2"/>
        <v>528.00149467991025</v>
      </c>
      <c r="E191" s="82"/>
      <c r="F191" s="214">
        <f t="shared" ca="1" si="3"/>
        <v>444.00149467991025</v>
      </c>
    </row>
    <row r="192" spans="2:6" x14ac:dyDescent="0.2">
      <c r="B192" s="231">
        <f ca="1">IF(Altitude_culmi&gt;350, 0.5, NA())</f>
        <v>0.5</v>
      </c>
      <c r="C192" s="5">
        <v>62</v>
      </c>
      <c r="D192" s="82">
        <f t="shared" ca="1" si="2"/>
        <v>542.00149467991025</v>
      </c>
      <c r="E192" s="82"/>
      <c r="F192" s="214">
        <f t="shared" ca="1" si="3"/>
        <v>432.00149467991025</v>
      </c>
    </row>
    <row r="193" spans="2:6" x14ac:dyDescent="0.2">
      <c r="B193" s="231">
        <f ca="1">IF(Altitude_culmi&gt;350, 0.5, NA())</f>
        <v>0.5</v>
      </c>
      <c r="C193" s="5">
        <v>37</v>
      </c>
      <c r="D193" s="82">
        <f t="shared" ca="1" si="2"/>
        <v>517.00149467991025</v>
      </c>
      <c r="E193" s="82"/>
      <c r="F193" s="214">
        <f t="shared" ca="1" si="3"/>
        <v>418.00149467991025</v>
      </c>
    </row>
    <row r="194" spans="2:6" x14ac:dyDescent="0.2">
      <c r="B194" s="231">
        <f ca="1">IF(Altitude_culmi&gt;350, 15, NA())</f>
        <v>15</v>
      </c>
      <c r="C194" s="5">
        <v>30</v>
      </c>
      <c r="D194" s="82">
        <f t="shared" ca="1" si="2"/>
        <v>510.00149467991025</v>
      </c>
      <c r="E194" s="82"/>
      <c r="F194" s="214">
        <f t="shared" ca="1" si="3"/>
        <v>443.00149467991025</v>
      </c>
    </row>
    <row r="195" spans="2:6" x14ac:dyDescent="0.2">
      <c r="B195" s="231">
        <f ca="1">IF(Altitude_culmi&gt;350, 30, NA())</f>
        <v>30</v>
      </c>
      <c r="C195" s="5">
        <v>15</v>
      </c>
      <c r="D195" s="82">
        <f t="shared" ca="1" si="2"/>
        <v>495.00149467991025</v>
      </c>
      <c r="E195" s="82"/>
      <c r="F195" s="214">
        <f t="shared" ca="1" si="3"/>
        <v>450.00149467991025</v>
      </c>
    </row>
    <row r="196" spans="2:6" x14ac:dyDescent="0.2">
      <c r="B196" s="231">
        <f ca="1">IF(Altitude_culmi&gt;350, 37, NA())</f>
        <v>37</v>
      </c>
      <c r="C196" s="5">
        <v>0</v>
      </c>
      <c r="D196" s="82">
        <f t="shared" ca="1" si="2"/>
        <v>480.00149467991025</v>
      </c>
      <c r="E196" s="82"/>
      <c r="F196" s="214">
        <f t="shared" ca="1" si="3"/>
        <v>465.00149467991025</v>
      </c>
    </row>
    <row r="197" spans="2:6" x14ac:dyDescent="0.2">
      <c r="B197" s="231">
        <f ca="1">IF(Altitude_culmi&gt;350, 67, NA())</f>
        <v>67</v>
      </c>
      <c r="C197" s="5">
        <v>0</v>
      </c>
      <c r="D197" s="82">
        <f t="shared" ca="1" si="2"/>
        <v>480.00149467991025</v>
      </c>
      <c r="E197" s="82"/>
      <c r="F197" s="214">
        <f t="shared" ca="1" si="3"/>
        <v>480.00149467991025</v>
      </c>
    </row>
    <row r="198" spans="2:6" x14ac:dyDescent="0.2">
      <c r="B198" s="231">
        <f ca="1">IF(Altitude_culmi&gt;350, 67, NA())</f>
        <v>67</v>
      </c>
      <c r="C198" s="5">
        <v>17</v>
      </c>
      <c r="D198" s="82">
        <f t="shared" ca="1" si="2"/>
        <v>497.00149467991025</v>
      </c>
      <c r="E198" s="82"/>
      <c r="F198" s="214">
        <f t="shared" ca="1" si="3"/>
        <v>480.00149467991025</v>
      </c>
    </row>
    <row r="199" spans="2:6" x14ac:dyDescent="0.2">
      <c r="B199" s="231">
        <f ca="1">IF(Altitude_culmi&gt;350, 100, NA())</f>
        <v>100</v>
      </c>
      <c r="C199" s="5">
        <v>11</v>
      </c>
      <c r="D199" s="82">
        <f t="shared" ca="1" si="2"/>
        <v>491.00149467991025</v>
      </c>
      <c r="E199" s="82"/>
      <c r="F199" s="214">
        <f t="shared" ca="1" si="3"/>
        <v>463.00149467991025</v>
      </c>
    </row>
    <row r="200" spans="2:6" x14ac:dyDescent="0.2">
      <c r="B200" s="229">
        <f ca="1">IF(Altitude_culmi&gt;350, 100, NA())</f>
        <v>100</v>
      </c>
      <c r="C200" s="421">
        <v>0</v>
      </c>
      <c r="D200" s="230">
        <f t="shared" ca="1" si="2"/>
        <v>480.00149467991025</v>
      </c>
      <c r="E200" s="82"/>
      <c r="F200" s="214">
        <f t="shared" ca="1" si="3"/>
        <v>469.00149467991025</v>
      </c>
    </row>
    <row r="201" spans="2:6" x14ac:dyDescent="0.2">
      <c r="E201" s="230"/>
      <c r="F201" s="216">
        <f t="shared" ca="1" si="3"/>
        <v>480.00149467991025</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F51:G51"/>
    <mergeCell ref="F42:G42"/>
    <mergeCell ref="F43:G43"/>
    <mergeCell ref="F44:G44"/>
    <mergeCell ref="F45:G45"/>
    <mergeCell ref="F50:G50"/>
    <mergeCell ref="F46:G46"/>
    <mergeCell ref="F47:G47"/>
    <mergeCell ref="F49:G49"/>
    <mergeCell ref="F48:G48"/>
    <mergeCell ref="C16:D16"/>
    <mergeCell ref="C11:D11"/>
    <mergeCell ref="C20:D20"/>
    <mergeCell ref="C21:D21"/>
    <mergeCell ref="C12:D12"/>
    <mergeCell ref="C14:D14"/>
    <mergeCell ref="C15:D15"/>
    <mergeCell ref="C19:D19"/>
    <mergeCell ref="C23:D23"/>
    <mergeCell ref="C18:D18"/>
    <mergeCell ref="F24:G24"/>
    <mergeCell ref="F28:G28"/>
    <mergeCell ref="F27:G27"/>
    <mergeCell ref="F25:G25"/>
    <mergeCell ref="F26:G26"/>
    <mergeCell ref="H35:I35"/>
    <mergeCell ref="H34:I34"/>
    <mergeCell ref="F29:G29"/>
    <mergeCell ref="H33:I33"/>
    <mergeCell ref="A40:D40"/>
    <mergeCell ref="H36:I36"/>
    <mergeCell ref="F36:G36"/>
    <mergeCell ref="F35:G35"/>
    <mergeCell ref="F34:G34"/>
    <mergeCell ref="F40:G40"/>
    <mergeCell ref="C10:D10"/>
    <mergeCell ref="C5:D5"/>
    <mergeCell ref="C2:D3"/>
    <mergeCell ref="C7:D7"/>
    <mergeCell ref="C8:D8"/>
    <mergeCell ref="C9:D9"/>
    <mergeCell ref="C6:D6"/>
    <mergeCell ref="C4:D4"/>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topLeftCell="A250"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Barasinga (Pro54-5G C)</v>
      </c>
      <c r="B2" s="352">
        <f>VLOOKUP(A2,A26:B314,2,FALSE)</f>
        <v>279</v>
      </c>
      <c r="C2" s="363" t="s">
        <v>115</v>
      </c>
      <c r="D2" s="353">
        <f ca="1">INDIRECT(ADDRESS(B2,4))</f>
        <v>2058.37</v>
      </c>
      <c r="E2" s="363" t="s">
        <v>114</v>
      </c>
      <c r="F2" s="354">
        <f ca="1">INDIRECT(ADDRESS(B2,6))</f>
        <v>203.12066731598335</v>
      </c>
      <c r="G2" s="363" t="s">
        <v>56</v>
      </c>
      <c r="H2" s="355">
        <f ca="1">INDIRECT(ADDRESS(B2,8))</f>
        <v>1.6850000000000001</v>
      </c>
      <c r="I2" s="363" t="s">
        <v>273</v>
      </c>
      <c r="J2" s="356">
        <f ca="1">INDIRECT(ADDRESS(B2,10))</f>
        <v>1.0329999999999999</v>
      </c>
      <c r="K2" s="363" t="s">
        <v>58</v>
      </c>
      <c r="L2" s="355">
        <f ca="1">INDIRECT(ADDRESS(B2,12))</f>
        <v>0.65200000000000002</v>
      </c>
      <c r="M2" s="363" t="s">
        <v>57</v>
      </c>
      <c r="N2" s="357">
        <f ca="1">INDIRECT(ADDRESS(B2,14))</f>
        <v>250</v>
      </c>
      <c r="O2" s="363" t="s">
        <v>59</v>
      </c>
      <c r="P2" s="357">
        <f ca="1">INDIRECT(ADDRESS(B2,16))</f>
        <v>240</v>
      </c>
      <c r="Q2" s="363" t="s">
        <v>60</v>
      </c>
      <c r="R2" s="357">
        <f ca="1">INDIRECT(ADDRESS(B2,18))</f>
        <v>488</v>
      </c>
      <c r="S2" s="363" t="s">
        <v>61</v>
      </c>
      <c r="T2" s="357">
        <f ca="1">INDIRECT(ADDRESS(B2,20))</f>
        <v>54</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0.05</v>
      </c>
      <c r="D3" s="365">
        <f t="shared" ca="1" si="0"/>
        <v>0.5</v>
      </c>
      <c r="E3" s="365">
        <f t="shared" ca="1" si="0"/>
        <v>1</v>
      </c>
      <c r="F3" s="365">
        <f t="shared" ca="1" si="0"/>
        <v>1.5</v>
      </c>
      <c r="G3" s="365">
        <f t="shared" ca="1" si="0"/>
        <v>2</v>
      </c>
      <c r="H3" s="365">
        <f t="shared" ca="1" si="0"/>
        <v>2.5</v>
      </c>
      <c r="I3" s="365">
        <f t="shared" ca="1" si="0"/>
        <v>2.97</v>
      </c>
      <c r="J3" s="365">
        <f t="shared" ca="1" si="0"/>
        <v>3.2</v>
      </c>
      <c r="K3" s="365">
        <f t="shared" ca="1" si="0"/>
        <v>3.47</v>
      </c>
      <c r="L3" s="365">
        <f t="shared" ca="1" si="0"/>
        <v>3.59</v>
      </c>
      <c r="M3" s="365">
        <f t="shared" ca="1" si="0"/>
        <v>3.59</v>
      </c>
      <c r="N3" s="365">
        <f t="shared" ca="1" si="0"/>
        <v>3.59</v>
      </c>
      <c r="O3" s="365">
        <f t="shared" ca="1" si="0"/>
        <v>3.59</v>
      </c>
      <c r="P3" s="365">
        <f t="shared" ca="1" si="0"/>
        <v>3.59</v>
      </c>
      <c r="Q3" s="365">
        <f t="shared" ca="1" si="0"/>
        <v>3.59</v>
      </c>
      <c r="R3" s="365">
        <f t="shared" ca="1" si="0"/>
        <v>3.59</v>
      </c>
      <c r="S3" s="365">
        <f t="shared" ca="1" si="0"/>
        <v>3.59</v>
      </c>
      <c r="T3" s="365">
        <f t="shared" ca="1" si="0"/>
        <v>3.59</v>
      </c>
      <c r="U3" s="365">
        <f t="shared" ca="1" si="0"/>
        <v>3.59</v>
      </c>
      <c r="V3" s="365">
        <f t="shared" ca="1" si="0"/>
        <v>3.59</v>
      </c>
      <c r="W3" s="365">
        <f t="shared" ca="1" si="0"/>
        <v>3.59</v>
      </c>
      <c r="X3" s="365">
        <f ca="1">INDIRECT(ADDRESS($B2+1,COLUMN(X3)))</f>
        <v>3.59</v>
      </c>
      <c r="Y3" s="366">
        <f t="shared" ca="1" si="0"/>
        <v>1000</v>
      </c>
    </row>
    <row r="4" spans="1:26" ht="13.5" thickBot="1" x14ac:dyDescent="0.25">
      <c r="A4" s="379" t="str">
        <f>IF(Lang="Français","Poussée (en N)","Thrust (N)")</f>
        <v>Poussée (en N)</v>
      </c>
      <c r="B4" s="367">
        <f t="shared" ref="B4:Y4" ca="1" si="1">INDIRECT(ADDRESS($B2+2,COLUMN(B3)))</f>
        <v>0</v>
      </c>
      <c r="C4" s="368">
        <f t="shared" ca="1" si="1"/>
        <v>893</v>
      </c>
      <c r="D4" s="368">
        <f t="shared" ca="1" si="1"/>
        <v>798</v>
      </c>
      <c r="E4" s="368">
        <f t="shared" ca="1" si="1"/>
        <v>739</v>
      </c>
      <c r="F4" s="368">
        <f t="shared" ca="1" si="1"/>
        <v>659</v>
      </c>
      <c r="G4" s="368">
        <f t="shared" ca="1" si="1"/>
        <v>586</v>
      </c>
      <c r="H4" s="368">
        <f t="shared" ca="1" si="1"/>
        <v>513</v>
      </c>
      <c r="I4" s="368">
        <f t="shared" ca="1" si="1"/>
        <v>417</v>
      </c>
      <c r="J4" s="368">
        <f t="shared" ca="1" si="1"/>
        <v>225</v>
      </c>
      <c r="K4" s="368">
        <f t="shared" ca="1" si="1"/>
        <v>67</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40" t="s">
        <v>276</v>
      </c>
      <c r="D316" s="641"/>
      <c r="F316" s="640" t="s">
        <v>181</v>
      </c>
      <c r="G316" s="641"/>
      <c r="H316" s="12"/>
      <c r="I316" s="640" t="s">
        <v>397</v>
      </c>
      <c r="J316" s="641"/>
      <c r="K316" s="12"/>
      <c r="L316" s="640" t="s">
        <v>182</v>
      </c>
      <c r="M316" s="641"/>
      <c r="O316" s="640" t="s">
        <v>396</v>
      </c>
      <c r="P316" s="641"/>
      <c r="R316" s="640" t="s">
        <v>118</v>
      </c>
      <c r="S316" s="641"/>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2" t="str">
        <f>A26</f>
        <v>H2O 1.5L 300g 6bar</v>
      </c>
      <c r="D317" s="643"/>
      <c r="F317" s="642" t="str">
        <f>A67</f>
        <v>µ-propu A8-3</v>
      </c>
      <c r="G317" s="643"/>
      <c r="H317" s="472"/>
      <c r="I317" s="644" t="str">
        <f>A148</f>
        <v>p29-1G 56F31</v>
      </c>
      <c r="J317" s="645"/>
      <c r="K317" s="472"/>
      <c r="L317" s="644" t="str">
        <f>A158</f>
        <v>p29-1G 57F59</v>
      </c>
      <c r="M317" s="645"/>
      <c r="O317" s="642" t="str">
        <f>A108</f>
        <v>p24-1G 24E22</v>
      </c>
      <c r="P317" s="643"/>
      <c r="R317" s="642" t="str">
        <f>A284</f>
        <v>Pro54-5G WT</v>
      </c>
      <c r="S317" s="643"/>
    </row>
    <row r="318" spans="1:25" x14ac:dyDescent="0.2">
      <c r="A318" s="398" t="str">
        <v>Barasinga (Pro54-5G C)</v>
      </c>
      <c r="C318" s="642" t="str">
        <f>A31</f>
        <v>H2O 1.5L 450g 6bar</v>
      </c>
      <c r="D318" s="643"/>
      <c r="F318" s="642" t="str">
        <f>A72</f>
        <v>µ-propu B4-4</v>
      </c>
      <c r="G318" s="643"/>
      <c r="H318" s="472"/>
      <c r="I318" s="644" t="str">
        <f>A153</f>
        <v>p29-1G 56F120</v>
      </c>
      <c r="J318" s="645"/>
      <c r="K318" s="472"/>
      <c r="L318" s="644" t="str">
        <f>A183</f>
        <v>p24-3G 74F85</v>
      </c>
      <c r="M318" s="645"/>
      <c r="O318" s="642" t="str">
        <f>A113</f>
        <v>p24-1G 25E75 (Rufina)</v>
      </c>
      <c r="P318" s="643"/>
      <c r="R318" s="642" t="str">
        <f>A279</f>
        <v>Barasinga (Pro54-5G C)</v>
      </c>
      <c r="S318" s="643"/>
    </row>
    <row r="319" spans="1:25" x14ac:dyDescent="0.2">
      <c r="A319" s="398" t="str">
        <v>Orignal (Pro75-3G C)</v>
      </c>
      <c r="C319" s="642" t="str">
        <f>A36</f>
        <v>H2O 1.5L 600g 6bar</v>
      </c>
      <c r="D319" s="643"/>
      <c r="F319" s="642" t="str">
        <f>A77</f>
        <v>µ-propu C6-3</v>
      </c>
      <c r="G319" s="643"/>
      <c r="H319" s="472"/>
      <c r="I319" s="644" t="str">
        <f>A158</f>
        <v>p29-1G 57F59</v>
      </c>
      <c r="J319" s="645"/>
      <c r="K319" s="472"/>
      <c r="L319" s="644" t="str">
        <f>A188</f>
        <v>p24-3G 75F51</v>
      </c>
      <c r="M319" s="645"/>
      <c r="O319" s="642" t="str">
        <f>A118</f>
        <v>p24-1G 26E31</v>
      </c>
      <c r="P319" s="643"/>
      <c r="R319" s="642" t="str">
        <f>A289</f>
        <v>Orignal (Pro75-3G C)</v>
      </c>
      <c r="S319" s="643"/>
    </row>
    <row r="320" spans="1:25" x14ac:dyDescent="0.2">
      <c r="A320" s="398" t="str">
        <v>Pro98-6G Green</v>
      </c>
      <c r="C320" s="642" t="str">
        <f>A41</f>
        <v>H2O 1.5L 750g 6bar</v>
      </c>
      <c r="D320" s="643"/>
      <c r="F320" s="642" t="str">
        <f>A82</f>
        <v>µ-propu C6-3 x2</v>
      </c>
      <c r="G320" s="643"/>
      <c r="H320" s="472"/>
      <c r="I320" s="644" t="str">
        <f>A183</f>
        <v>p24-3G 74F85</v>
      </c>
      <c r="J320" s="645"/>
      <c r="K320" s="472"/>
      <c r="L320" s="644" t="str">
        <f>A228</f>
        <v>p29-2G 116G126</v>
      </c>
      <c r="M320" s="645"/>
      <c r="O320" s="642" t="str">
        <f>A123</f>
        <v>p24-2G 50E51</v>
      </c>
      <c r="P320" s="643"/>
      <c r="R320" s="642" t="str">
        <f>A294</f>
        <v>Pro98-6G Green</v>
      </c>
      <c r="S320" s="643"/>
    </row>
    <row r="321" spans="1:19" x14ac:dyDescent="0.2">
      <c r="A321" s="398" t="str">
        <v xml:space="preserve"> </v>
      </c>
      <c r="C321" s="642" t="str">
        <f>A46</f>
        <v>H2O 2.0L 400g 6bar</v>
      </c>
      <c r="D321" s="643"/>
      <c r="F321" s="642" t="str">
        <f>A87</f>
        <v>µ-propu C6-3 x3</v>
      </c>
      <c r="G321" s="643"/>
      <c r="H321" s="472"/>
      <c r="I321" s="644" t="str">
        <f>A188</f>
        <v>p24-3G 75F51</v>
      </c>
      <c r="J321" s="645"/>
      <c r="K321" s="472"/>
      <c r="L321" s="644" t="str">
        <f>A198</f>
        <v>Pandora (Pro24-6G BS)</v>
      </c>
      <c r="M321" s="645"/>
      <c r="O321" s="642" t="str">
        <f>A128</f>
        <v>p24-1G 53E70</v>
      </c>
      <c r="P321" s="643"/>
      <c r="R321" s="642" t="s">
        <v>183</v>
      </c>
      <c r="S321" s="643"/>
    </row>
    <row r="322" spans="1:19" x14ac:dyDescent="0.2">
      <c r="A322" s="398" t="str">
        <v xml:space="preserve"> </v>
      </c>
      <c r="C322" s="642" t="str">
        <f>A51</f>
        <v>H2O 2.0L 600g 6bar</v>
      </c>
      <c r="D322" s="643"/>
      <c r="F322" s="642" t="s">
        <v>183</v>
      </c>
      <c r="G322" s="643"/>
      <c r="H322" s="472"/>
      <c r="I322" s="644" t="s">
        <v>183</v>
      </c>
      <c r="J322" s="645"/>
      <c r="K322" s="472"/>
      <c r="L322" s="642" t="str">
        <f>A92</f>
        <v>Klima D9-7</v>
      </c>
      <c r="M322" s="643"/>
      <c r="O322" s="642" t="str">
        <f>A133</f>
        <v>p29-1G 41F36</v>
      </c>
      <c r="P322" s="643"/>
      <c r="R322" s="642" t="s">
        <v>183</v>
      </c>
      <c r="S322" s="643"/>
    </row>
    <row r="323" spans="1:19" x14ac:dyDescent="0.2">
      <c r="A323" s="398" t="str">
        <v xml:space="preserve"> </v>
      </c>
      <c r="C323" s="642" t="str">
        <f>A56</f>
        <v>H2O 2.0L 800g 6bar</v>
      </c>
      <c r="D323" s="643"/>
      <c r="F323" s="642" t="s">
        <v>183</v>
      </c>
      <c r="G323" s="643"/>
      <c r="H323" s="472"/>
      <c r="I323" s="644" t="s">
        <v>183</v>
      </c>
      <c r="J323" s="645"/>
      <c r="K323" s="472"/>
      <c r="L323" s="642" t="str">
        <f>A97</f>
        <v>Klima D9-7 x2</v>
      </c>
      <c r="M323" s="643"/>
      <c r="O323" s="642" t="str">
        <f>A138</f>
        <v>p29-1G 51F36</v>
      </c>
      <c r="P323" s="643"/>
      <c r="R323" s="642" t="s">
        <v>183</v>
      </c>
      <c r="S323" s="643"/>
    </row>
    <row r="324" spans="1:19" x14ac:dyDescent="0.2">
      <c r="A324" s="398" t="str">
        <v xml:space="preserve"> </v>
      </c>
      <c r="C324" s="642" t="str">
        <f>A61</f>
        <v>H2O 2.0L 1000g 6bar</v>
      </c>
      <c r="D324" s="643"/>
      <c r="F324" s="642" t="s">
        <v>183</v>
      </c>
      <c r="G324" s="643"/>
      <c r="H324" s="472"/>
      <c r="I324" s="644" t="s">
        <v>183</v>
      </c>
      <c r="J324" s="645"/>
      <c r="K324" s="472"/>
      <c r="L324" s="642" t="str">
        <f>A102</f>
        <v>Klima D9-7 x3</v>
      </c>
      <c r="M324" s="643"/>
      <c r="O324" s="642" t="str">
        <f>A143</f>
        <v>p29-1G 55F29</v>
      </c>
      <c r="P324" s="643"/>
      <c r="R324" s="642" t="s">
        <v>183</v>
      </c>
      <c r="S324" s="643"/>
    </row>
    <row r="325" spans="1:19" x14ac:dyDescent="0.2">
      <c r="A325" s="398" t="str">
        <v xml:space="preserve"> </v>
      </c>
      <c r="C325" s="642" t="s">
        <v>183</v>
      </c>
      <c r="D325" s="643"/>
      <c r="F325" s="642" t="s">
        <v>183</v>
      </c>
      <c r="G325" s="643"/>
      <c r="H325" s="472"/>
      <c r="I325" s="644" t="s">
        <v>183</v>
      </c>
      <c r="J325" s="645"/>
      <c r="K325" s="472"/>
      <c r="L325" s="642" t="s">
        <v>183</v>
      </c>
      <c r="M325" s="643"/>
      <c r="O325" s="642" t="str">
        <f>A153</f>
        <v>p29-1G 56F120</v>
      </c>
      <c r="P325" s="643"/>
      <c r="R325" s="642" t="s">
        <v>183</v>
      </c>
      <c r="S325" s="643"/>
    </row>
    <row r="326" spans="1:19" x14ac:dyDescent="0.2">
      <c r="A326" s="398" t="str">
        <v xml:space="preserve"> </v>
      </c>
      <c r="C326" s="642" t="s">
        <v>183</v>
      </c>
      <c r="D326" s="643"/>
      <c r="F326" s="642" t="s">
        <v>183</v>
      </c>
      <c r="G326" s="643"/>
      <c r="H326" s="472"/>
      <c r="I326" s="644" t="s">
        <v>183</v>
      </c>
      <c r="J326" s="645"/>
      <c r="K326" s="472"/>
      <c r="L326" s="642" t="s">
        <v>183</v>
      </c>
      <c r="M326" s="643"/>
      <c r="O326" s="642" t="str">
        <f>A158</f>
        <v>p29-1G 57F59</v>
      </c>
      <c r="P326" s="643"/>
      <c r="R326" s="642" t="s">
        <v>183</v>
      </c>
      <c r="S326" s="643"/>
    </row>
    <row r="327" spans="1:19" x14ac:dyDescent="0.2">
      <c r="A327" s="398" t="str">
        <v xml:space="preserve"> </v>
      </c>
      <c r="C327" s="642" t="s">
        <v>183</v>
      </c>
      <c r="D327" s="643"/>
      <c r="F327" s="642" t="s">
        <v>183</v>
      </c>
      <c r="G327" s="643"/>
      <c r="H327" s="472"/>
      <c r="I327" s="644" t="s">
        <v>183</v>
      </c>
      <c r="J327" s="645"/>
      <c r="K327" s="472"/>
      <c r="L327" s="642" t="s">
        <v>183</v>
      </c>
      <c r="M327" s="643"/>
      <c r="O327" s="642" t="str">
        <f>A163</f>
        <v>p24-3G 60F50</v>
      </c>
      <c r="P327" s="643"/>
      <c r="R327" s="642" t="s">
        <v>183</v>
      </c>
      <c r="S327" s="643"/>
    </row>
    <row r="328" spans="1:19" x14ac:dyDescent="0.2">
      <c r="A328" s="398" t="str">
        <v xml:space="preserve"> </v>
      </c>
      <c r="C328" s="642" t="s">
        <v>183</v>
      </c>
      <c r="D328" s="643"/>
      <c r="F328" s="642" t="s">
        <v>183</v>
      </c>
      <c r="G328" s="643"/>
      <c r="H328" s="472"/>
      <c r="I328" s="644" t="s">
        <v>183</v>
      </c>
      <c r="J328" s="645"/>
      <c r="K328" s="472"/>
      <c r="L328" s="642" t="s">
        <v>183</v>
      </c>
      <c r="M328" s="643"/>
      <c r="O328" s="642" t="str">
        <f>A168</f>
        <v>p24-3G 68F79</v>
      </c>
      <c r="P328" s="643"/>
      <c r="R328" s="642" t="s">
        <v>183</v>
      </c>
      <c r="S328" s="643"/>
    </row>
    <row r="329" spans="1:19" x14ac:dyDescent="0.2">
      <c r="A329" s="398" t="str">
        <v xml:space="preserve"> </v>
      </c>
      <c r="C329" s="642" t="s">
        <v>183</v>
      </c>
      <c r="D329" s="643"/>
      <c r="F329" s="642" t="s">
        <v>183</v>
      </c>
      <c r="G329" s="643"/>
      <c r="H329" s="472"/>
      <c r="I329" s="644" t="s">
        <v>183</v>
      </c>
      <c r="J329" s="645"/>
      <c r="K329" s="472"/>
      <c r="L329" s="642" t="s">
        <v>183</v>
      </c>
      <c r="M329" s="643"/>
      <c r="O329" s="642" t="str">
        <f>A173</f>
        <v>p24-3G 68F240</v>
      </c>
      <c r="P329" s="643"/>
      <c r="R329" s="642" t="s">
        <v>183</v>
      </c>
      <c r="S329" s="643"/>
    </row>
    <row r="330" spans="1:19" x14ac:dyDescent="0.2">
      <c r="A330" s="398" t="str">
        <v xml:space="preserve"> </v>
      </c>
      <c r="C330" s="642" t="s">
        <v>183</v>
      </c>
      <c r="D330" s="643"/>
      <c r="F330" s="642" t="s">
        <v>183</v>
      </c>
      <c r="G330" s="643"/>
      <c r="H330" s="472"/>
      <c r="I330" s="644" t="s">
        <v>183</v>
      </c>
      <c r="J330" s="645"/>
      <c r="K330" s="472"/>
      <c r="L330" s="642" t="s">
        <v>183</v>
      </c>
      <c r="M330" s="643"/>
      <c r="O330" s="642" t="str">
        <f>A178</f>
        <v>p24-3G 73F30</v>
      </c>
      <c r="P330" s="643"/>
      <c r="R330" s="642" t="s">
        <v>183</v>
      </c>
      <c r="S330" s="643"/>
    </row>
    <row r="331" spans="1:19" x14ac:dyDescent="0.2">
      <c r="A331" s="398" t="str">
        <v xml:space="preserve"> </v>
      </c>
      <c r="C331" s="642" t="s">
        <v>183</v>
      </c>
      <c r="D331" s="643"/>
      <c r="F331" s="642" t="s">
        <v>183</v>
      </c>
      <c r="G331" s="643"/>
      <c r="H331" s="472"/>
      <c r="I331" s="648" t="s">
        <v>183</v>
      </c>
      <c r="J331" s="649"/>
      <c r="K331" s="472"/>
      <c r="L331" s="642" t="s">
        <v>183</v>
      </c>
      <c r="M331" s="643"/>
      <c r="O331" s="642" t="str">
        <f>A183</f>
        <v>p24-3G 74F85</v>
      </c>
      <c r="P331" s="643"/>
      <c r="R331" s="642" t="s">
        <v>183</v>
      </c>
      <c r="S331" s="643"/>
    </row>
    <row r="332" spans="1:19" x14ac:dyDescent="0.2">
      <c r="A332" s="462" t="str">
        <v xml:space="preserve"> </v>
      </c>
      <c r="C332" s="646" t="s">
        <v>183</v>
      </c>
      <c r="D332" s="647"/>
      <c r="F332" s="646" t="s">
        <v>183</v>
      </c>
      <c r="G332" s="647"/>
      <c r="H332" s="472"/>
      <c r="I332" s="646" t="s">
        <v>183</v>
      </c>
      <c r="J332" s="647"/>
      <c r="K332" s="472"/>
      <c r="L332" s="646" t="s">
        <v>183</v>
      </c>
      <c r="M332" s="647"/>
      <c r="O332" s="642" t="str">
        <f>A188</f>
        <v>p24-3G 75F51</v>
      </c>
      <c r="P332" s="643"/>
      <c r="R332" s="646" t="s">
        <v>183</v>
      </c>
      <c r="S332" s="647"/>
    </row>
    <row r="333" spans="1:19" x14ac:dyDescent="0.2">
      <c r="A333" s="398" t="str">
        <v xml:space="preserve"> </v>
      </c>
      <c r="C333" s="637" t="s">
        <v>183</v>
      </c>
      <c r="D333" s="637"/>
      <c r="F333" s="637" t="s">
        <v>183</v>
      </c>
      <c r="G333" s="637"/>
      <c r="I333" s="639" t="s">
        <v>183</v>
      </c>
      <c r="J333" s="639"/>
      <c r="L333" s="639" t="s">
        <v>183</v>
      </c>
      <c r="M333" s="639"/>
      <c r="O333" s="642" t="str">
        <f>A213</f>
        <v>p29-2G 84G88</v>
      </c>
      <c r="P333" s="643"/>
      <c r="R333" s="651" t="s">
        <v>183</v>
      </c>
      <c r="S333" s="651"/>
    </row>
    <row r="334" spans="1:19" x14ac:dyDescent="0.2">
      <c r="A334" s="398" t="str">
        <v>Isard</v>
      </c>
      <c r="C334" s="638" t="s">
        <v>183</v>
      </c>
      <c r="D334" s="638"/>
      <c r="F334" s="638" t="s">
        <v>183</v>
      </c>
      <c r="G334" s="638"/>
      <c r="I334" s="639" t="s">
        <v>183</v>
      </c>
      <c r="J334" s="639"/>
      <c r="L334" s="639" t="s">
        <v>183</v>
      </c>
      <c r="M334" s="639"/>
      <c r="O334" s="642" t="str">
        <f>A218</f>
        <v>p29-2G 93G80</v>
      </c>
      <c r="P334" s="643"/>
      <c r="R334" s="650" t="str">
        <f>A269</f>
        <v>Isard</v>
      </c>
      <c r="S334" s="650"/>
    </row>
    <row r="335" spans="1:19" x14ac:dyDescent="0.2">
      <c r="A335" s="398" t="str">
        <v>Chamois</v>
      </c>
      <c r="C335" s="638" t="s">
        <v>183</v>
      </c>
      <c r="D335" s="638"/>
      <c r="F335" s="638" t="s">
        <v>183</v>
      </c>
      <c r="G335" s="638"/>
      <c r="I335" s="639" t="s">
        <v>183</v>
      </c>
      <c r="J335" s="639"/>
      <c r="L335" s="639" t="s">
        <v>183</v>
      </c>
      <c r="M335" s="639"/>
      <c r="O335" s="642" t="str">
        <f>A223</f>
        <v>p29-2G 110G250</v>
      </c>
      <c r="P335" s="643"/>
      <c r="R335" s="650" t="str">
        <f>A274</f>
        <v>Chamois</v>
      </c>
      <c r="S335" s="650"/>
    </row>
    <row r="336" spans="1:19" x14ac:dyDescent="0.2">
      <c r="A336" s="398" t="str">
        <v>Pro54-5G WT</v>
      </c>
      <c r="C336" s="638" t="s">
        <v>183</v>
      </c>
      <c r="D336" s="638"/>
      <c r="F336" s="638" t="s">
        <v>183</v>
      </c>
      <c r="G336" s="638"/>
      <c r="I336" s="639" t="s">
        <v>183</v>
      </c>
      <c r="J336" s="639"/>
      <c r="L336" s="639" t="s">
        <v>183</v>
      </c>
      <c r="M336" s="639"/>
      <c r="O336" s="642" t="str">
        <f>A228</f>
        <v>p29-2G 116G126</v>
      </c>
      <c r="P336" s="643"/>
      <c r="R336" s="650" t="str">
        <f>A284</f>
        <v>Pro54-5G WT</v>
      </c>
      <c r="S336" s="650"/>
    </row>
    <row r="337" spans="1:19" x14ac:dyDescent="0.2">
      <c r="A337" s="398" t="str">
        <v>Pro98-6G Green</v>
      </c>
      <c r="C337" s="638" t="s">
        <v>183</v>
      </c>
      <c r="D337" s="638"/>
      <c r="F337" s="638" t="s">
        <v>183</v>
      </c>
      <c r="G337" s="638"/>
      <c r="I337" s="639" t="s">
        <v>183</v>
      </c>
      <c r="J337" s="639"/>
      <c r="L337" s="639" t="s">
        <v>183</v>
      </c>
      <c r="M337" s="639"/>
      <c r="O337" s="642" t="str">
        <f>A233</f>
        <v>p29-3G 125G131</v>
      </c>
      <c r="P337" s="643"/>
      <c r="R337" s="650" t="str">
        <f>A294</f>
        <v>Pro98-6G Green</v>
      </c>
      <c r="S337" s="650"/>
    </row>
    <row r="338" spans="1:19" x14ac:dyDescent="0.2">
      <c r="A338" s="398" t="str">
        <v>Pro98-3G WT</v>
      </c>
      <c r="C338" s="638" t="s">
        <v>183</v>
      </c>
      <c r="D338" s="638"/>
      <c r="F338" s="638" t="s">
        <v>183</v>
      </c>
      <c r="G338" s="638"/>
      <c r="I338" s="639" t="s">
        <v>183</v>
      </c>
      <c r="J338" s="639"/>
      <c r="L338" s="639" t="s">
        <v>183</v>
      </c>
      <c r="M338" s="639"/>
      <c r="O338" s="642" t="str">
        <f>A248</f>
        <v>p38-1G 128G185</v>
      </c>
      <c r="P338" s="643"/>
      <c r="R338" s="650" t="str">
        <f>A299</f>
        <v>Pro98-3G WT</v>
      </c>
      <c r="S338" s="650"/>
    </row>
    <row r="339" spans="1:19" x14ac:dyDescent="0.2">
      <c r="A339" s="398" t="str">
        <v>Aucun (2e ét. inerte)</v>
      </c>
      <c r="C339" s="638" t="s">
        <v>183</v>
      </c>
      <c r="D339" s="638"/>
      <c r="F339" s="638" t="s">
        <v>183</v>
      </c>
      <c r="G339" s="638"/>
      <c r="I339" s="639" t="s">
        <v>183</v>
      </c>
      <c r="J339" s="639"/>
      <c r="L339" s="639" t="s">
        <v>183</v>
      </c>
      <c r="M339" s="639"/>
      <c r="O339" s="642" t="str">
        <f>A243</f>
        <v>p38-1G 137G58</v>
      </c>
      <c r="P339" s="643"/>
      <c r="R339" s="650" t="str">
        <f>A309</f>
        <v>Aucun (2e ét. inerte)</v>
      </c>
      <c r="S339" s="650"/>
    </row>
    <row r="340" spans="1:19" x14ac:dyDescent="0.2">
      <c r="A340" s="398" t="str">
        <v xml:space="preserve"> </v>
      </c>
      <c r="C340" s="638" t="s">
        <v>183</v>
      </c>
      <c r="D340" s="638"/>
      <c r="F340" s="638" t="s">
        <v>183</v>
      </c>
      <c r="G340" s="638"/>
      <c r="I340" s="639" t="s">
        <v>183</v>
      </c>
      <c r="J340" s="639"/>
      <c r="L340" s="639" t="s">
        <v>183</v>
      </c>
      <c r="M340" s="639"/>
      <c r="O340" s="642" t="str">
        <f>A253</f>
        <v>p38-1G 141G78</v>
      </c>
      <c r="P340" s="643"/>
      <c r="R340" s="639" t="s">
        <v>183</v>
      </c>
      <c r="S340" s="639"/>
    </row>
    <row r="341" spans="1:19" x14ac:dyDescent="0.2">
      <c r="A341" s="398" t="str">
        <v xml:space="preserve"> </v>
      </c>
      <c r="C341" s="638" t="s">
        <v>183</v>
      </c>
      <c r="D341" s="638"/>
      <c r="F341" s="638" t="s">
        <v>183</v>
      </c>
      <c r="G341" s="638"/>
      <c r="I341" s="638" t="s">
        <v>183</v>
      </c>
      <c r="J341" s="638"/>
      <c r="L341" s="639" t="s">
        <v>183</v>
      </c>
      <c r="M341" s="639"/>
      <c r="O341" s="642" t="str">
        <f>A193</f>
        <v>p24-6G 140G145 PK</v>
      </c>
      <c r="P341" s="643"/>
      <c r="R341" s="638" t="s">
        <v>183</v>
      </c>
      <c r="S341" s="638"/>
    </row>
    <row r="342" spans="1:19" x14ac:dyDescent="0.2">
      <c r="A342" s="398" t="str">
        <v xml:space="preserve"> </v>
      </c>
      <c r="C342" s="638" t="s">
        <v>183</v>
      </c>
      <c r="D342" s="638"/>
      <c r="F342" s="638" t="s">
        <v>183</v>
      </c>
      <c r="G342" s="638"/>
      <c r="I342" s="638" t="s">
        <v>183</v>
      </c>
      <c r="J342" s="638"/>
      <c r="L342" s="639" t="s">
        <v>183</v>
      </c>
      <c r="M342" s="639"/>
      <c r="O342" s="642" t="str">
        <f>A198</f>
        <v>Pandora (Pro24-6G BS)</v>
      </c>
      <c r="P342" s="643"/>
      <c r="R342" s="638" t="s">
        <v>183</v>
      </c>
      <c r="S342" s="638"/>
    </row>
    <row r="343" spans="1:19" x14ac:dyDescent="0.2">
      <c r="A343" s="398" t="str">
        <v xml:space="preserve"> </v>
      </c>
      <c r="C343" s="638" t="s">
        <v>183</v>
      </c>
      <c r="D343" s="638"/>
      <c r="F343" s="638" t="s">
        <v>183</v>
      </c>
      <c r="G343" s="638"/>
      <c r="I343" s="638" t="s">
        <v>183</v>
      </c>
      <c r="J343" s="638"/>
      <c r="L343" s="638" t="s">
        <v>183</v>
      </c>
      <c r="M343" s="638"/>
      <c r="O343" s="644" t="str">
        <f>A203</f>
        <v>p24-6G 142G117 WT</v>
      </c>
      <c r="P343" s="645"/>
      <c r="R343" s="638" t="s">
        <v>183</v>
      </c>
      <c r="S343" s="638"/>
    </row>
    <row r="344" spans="1:19" x14ac:dyDescent="0.2">
      <c r="A344" s="398" t="str">
        <v xml:space="preserve"> </v>
      </c>
      <c r="C344" s="638" t="s">
        <v>183</v>
      </c>
      <c r="D344" s="638"/>
      <c r="F344" s="638" t="s">
        <v>183</v>
      </c>
      <c r="G344" s="638"/>
      <c r="I344" s="638" t="s">
        <v>183</v>
      </c>
      <c r="J344" s="638"/>
      <c r="L344" s="638" t="s">
        <v>183</v>
      </c>
      <c r="M344" s="638"/>
      <c r="O344" s="644" t="str">
        <f>A208</f>
        <v>p24-6G 139G107 DT</v>
      </c>
      <c r="P344" s="645"/>
      <c r="R344" s="638" t="s">
        <v>183</v>
      </c>
      <c r="S344" s="638"/>
    </row>
    <row r="345" spans="1:19" x14ac:dyDescent="0.2">
      <c r="A345" s="398" t="str">
        <v xml:space="preserve"> </v>
      </c>
      <c r="C345" s="638" t="s">
        <v>183</v>
      </c>
      <c r="D345" s="638"/>
      <c r="F345" s="638" t="s">
        <v>183</v>
      </c>
      <c r="G345" s="638"/>
      <c r="I345" s="638" t="s">
        <v>183</v>
      </c>
      <c r="J345" s="638"/>
      <c r="L345" s="638" t="s">
        <v>183</v>
      </c>
      <c r="M345" s="638"/>
      <c r="O345" s="644" t="str">
        <f>A263</f>
        <v>Cariacou</v>
      </c>
      <c r="P345" s="645"/>
      <c r="R345" s="638" t="s">
        <v>183</v>
      </c>
      <c r="S345" s="638"/>
    </row>
    <row r="346" spans="1:19" x14ac:dyDescent="0.2">
      <c r="A346" s="473" t="str">
        <v xml:space="preserve"> </v>
      </c>
      <c r="C346" s="638" t="s">
        <v>183</v>
      </c>
      <c r="D346" s="638"/>
      <c r="F346" s="638" t="s">
        <v>183</v>
      </c>
      <c r="G346" s="638"/>
      <c r="I346" s="638" t="s">
        <v>183</v>
      </c>
      <c r="J346" s="638"/>
      <c r="L346" s="638" t="s">
        <v>183</v>
      </c>
      <c r="M346" s="638"/>
      <c r="O346" s="652" t="str">
        <f>A258</f>
        <v>Wapiti</v>
      </c>
      <c r="P346" s="653"/>
      <c r="R346" s="638" t="s">
        <v>183</v>
      </c>
      <c r="S346" s="638"/>
    </row>
  </sheetData>
  <sheetProtection algorithmName="SHA-512" hashValue="TT52kldpbNfsZI03mY8g5TIIsjEeL9Q9TBJMBYh4cROlVUm3NqAv8usVb5XJtvE8tyHIClwYMgtE2emaKO5x7A==" saltValue="IfNq7E35bfDyzUo3UGtZTg==" spinCount="100000" sheet="1" objects="1" scenarios="1"/>
  <dataConsolidate/>
  <mergeCells count="186">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C345:D345"/>
    <mergeCell ref="C346:D346"/>
    <mergeCell ref="C335:D335"/>
    <mergeCell ref="C336:D336"/>
    <mergeCell ref="C337:D337"/>
    <mergeCell ref="C338:D338"/>
    <mergeCell ref="C339:D339"/>
    <mergeCell ref="C340:D340"/>
    <mergeCell ref="C334:D334"/>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397" activePane="bottomRight" state="frozen"/>
      <selection pane="topRight" activeCell="D1" sqref="D1"/>
      <selection pane="bottomLeft" activeCell="A8" sqref="A8"/>
      <selection pane="bottomRight" activeCell="B410" sqref="B410"/>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0</v>
      </c>
      <c r="H4" s="293">
        <f>vit_xz*SIN(Beta)</f>
        <v>0</v>
      </c>
      <c r="I4" s="349">
        <f>V_ini</f>
        <v>0</v>
      </c>
      <c r="J4" s="350">
        <f>X_ini</f>
        <v>0</v>
      </c>
      <c r="K4" s="351">
        <f>Z_ini</f>
        <v>0</v>
      </c>
      <c r="L4" s="327">
        <f t="shared" ref="L4:L67" si="0">SQRT(pos_x^2+pos_z^2)</f>
        <v>0</v>
      </c>
      <c r="M4" s="292">
        <f>RADIANS(N4)</f>
        <v>1.3962634015954636</v>
      </c>
      <c r="N4" s="349">
        <f>Beta_rampe</f>
        <v>80</v>
      </c>
      <c r="P4" s="292" t="s">
        <v>14</v>
      </c>
      <c r="Q4" s="294" t="s">
        <v>14</v>
      </c>
      <c r="R4" s="292" t="s">
        <v>14</v>
      </c>
      <c r="S4" s="351">
        <f ca="1">m_tot</f>
        <v>9.1709999999999994</v>
      </c>
      <c r="T4" s="327">
        <f t="shared" ref="T4:T67" ca="1" si="1">m*g</f>
        <v>89.967510000000004</v>
      </c>
      <c r="U4" s="328">
        <f t="shared" ref="U4:U67" ca="1" si="2">IF(pos_xz&lt;L_rampe,Poids*COS(Beta),0)</f>
        <v>15.62269416073134</v>
      </c>
      <c r="V4" s="329">
        <f t="shared" ref="V4:V67" si="3">Rho_moyen*(20000-Alt_rampe-pos_z)/(20000+Alt_rampe+pos_z)</f>
        <v>1.2250000000000001</v>
      </c>
      <c r="W4" s="327">
        <f t="shared" ref="W4:W67" si="4">1/2*Rho*Sref*Cx*vit_xz^2</f>
        <v>0</v>
      </c>
      <c r="Y4" s="295" t="s">
        <v>14</v>
      </c>
      <c r="Z4" s="296" t="s">
        <v>14</v>
      </c>
      <c r="AA4" s="297" t="s">
        <v>14</v>
      </c>
      <c r="AC4" s="320">
        <f>IF(ABS(t-ROUND(t,0))&lt;0.001,t,-1)</f>
        <v>0</v>
      </c>
      <c r="AD4" s="321">
        <f>IF(ABS(t-ROUND(t,0))&lt;0.001,pos_x,-1)</f>
        <v>0</v>
      </c>
      <c r="AE4" s="322">
        <f t="shared" ref="AE4:AE67" si="5">IF(t&lt;T_para, pos_z, NA())</f>
        <v>0</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1.3241507739532477E-2</v>
      </c>
      <c r="E5" s="307">
        <f t="shared" ref="E5:E68" ca="1" si="9">IF(AND(L4&lt;L_rampe,Poussee&lt;Poids*SIN(M4)),0,(-W4+Poussee)/m*SIN(M4)+U4/m*COS(M4)-Poids/m)</f>
        <v>7.5575726350869843E-2</v>
      </c>
      <c r="F5" s="304">
        <f t="shared" ref="F5:F68" ca="1" si="10">SQRT(acc_x^2+acc_z^2)</f>
        <v>7.6726970099683073E-2</v>
      </c>
      <c r="G5" s="306">
        <f t="shared" ref="G5:G68" ca="1" si="11">G4+acc_x*pas</f>
        <v>1.3241507739532478E-4</v>
      </c>
      <c r="H5" s="307">
        <f t="shared" ref="H5:H68" ca="1" si="12">H4+acc_z*pas</f>
        <v>7.557572635086985E-4</v>
      </c>
      <c r="I5" s="304">
        <f t="shared" ref="I5:I68" ca="1" si="13">SQRT(vit_x^2+vit_z^2)</f>
        <v>7.672697009968309E-4</v>
      </c>
      <c r="J5" s="306">
        <f t="shared" ref="J5:J68" ca="1" si="14">J4+0.5*(vit_x+G4)*pas*(K4&gt;=0)</f>
        <v>6.6207538697662396E-7</v>
      </c>
      <c r="K5" s="307">
        <f t="shared" ref="K5:K68" ca="1" si="15">K4+0.5*(vit_z+H4)*pas</f>
        <v>3.7787863175434927E-6</v>
      </c>
      <c r="L5" s="304">
        <f t="shared" ca="1" si="0"/>
        <v>3.8363485049841547E-6</v>
      </c>
      <c r="M5" s="306">
        <f t="shared" ref="M5:M68" ca="1" si="16">IF(AND(L4&gt;L_rampe,G5&gt;0),ATAN2(G5,H5),$M$4)</f>
        <v>1.3962634015954636</v>
      </c>
      <c r="N5" s="304">
        <f t="shared" ref="N5:N68" ca="1" si="17">DEGREES(Beta)</f>
        <v>80</v>
      </c>
      <c r="P5" s="310">
        <f t="shared" ref="P5:P68" ca="1" si="18">MATCH(t-pas/2-T_ini,CdP_t)</f>
        <v>1</v>
      </c>
      <c r="Q5" s="304">
        <f t="shared" ref="Q5:Q68" ca="1" si="19">(INDEX(CdP,2,i_P+1)-INDEX(CdP,2,i_P+0))/(INDEX(CdP,1,i_P+1)-INDEX(CdP,1,i_P+0))*(t-pas/2-T_ini-INDEX(CdP,1,i_P+0))+INDEX(CdP,2,i_P+0)</f>
        <v>89.3</v>
      </c>
      <c r="R5" s="306">
        <f t="shared" ref="R5:R68" ca="1" si="20">Poussee/(g*ISP)</f>
        <v>4.4815509359347437E-2</v>
      </c>
      <c r="S5" s="307">
        <f t="shared" ref="S5:S68" ca="1" si="21">S4-Débit*pas</f>
        <v>9.1705518449064058</v>
      </c>
      <c r="T5" s="304">
        <f t="shared" ca="1" si="1"/>
        <v>89.963113598531848</v>
      </c>
      <c r="U5" s="311">
        <f t="shared" ca="1" si="2"/>
        <v>15.621930733628101</v>
      </c>
      <c r="V5" s="306">
        <f t="shared" ca="1" si="3"/>
        <v>1.2249999995370988</v>
      </c>
      <c r="W5" s="304">
        <f t="shared" ca="1" si="4"/>
        <v>2.3821319728105461E-9</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3.7787863175434927E-6</v>
      </c>
      <c r="AG5" s="306">
        <f t="shared" ref="AG5:AG68" ca="1" si="27">IF(AND(L4&lt;L_rampe,Poussee&lt;Poids*SIN(M4)),0,(-W4+Poussee)/m-Poids*SIN(M4)/m)</f>
        <v>7.6726924938398611E-2</v>
      </c>
      <c r="AH5" s="304">
        <f t="shared" ref="AH5:AH68" ca="1" si="28">IF(AND(L4&lt;L_rampe,Poussee&lt;Poids*SIN(M4)), g*SIN(M4), (-W4+Poussee)/m)</f>
        <v>9.7376909819881607</v>
      </c>
    </row>
    <row r="6" spans="1:248" x14ac:dyDescent="0.2">
      <c r="A6" s="347">
        <f t="shared" ca="1" si="6"/>
        <v>0.01</v>
      </c>
      <c r="B6" s="304">
        <f t="shared" ca="1" si="7"/>
        <v>0.02</v>
      </c>
      <c r="D6" s="306">
        <f t="shared" ca="1" si="8"/>
        <v>3.3956859087128222</v>
      </c>
      <c r="E6" s="307">
        <f t="shared" ca="1" si="9"/>
        <v>19.259330182827746</v>
      </c>
      <c r="F6" s="304">
        <f t="shared" ca="1" si="10"/>
        <v>19.556392353443172</v>
      </c>
      <c r="G6" s="306">
        <f t="shared" ca="1" si="11"/>
        <v>3.4089274164523543E-2</v>
      </c>
      <c r="H6" s="307">
        <f t="shared" ca="1" si="12"/>
        <v>0.19334905909178618</v>
      </c>
      <c r="I6" s="304">
        <f t="shared" ca="1" si="13"/>
        <v>0.19633119279610939</v>
      </c>
      <c r="J6" s="306">
        <f t="shared" ca="1" si="14"/>
        <v>1.7177052159657097E-4</v>
      </c>
      <c r="K6" s="307">
        <f t="shared" ca="1" si="15"/>
        <v>9.7430286809401792E-4</v>
      </c>
      <c r="L6" s="304">
        <f t="shared" ca="1" si="0"/>
        <v>9.8932865664843011E-4</v>
      </c>
      <c r="M6" s="306">
        <f t="shared" ca="1" si="16"/>
        <v>1.3962634015954636</v>
      </c>
      <c r="N6" s="304">
        <f t="shared" ca="1" si="17"/>
        <v>80</v>
      </c>
      <c r="P6" s="310">
        <f t="shared" ca="1" si="18"/>
        <v>1</v>
      </c>
      <c r="Q6" s="304">
        <f t="shared" ca="1" si="19"/>
        <v>267.89999999999998</v>
      </c>
      <c r="R6" s="306">
        <f t="shared" ca="1" si="20"/>
        <v>0.1344465280780423</v>
      </c>
      <c r="S6" s="307">
        <f t="shared" ca="1" si="21"/>
        <v>9.1692073796256253</v>
      </c>
      <c r="T6" s="304">
        <f t="shared" ca="1" si="1"/>
        <v>89.949924394127393</v>
      </c>
      <c r="U6" s="311">
        <f t="shared" ca="1" si="2"/>
        <v>15.619640452318391</v>
      </c>
      <c r="V6" s="306">
        <f t="shared" ca="1" si="3"/>
        <v>1.2249998806479048</v>
      </c>
      <c r="W6" s="304">
        <f t="shared" ca="1" si="4"/>
        <v>1.5597259193274034E-4</v>
      </c>
      <c r="Y6" s="314" t="str">
        <f t="shared" ca="1" si="22"/>
        <v/>
      </c>
      <c r="Z6" s="315" t="str">
        <f t="shared" ca="1" si="23"/>
        <v/>
      </c>
      <c r="AA6" s="316" t="str">
        <f t="shared" ca="1" si="24"/>
        <v/>
      </c>
      <c r="AC6" s="310" t="e">
        <f t="shared" ca="1" si="25"/>
        <v>#N/A</v>
      </c>
      <c r="AD6" s="323" t="e">
        <f t="shared" ca="1" si="26"/>
        <v>#N/A</v>
      </c>
      <c r="AE6" s="324">
        <f t="shared" ca="1" si="5"/>
        <v>9.7430286809401792E-4</v>
      </c>
      <c r="AG6" s="306">
        <f t="shared" ca="1" si="27"/>
        <v>19.556392351848046</v>
      </c>
      <c r="AH6" s="304">
        <f t="shared" ca="1" si="28"/>
        <v>29.217356408897807</v>
      </c>
    </row>
    <row r="7" spans="1:248" x14ac:dyDescent="0.2">
      <c r="A7" s="347">
        <f t="shared" ca="1" si="6"/>
        <v>0.01</v>
      </c>
      <c r="B7" s="304">
        <f t="shared" ca="1" si="7"/>
        <v>0.03</v>
      </c>
      <c r="D7" s="306">
        <f t="shared" ca="1" si="8"/>
        <v>6.7799462909609698</v>
      </c>
      <c r="E7" s="307">
        <f t="shared" ca="1" si="9"/>
        <v>38.453384096613611</v>
      </c>
      <c r="F7" s="304">
        <f t="shared" ca="1" si="10"/>
        <v>39.046516108226761</v>
      </c>
      <c r="G7" s="306">
        <f t="shared" ca="1" si="11"/>
        <v>0.10188873707413323</v>
      </c>
      <c r="H7" s="307">
        <f t="shared" ca="1" si="12"/>
        <v>0.57788290005792231</v>
      </c>
      <c r="I7" s="304">
        <f t="shared" ca="1" si="13"/>
        <v>0.58679635387578588</v>
      </c>
      <c r="J7" s="306">
        <f t="shared" ca="1" si="14"/>
        <v>8.5166057778985488E-4</v>
      </c>
      <c r="K7" s="307">
        <f t="shared" ca="1" si="15"/>
        <v>4.8304626638425606E-3</v>
      </c>
      <c r="L7" s="304">
        <f t="shared" ca="1" si="0"/>
        <v>4.9049663899499163E-3</v>
      </c>
      <c r="M7" s="306">
        <f t="shared" ca="1" si="16"/>
        <v>1.3962634015954636</v>
      </c>
      <c r="N7" s="304">
        <f t="shared" ca="1" si="17"/>
        <v>80</v>
      </c>
      <c r="P7" s="310">
        <f t="shared" ca="1" si="18"/>
        <v>1</v>
      </c>
      <c r="Q7" s="304">
        <f t="shared" ca="1" si="19"/>
        <v>446.49999999999994</v>
      </c>
      <c r="R7" s="306">
        <f t="shared" ca="1" si="20"/>
        <v>0.22407754679673716</v>
      </c>
      <c r="S7" s="307">
        <f t="shared" ca="1" si="21"/>
        <v>9.1669666041576576</v>
      </c>
      <c r="T7" s="304">
        <f t="shared" ca="1" si="1"/>
        <v>89.927942386786626</v>
      </c>
      <c r="U7" s="311">
        <f t="shared" ca="1" si="2"/>
        <v>15.615823316802206</v>
      </c>
      <c r="V7" s="306">
        <f t="shared" ca="1" si="3"/>
        <v>1.2249994082684665</v>
      </c>
      <c r="W7" s="304">
        <f t="shared" ca="1" si="4"/>
        <v>1.3932989981881195E-3</v>
      </c>
      <c r="Y7" s="314" t="str">
        <f t="shared" ca="1" si="22"/>
        <v/>
      </c>
      <c r="Z7" s="315" t="str">
        <f t="shared" ca="1" si="23"/>
        <v/>
      </c>
      <c r="AA7" s="316" t="str">
        <f t="shared" ca="1" si="24"/>
        <v/>
      </c>
      <c r="AC7" s="310" t="e">
        <f t="shared" ca="1" si="25"/>
        <v>#N/A</v>
      </c>
      <c r="AD7" s="323" t="e">
        <f t="shared" ca="1" si="26"/>
        <v>#N/A</v>
      </c>
      <c r="AE7" s="324">
        <f t="shared" ca="1" si="5"/>
        <v>4.8304626638425606E-3</v>
      </c>
      <c r="AG7" s="306">
        <f t="shared" ca="1" si="27"/>
        <v>39.046516106006464</v>
      </c>
      <c r="AH7" s="304">
        <f t="shared" ca="1" si="28"/>
        <v>48.707480163056225</v>
      </c>
    </row>
    <row r="8" spans="1:248" x14ac:dyDescent="0.2">
      <c r="A8" s="347">
        <f t="shared" ca="1" si="6"/>
        <v>0.01</v>
      </c>
      <c r="B8" s="304">
        <f t="shared" ca="1" si="7"/>
        <v>0.04</v>
      </c>
      <c r="D8" s="306">
        <f t="shared" ca="1" si="8"/>
        <v>10.166999490289038</v>
      </c>
      <c r="E8" s="307">
        <f t="shared" ca="1" si="9"/>
        <v>57.663277660783891</v>
      </c>
      <c r="F8" s="304">
        <f t="shared" ca="1" si="10"/>
        <v>58.552723841168962</v>
      </c>
      <c r="G8" s="306">
        <f t="shared" ca="1" si="11"/>
        <v>0.20355873197702362</v>
      </c>
      <c r="H8" s="307">
        <f t="shared" ca="1" si="12"/>
        <v>1.1545156766657612</v>
      </c>
      <c r="I8" s="304">
        <f t="shared" ca="1" si="13"/>
        <v>1.1723235922863167</v>
      </c>
      <c r="J8" s="306">
        <f t="shared" ca="1" si="14"/>
        <v>2.3788979230456391E-3</v>
      </c>
      <c r="K8" s="307">
        <f t="shared" ca="1" si="15"/>
        <v>1.3492455547460976E-2</v>
      </c>
      <c r="L8" s="304">
        <f t="shared" ca="1" si="0"/>
        <v>1.3700566120729512E-2</v>
      </c>
      <c r="M8" s="306">
        <f t="shared" ca="1" si="16"/>
        <v>1.3962634015954636</v>
      </c>
      <c r="N8" s="304">
        <f t="shared" ca="1" si="17"/>
        <v>80</v>
      </c>
      <c r="P8" s="310">
        <f t="shared" ca="1" si="18"/>
        <v>1</v>
      </c>
      <c r="Q8" s="304">
        <f t="shared" ca="1" si="19"/>
        <v>625.1</v>
      </c>
      <c r="R8" s="306">
        <f t="shared" ca="1" si="20"/>
        <v>0.31370856551543208</v>
      </c>
      <c r="S8" s="307">
        <f t="shared" ca="1" si="21"/>
        <v>9.1638295185025029</v>
      </c>
      <c r="T8" s="304">
        <f t="shared" ca="1" si="1"/>
        <v>89.89716757650956</v>
      </c>
      <c r="U8" s="311">
        <f t="shared" ca="1" si="2"/>
        <v>15.610479327079549</v>
      </c>
      <c r="V8" s="306">
        <f t="shared" ca="1" si="3"/>
        <v>1.2249983471753108</v>
      </c>
      <c r="W8" s="304">
        <f t="shared" ca="1" si="4"/>
        <v>5.561144057786023E-3</v>
      </c>
      <c r="Y8" s="314" t="str">
        <f t="shared" ca="1" si="22"/>
        <v/>
      </c>
      <c r="Z8" s="315" t="str">
        <f t="shared" ca="1" si="23"/>
        <v/>
      </c>
      <c r="AA8" s="316" t="str">
        <f t="shared" ca="1" si="24"/>
        <v/>
      </c>
      <c r="AC8" s="310" t="e">
        <f t="shared" ca="1" si="25"/>
        <v>#N/A</v>
      </c>
      <c r="AD8" s="323" t="e">
        <f t="shared" ca="1" si="26"/>
        <v>#N/A</v>
      </c>
      <c r="AE8" s="324">
        <f t="shared" ca="1" si="5"/>
        <v>1.3492455547460976E-2</v>
      </c>
      <c r="AG8" s="306">
        <f t="shared" ca="1" si="27"/>
        <v>58.552723838264946</v>
      </c>
      <c r="AH8" s="304">
        <f t="shared" ca="1" si="28"/>
        <v>68.213687895314706</v>
      </c>
    </row>
    <row r="9" spans="1:248" x14ac:dyDescent="0.2">
      <c r="A9" s="347">
        <f t="shared" ca="1" si="6"/>
        <v>0.01</v>
      </c>
      <c r="B9" s="304">
        <f t="shared" ca="1" si="7"/>
        <v>0.05</v>
      </c>
      <c r="D9" s="306">
        <f t="shared" ca="1" si="8"/>
        <v>13.557807616657948</v>
      </c>
      <c r="E9" s="307">
        <f t="shared" ca="1" si="9"/>
        <v>76.894467554801281</v>
      </c>
      <c r="F9" s="304">
        <f t="shared" ca="1" si="10"/>
        <v>78.080556401108566</v>
      </c>
      <c r="G9" s="306">
        <f t="shared" ca="1" si="11"/>
        <v>0.33913680814360314</v>
      </c>
      <c r="H9" s="307">
        <f t="shared" ca="1" si="12"/>
        <v>1.9234603522137741</v>
      </c>
      <c r="I9" s="304">
        <f t="shared" ca="1" si="13"/>
        <v>1.9531291562966764</v>
      </c>
      <c r="J9" s="306">
        <f t="shared" ca="1" si="14"/>
        <v>5.0923756236487729E-3</v>
      </c>
      <c r="K9" s="307">
        <f t="shared" ca="1" si="15"/>
        <v>2.8882335691858652E-2</v>
      </c>
      <c r="L9" s="304">
        <f t="shared" ca="1" si="0"/>
        <v>2.9327829863621761E-2</v>
      </c>
      <c r="M9" s="306">
        <f t="shared" ca="1" si="16"/>
        <v>1.3962634015954636</v>
      </c>
      <c r="N9" s="304">
        <f t="shared" ca="1" si="17"/>
        <v>80</v>
      </c>
      <c r="P9" s="310">
        <f t="shared" ca="1" si="18"/>
        <v>1</v>
      </c>
      <c r="Q9" s="304">
        <f t="shared" ca="1" si="19"/>
        <v>803.7</v>
      </c>
      <c r="R9" s="306">
        <f t="shared" ca="1" si="20"/>
        <v>0.40333958423412697</v>
      </c>
      <c r="S9" s="307">
        <f t="shared" ca="1" si="21"/>
        <v>9.1597961226601612</v>
      </c>
      <c r="T9" s="304">
        <f t="shared" ca="1" si="1"/>
        <v>89.857599963296181</v>
      </c>
      <c r="U9" s="311">
        <f t="shared" ca="1" si="2"/>
        <v>15.603608483150415</v>
      </c>
      <c r="V9" s="306">
        <f t="shared" ca="1" si="3"/>
        <v>1.224996461918987</v>
      </c>
      <c r="W9" s="304">
        <f t="shared" ca="1" si="4"/>
        <v>1.5435844448998738E-2</v>
      </c>
      <c r="Y9" s="314" t="str">
        <f t="shared" ca="1" si="22"/>
        <v/>
      </c>
      <c r="Z9" s="315" t="str">
        <f t="shared" ca="1" si="23"/>
        <v/>
      </c>
      <c r="AA9" s="316" t="str">
        <f t="shared" ca="1" si="24"/>
        <v/>
      </c>
      <c r="AC9" s="310" t="e">
        <f t="shared" ca="1" si="25"/>
        <v>#N/A</v>
      </c>
      <c r="AD9" s="323" t="e">
        <f t="shared" ca="1" si="26"/>
        <v>#N/A</v>
      </c>
      <c r="AE9" s="324">
        <f t="shared" ca="1" si="5"/>
        <v>2.8882335691858652E-2</v>
      </c>
      <c r="AG9" s="306">
        <f t="shared" ca="1" si="27"/>
        <v>78.080556397505489</v>
      </c>
      <c r="AH9" s="304">
        <f t="shared" ca="1" si="28"/>
        <v>87.741520454555243</v>
      </c>
    </row>
    <row r="10" spans="1:248" x14ac:dyDescent="0.2">
      <c r="A10" s="347">
        <f t="shared" ca="1" si="6"/>
        <v>0.01</v>
      </c>
      <c r="B10" s="304">
        <f t="shared" ca="1" si="7"/>
        <v>6.0000000000000005E-2</v>
      </c>
      <c r="D10" s="306">
        <f t="shared" ca="1" si="8"/>
        <v>15.238713047469325</v>
      </c>
      <c r="E10" s="307">
        <f t="shared" ca="1" si="9"/>
        <v>86.427832602762408</v>
      </c>
      <c r="F10" s="304">
        <f t="shared" ca="1" si="10"/>
        <v>87.760974377876138</v>
      </c>
      <c r="G10" s="306">
        <f t="shared" ca="1" si="11"/>
        <v>0.49152393861829641</v>
      </c>
      <c r="H10" s="307">
        <f t="shared" ca="1" si="12"/>
        <v>2.7877386782413982</v>
      </c>
      <c r="I10" s="304">
        <f t="shared" ca="1" si="13"/>
        <v>2.8307389000750214</v>
      </c>
      <c r="J10" s="306">
        <f t="shared" ca="1" si="14"/>
        <v>9.245679357458271E-3</v>
      </c>
      <c r="K10" s="307">
        <f t="shared" ca="1" si="15"/>
        <v>5.2438330844134518E-2</v>
      </c>
      <c r="L10" s="304">
        <f t="shared" ca="1" si="0"/>
        <v>5.3247170145462555E-2</v>
      </c>
      <c r="M10" s="306">
        <f t="shared" ca="1" si="16"/>
        <v>1.3962634015954636</v>
      </c>
      <c r="N10" s="304">
        <f t="shared" ca="1" si="17"/>
        <v>80</v>
      </c>
      <c r="P10" s="310">
        <f t="shared" ca="1" si="18"/>
        <v>2</v>
      </c>
      <c r="Q10" s="304">
        <f t="shared" ca="1" si="19"/>
        <v>891.94444444444446</v>
      </c>
      <c r="R10" s="306">
        <f t="shared" ca="1" si="20"/>
        <v>0.44762535944029064</v>
      </c>
      <c r="S10" s="307">
        <f t="shared" ca="1" si="21"/>
        <v>9.1553198690657585</v>
      </c>
      <c r="T10" s="304">
        <f t="shared" ca="1" si="1"/>
        <v>89.813687915535098</v>
      </c>
      <c r="U10" s="311">
        <f t="shared" ca="1" si="2"/>
        <v>15.59598323607908</v>
      </c>
      <c r="V10" s="306">
        <f t="shared" ca="1" si="3"/>
        <v>1.2249935763213142</v>
      </c>
      <c r="W10" s="304">
        <f t="shared" ca="1" si="4"/>
        <v>3.2424035784126733E-2</v>
      </c>
      <c r="Y10" s="314" t="str">
        <f t="shared" ca="1" si="22"/>
        <v/>
      </c>
      <c r="Z10" s="315" t="str">
        <f t="shared" ca="1" si="23"/>
        <v/>
      </c>
      <c r="AA10" s="316" t="str">
        <f t="shared" ca="1" si="24"/>
        <v/>
      </c>
      <c r="AC10" s="310" t="e">
        <f t="shared" ca="1" si="25"/>
        <v>#N/A</v>
      </c>
      <c r="AD10" s="323" t="e">
        <f t="shared" ca="1" si="26"/>
        <v>#N/A</v>
      </c>
      <c r="AE10" s="324">
        <f t="shared" ca="1" si="5"/>
        <v>5.2438330844134518E-2</v>
      </c>
      <c r="AG10" s="306">
        <f t="shared" ca="1" si="27"/>
        <v>87.760974373924029</v>
      </c>
      <c r="AH10" s="304">
        <f t="shared" ca="1" si="28"/>
        <v>97.421938430973796</v>
      </c>
    </row>
    <row r="11" spans="1:248" x14ac:dyDescent="0.2">
      <c r="A11" s="347">
        <f t="shared" ca="1" si="6"/>
        <v>0.01</v>
      </c>
      <c r="B11" s="304">
        <f t="shared" ca="1" si="7"/>
        <v>7.0000000000000007E-2</v>
      </c>
      <c r="D11" s="306">
        <f t="shared" ca="1" si="8"/>
        <v>15.206587055527987</v>
      </c>
      <c r="E11" s="307">
        <f t="shared" ca="1" si="9"/>
        <v>86.245628031536</v>
      </c>
      <c r="F11" s="304">
        <f t="shared" ca="1" si="10"/>
        <v>87.575959283535227</v>
      </c>
      <c r="G11" s="306">
        <f t="shared" ca="1" si="11"/>
        <v>0.64358980917357633</v>
      </c>
      <c r="H11" s="307">
        <f t="shared" ca="1" si="12"/>
        <v>3.6501949585567584</v>
      </c>
      <c r="I11" s="304">
        <f t="shared" ca="1" si="13"/>
        <v>3.7064984929101557</v>
      </c>
      <c r="J11" s="306">
        <f t="shared" ca="1" si="14"/>
        <v>1.4921248096417636E-2</v>
      </c>
      <c r="K11" s="307">
        <f t="shared" ca="1" si="15"/>
        <v>8.4627999028125303E-2</v>
      </c>
      <c r="L11" s="304">
        <f t="shared" ca="1" si="0"/>
        <v>8.5933357110374919E-2</v>
      </c>
      <c r="M11" s="306">
        <f t="shared" ca="1" si="16"/>
        <v>1.3962634015954636</v>
      </c>
      <c r="N11" s="304">
        <f t="shared" ca="1" si="17"/>
        <v>80</v>
      </c>
      <c r="P11" s="310">
        <f t="shared" ca="1" si="18"/>
        <v>2</v>
      </c>
      <c r="Q11" s="304">
        <f t="shared" ca="1" si="19"/>
        <v>889.83333333333337</v>
      </c>
      <c r="R11" s="306">
        <f t="shared" ca="1" si="20"/>
        <v>0.44656589113392309</v>
      </c>
      <c r="S11" s="307">
        <f t="shared" ca="1" si="21"/>
        <v>9.150854210154419</v>
      </c>
      <c r="T11" s="304">
        <f t="shared" ca="1" si="1"/>
        <v>89.769879801614849</v>
      </c>
      <c r="U11" s="311">
        <f t="shared" ca="1" si="2"/>
        <v>15.588376036929803</v>
      </c>
      <c r="V11" s="306">
        <f t="shared" ca="1" si="3"/>
        <v>1.2249896331139853</v>
      </c>
      <c r="W11" s="304">
        <f t="shared" ca="1" si="4"/>
        <v>5.5589619544540052E-2</v>
      </c>
      <c r="Y11" s="314" t="str">
        <f t="shared" ca="1" si="22"/>
        <v/>
      </c>
      <c r="Z11" s="315" t="str">
        <f t="shared" ca="1" si="23"/>
        <v/>
      </c>
      <c r="AA11" s="316" t="str">
        <f t="shared" ca="1" si="24"/>
        <v/>
      </c>
      <c r="AC11" s="310" t="e">
        <f t="shared" ca="1" si="25"/>
        <v>#N/A</v>
      </c>
      <c r="AD11" s="323" t="e">
        <f t="shared" ca="1" si="26"/>
        <v>#N/A</v>
      </c>
      <c r="AE11" s="324">
        <f t="shared" ca="1" si="5"/>
        <v>8.4627999028125303E-2</v>
      </c>
      <c r="AG11" s="306">
        <f t="shared" ca="1" si="27"/>
        <v>87.575959279589654</v>
      </c>
      <c r="AH11" s="304">
        <f t="shared" ca="1" si="28"/>
        <v>97.236923336639407</v>
      </c>
    </row>
    <row r="12" spans="1:248" x14ac:dyDescent="0.2">
      <c r="A12" s="347">
        <f t="shared" ca="1" si="6"/>
        <v>0.01</v>
      </c>
      <c r="B12" s="304">
        <f t="shared" ca="1" si="7"/>
        <v>0.08</v>
      </c>
      <c r="D12" s="306">
        <f t="shared" ca="1" si="8"/>
        <v>15.174292892189744</v>
      </c>
      <c r="E12" s="307">
        <f t="shared" ca="1" si="9"/>
        <v>86.062469698583698</v>
      </c>
      <c r="F12" s="304">
        <f t="shared" ca="1" si="10"/>
        <v>87.389975714595536</v>
      </c>
      <c r="G12" s="306">
        <f t="shared" ca="1" si="11"/>
        <v>0.79533273809547378</v>
      </c>
      <c r="H12" s="307">
        <f t="shared" ca="1" si="12"/>
        <v>4.510819655542595</v>
      </c>
      <c r="I12" s="304">
        <f t="shared" ca="1" si="13"/>
        <v>4.5803982500559774</v>
      </c>
      <c r="J12" s="306">
        <f t="shared" ca="1" si="14"/>
        <v>2.2115860832762888E-2</v>
      </c>
      <c r="K12" s="307">
        <f t="shared" ca="1" si="15"/>
        <v>0.12543307209862209</v>
      </c>
      <c r="L12" s="304">
        <f t="shared" ca="1" si="0"/>
        <v>0.1273678408251952</v>
      </c>
      <c r="M12" s="306">
        <f t="shared" ca="1" si="16"/>
        <v>1.3962634015954636</v>
      </c>
      <c r="N12" s="304">
        <f t="shared" ca="1" si="17"/>
        <v>80</v>
      </c>
      <c r="P12" s="310">
        <f t="shared" ca="1" si="18"/>
        <v>2</v>
      </c>
      <c r="Q12" s="304">
        <f t="shared" ca="1" si="19"/>
        <v>887.72222222222217</v>
      </c>
      <c r="R12" s="306">
        <f t="shared" ca="1" si="20"/>
        <v>0.44550642282755548</v>
      </c>
      <c r="S12" s="307">
        <f t="shared" ca="1" si="21"/>
        <v>9.1463991459261429</v>
      </c>
      <c r="T12" s="304">
        <f t="shared" ca="1" si="1"/>
        <v>89.726175621535461</v>
      </c>
      <c r="U12" s="311">
        <f t="shared" ca="1" si="2"/>
        <v>15.58078688570259</v>
      </c>
      <c r="V12" s="306">
        <f t="shared" ca="1" si="3"/>
        <v>1.2249846345450348</v>
      </c>
      <c r="W12" s="304">
        <f t="shared" ca="1" si="4"/>
        <v>8.4892779660591833E-2</v>
      </c>
      <c r="Y12" s="314" t="str">
        <f t="shared" ca="1" si="22"/>
        <v/>
      </c>
      <c r="Z12" s="315" t="str">
        <f t="shared" ca="1" si="23"/>
        <v/>
      </c>
      <c r="AA12" s="316" t="str">
        <f t="shared" ca="1" si="24"/>
        <v/>
      </c>
      <c r="AC12" s="310" t="e">
        <f t="shared" ca="1" si="25"/>
        <v>#N/A</v>
      </c>
      <c r="AD12" s="323" t="e">
        <f t="shared" ca="1" si="26"/>
        <v>#N/A</v>
      </c>
      <c r="AE12" s="324">
        <f t="shared" ca="1" si="5"/>
        <v>0.12543307209862209</v>
      </c>
      <c r="AG12" s="306">
        <f t="shared" ca="1" si="27"/>
        <v>87.389975710656444</v>
      </c>
      <c r="AH12" s="304">
        <f t="shared" ca="1" si="28"/>
        <v>97.050939767706211</v>
      </c>
    </row>
    <row r="13" spans="1:248" x14ac:dyDescent="0.2">
      <c r="A13" s="347">
        <f t="shared" ca="1" si="6"/>
        <v>0.01</v>
      </c>
      <c r="B13" s="304">
        <f t="shared" ca="1" si="7"/>
        <v>0.09</v>
      </c>
      <c r="D13" s="306">
        <f t="shared" ca="1" si="8"/>
        <v>15.141831180164331</v>
      </c>
      <c r="E13" s="307">
        <f t="shared" ca="1" si="9"/>
        <v>85.878361135478244</v>
      </c>
      <c r="F13" s="304">
        <f t="shared" ca="1" si="10"/>
        <v>87.203027257109696</v>
      </c>
      <c r="G13" s="306">
        <f t="shared" ca="1" si="11"/>
        <v>0.94675104989711711</v>
      </c>
      <c r="H13" s="307">
        <f t="shared" ca="1" si="12"/>
        <v>5.3696032668973777</v>
      </c>
      <c r="I13" s="304">
        <f t="shared" ca="1" si="13"/>
        <v>5.4524285226269846</v>
      </c>
      <c r="J13" s="306">
        <f t="shared" ca="1" si="14"/>
        <v>3.082627977272584E-2</v>
      </c>
      <c r="K13" s="307">
        <f t="shared" ca="1" si="15"/>
        <v>0.17483518671082196</v>
      </c>
      <c r="L13" s="304">
        <f t="shared" ca="1" si="0"/>
        <v>0.17753197468860177</v>
      </c>
      <c r="M13" s="306">
        <f t="shared" ca="1" si="16"/>
        <v>1.3962634015954636</v>
      </c>
      <c r="N13" s="304">
        <f t="shared" ca="1" si="17"/>
        <v>80</v>
      </c>
      <c r="P13" s="310">
        <f t="shared" ca="1" si="18"/>
        <v>2</v>
      </c>
      <c r="Q13" s="304">
        <f t="shared" ca="1" si="19"/>
        <v>885.61111111111109</v>
      </c>
      <c r="R13" s="306">
        <f t="shared" ca="1" si="20"/>
        <v>0.44444695452118799</v>
      </c>
      <c r="S13" s="307">
        <f t="shared" ca="1" si="21"/>
        <v>9.1419546763809318</v>
      </c>
      <c r="T13" s="304">
        <f t="shared" ca="1" si="1"/>
        <v>89.682575375296949</v>
      </c>
      <c r="U13" s="311">
        <f t="shared" ca="1" si="2"/>
        <v>15.573215782397444</v>
      </c>
      <c r="V13" s="306">
        <f t="shared" ca="1" si="3"/>
        <v>1.2249785828768514</v>
      </c>
      <c r="W13" s="304">
        <f t="shared" ca="1" si="4"/>
        <v>0.12029348040827174</v>
      </c>
      <c r="Y13" s="314" t="str">
        <f t="shared" ca="1" si="22"/>
        <v/>
      </c>
      <c r="Z13" s="315" t="str">
        <f t="shared" ca="1" si="23"/>
        <v/>
      </c>
      <c r="AA13" s="316" t="str">
        <f t="shared" ca="1" si="24"/>
        <v/>
      </c>
      <c r="AC13" s="310" t="e">
        <f t="shared" ca="1" si="25"/>
        <v>#N/A</v>
      </c>
      <c r="AD13" s="323" t="e">
        <f t="shared" ca="1" si="26"/>
        <v>#N/A</v>
      </c>
      <c r="AE13" s="324">
        <f t="shared" ca="1" si="5"/>
        <v>0.17483518671082196</v>
      </c>
      <c r="AG13" s="306">
        <f t="shared" ca="1" si="27"/>
        <v>87.203027253177112</v>
      </c>
      <c r="AH13" s="304">
        <f t="shared" ca="1" si="28"/>
        <v>96.863991310226879</v>
      </c>
    </row>
    <row r="14" spans="1:248" x14ac:dyDescent="0.2">
      <c r="A14" s="347">
        <f t="shared" ca="1" si="6"/>
        <v>0.01</v>
      </c>
      <c r="B14" s="304">
        <f t="shared" ca="1" si="7"/>
        <v>9.9999999999999992E-2</v>
      </c>
      <c r="D14" s="306">
        <f t="shared" ca="1" si="8"/>
        <v>15.109202548714331</v>
      </c>
      <c r="E14" s="307">
        <f t="shared" ca="1" si="9"/>
        <v>85.693305910955758</v>
      </c>
      <c r="F14" s="304">
        <f t="shared" ca="1" si="10"/>
        <v>87.015117534867017</v>
      </c>
      <c r="G14" s="306">
        <f t="shared" ca="1" si="11"/>
        <v>1.0978430753842605</v>
      </c>
      <c r="H14" s="307">
        <f t="shared" ca="1" si="12"/>
        <v>6.2265363260069355</v>
      </c>
      <c r="I14" s="304">
        <f t="shared" ca="1" si="13"/>
        <v>6.3225796979755913</v>
      </c>
      <c r="J14" s="306">
        <f t="shared" ca="1" si="14"/>
        <v>4.1049250399132729E-2</v>
      </c>
      <c r="K14" s="307">
        <f t="shared" ca="1" si="15"/>
        <v>0.23281588467534353</v>
      </c>
      <c r="L14" s="304">
        <f t="shared" ca="1" si="0"/>
        <v>0.23640701579160792</v>
      </c>
      <c r="M14" s="306">
        <f t="shared" ca="1" si="16"/>
        <v>1.3962634015954636</v>
      </c>
      <c r="N14" s="304">
        <f t="shared" ca="1" si="17"/>
        <v>80</v>
      </c>
      <c r="P14" s="310">
        <f t="shared" ca="1" si="18"/>
        <v>2</v>
      </c>
      <c r="Q14" s="304">
        <f t="shared" ca="1" si="19"/>
        <v>883.5</v>
      </c>
      <c r="R14" s="306">
        <f t="shared" ca="1" si="20"/>
        <v>0.44338748621482044</v>
      </c>
      <c r="S14" s="307">
        <f t="shared" ca="1" si="21"/>
        <v>9.1375208015187841</v>
      </c>
      <c r="T14" s="304">
        <f t="shared" ca="1" si="1"/>
        <v>89.63907906289927</v>
      </c>
      <c r="U14" s="311">
        <f t="shared" ca="1" si="2"/>
        <v>15.565662727014354</v>
      </c>
      <c r="V14" s="306">
        <f t="shared" ca="1" si="3"/>
        <v>1.2249714803861182</v>
      </c>
      <c r="W14" s="304">
        <f t="shared" ca="1" si="4"/>
        <v>0.16175146961437106</v>
      </c>
      <c r="Y14" s="314" t="str">
        <f t="shared" ca="1" si="22"/>
        <v/>
      </c>
      <c r="Z14" s="315" t="str">
        <f t="shared" ca="1" si="23"/>
        <v/>
      </c>
      <c r="AA14" s="316" t="str">
        <f t="shared" ca="1" si="24"/>
        <v/>
      </c>
      <c r="AC14" s="310" t="e">
        <f t="shared" ca="1" si="25"/>
        <v>#N/A</v>
      </c>
      <c r="AD14" s="323" t="e">
        <f t="shared" ca="1" si="26"/>
        <v>#N/A</v>
      </c>
      <c r="AE14" s="324">
        <f t="shared" ca="1" si="5"/>
        <v>0.23281588467534353</v>
      </c>
      <c r="AG14" s="306">
        <f t="shared" ca="1" si="27"/>
        <v>87.015117530940898</v>
      </c>
      <c r="AH14" s="304">
        <f t="shared" ca="1" si="28"/>
        <v>96.676081587990652</v>
      </c>
    </row>
    <row r="15" spans="1:248" x14ac:dyDescent="0.2">
      <c r="A15" s="347">
        <f t="shared" ca="1" si="6"/>
        <v>0.01</v>
      </c>
      <c r="B15" s="304">
        <f t="shared" ca="1" si="7"/>
        <v>0.10999999999999999</v>
      </c>
      <c r="D15" s="306">
        <f t="shared" ca="1" si="8"/>
        <v>15.076407633602928</v>
      </c>
      <c r="E15" s="307">
        <f t="shared" ca="1" si="9"/>
        <v>85.50730763061901</v>
      </c>
      <c r="F15" s="304">
        <f t="shared" ca="1" si="10"/>
        <v>86.826250209092166</v>
      </c>
      <c r="G15" s="306">
        <f t="shared" ca="1" si="11"/>
        <v>1.2486071517202899</v>
      </c>
      <c r="H15" s="307">
        <f t="shared" ca="1" si="12"/>
        <v>7.0816094023131253</v>
      </c>
      <c r="I15" s="304">
        <f t="shared" ca="1" si="13"/>
        <v>7.1908422000664647</v>
      </c>
      <c r="J15" s="306">
        <f t="shared" ca="1" si="14"/>
        <v>5.2781501534655481E-2</v>
      </c>
      <c r="K15" s="307">
        <f t="shared" ca="1" si="15"/>
        <v>0.29935661331694385</v>
      </c>
      <c r="L15" s="304">
        <f t="shared" ca="1" si="0"/>
        <v>0.30397412528181256</v>
      </c>
      <c r="M15" s="306">
        <f t="shared" ca="1" si="16"/>
        <v>1.3962634015954636</v>
      </c>
      <c r="N15" s="304">
        <f t="shared" ca="1" si="17"/>
        <v>80</v>
      </c>
      <c r="P15" s="310">
        <f t="shared" ca="1" si="18"/>
        <v>2</v>
      </c>
      <c r="Q15" s="304">
        <f t="shared" ca="1" si="19"/>
        <v>881.38888888888891</v>
      </c>
      <c r="R15" s="306">
        <f t="shared" ca="1" si="20"/>
        <v>0.44232801790845289</v>
      </c>
      <c r="S15" s="307">
        <f t="shared" ca="1" si="21"/>
        <v>9.1330975213396997</v>
      </c>
      <c r="T15" s="304">
        <f t="shared" ca="1" si="1"/>
        <v>89.595686684342454</v>
      </c>
      <c r="U15" s="311">
        <f t="shared" ca="1" si="2"/>
        <v>15.55812771955333</v>
      </c>
      <c r="V15" s="306">
        <f t="shared" ca="1" si="3"/>
        <v>1.2249633293637487</v>
      </c>
      <c r="W15" s="304">
        <f t="shared" ca="1" si="4"/>
        <v>0.20922628187864933</v>
      </c>
      <c r="Y15" s="314" t="str">
        <f t="shared" ca="1" si="22"/>
        <v/>
      </c>
      <c r="Z15" s="315" t="str">
        <f t="shared" ca="1" si="23"/>
        <v/>
      </c>
      <c r="AA15" s="316" t="str">
        <f t="shared" ca="1" si="24"/>
        <v/>
      </c>
      <c r="AC15" s="310" t="e">
        <f t="shared" ca="1" si="25"/>
        <v>#N/A</v>
      </c>
      <c r="AD15" s="323" t="e">
        <f t="shared" ca="1" si="26"/>
        <v>#N/A</v>
      </c>
      <c r="AE15" s="324">
        <f t="shared" ca="1" si="5"/>
        <v>0.29935661331694385</v>
      </c>
      <c r="AG15" s="306">
        <f t="shared" ca="1" si="27"/>
        <v>86.826250205172499</v>
      </c>
      <c r="AH15" s="304">
        <f t="shared" ca="1" si="28"/>
        <v>96.487214262222253</v>
      </c>
    </row>
    <row r="16" spans="1:248" x14ac:dyDescent="0.2">
      <c r="A16" s="347">
        <f t="shared" ca="1" si="6"/>
        <v>0.01</v>
      </c>
      <c r="B16" s="304">
        <f t="shared" ca="1" si="7"/>
        <v>0.11999999999999998</v>
      </c>
      <c r="D16" s="306">
        <f t="shared" ca="1" si="8"/>
        <v>15.043447077040971</v>
      </c>
      <c r="E16" s="307">
        <f t="shared" ca="1" si="9"/>
        <v>85.320369936637576</v>
      </c>
      <c r="F16" s="304">
        <f t="shared" ca="1" si="10"/>
        <v>86.636428978140728</v>
      </c>
      <c r="G16" s="306">
        <f t="shared" ca="1" si="11"/>
        <v>1.3990416224906996</v>
      </c>
      <c r="H16" s="307">
        <f t="shared" ca="1" si="12"/>
        <v>7.9348131016795014</v>
      </c>
      <c r="I16" s="304">
        <f t="shared" ca="1" si="13"/>
        <v>8.0572064898478359</v>
      </c>
      <c r="J16" s="306">
        <f t="shared" ca="1" si="14"/>
        <v>6.6019745405710428E-2</v>
      </c>
      <c r="K16" s="307">
        <f t="shared" ca="1" si="15"/>
        <v>0.37443872583690696</v>
      </c>
      <c r="L16" s="304">
        <f t="shared" ca="1" si="0"/>
        <v>0.38021436873137926</v>
      </c>
      <c r="M16" s="306">
        <f t="shared" ca="1" si="16"/>
        <v>1.3962634015954636</v>
      </c>
      <c r="N16" s="304">
        <f t="shared" ca="1" si="17"/>
        <v>80</v>
      </c>
      <c r="P16" s="310">
        <f t="shared" ca="1" si="18"/>
        <v>2</v>
      </c>
      <c r="Q16" s="304">
        <f t="shared" ca="1" si="19"/>
        <v>879.27777777777783</v>
      </c>
      <c r="R16" s="306">
        <f t="shared" ca="1" si="20"/>
        <v>0.44126854960208534</v>
      </c>
      <c r="S16" s="307">
        <f t="shared" ca="1" si="21"/>
        <v>9.1286848358436785</v>
      </c>
      <c r="T16" s="304">
        <f t="shared" ca="1" si="1"/>
        <v>89.552398239626484</v>
      </c>
      <c r="U16" s="311">
        <f t="shared" ca="1" si="2"/>
        <v>15.550610760014367</v>
      </c>
      <c r="V16" s="306">
        <f t="shared" ca="1" si="3"/>
        <v>1.2249541321148205</v>
      </c>
      <c r="W16" s="304">
        <f t="shared" ca="1" si="4"/>
        <v>0.26267724181254876</v>
      </c>
      <c r="Y16" s="314" t="str">
        <f t="shared" ca="1" si="22"/>
        <v/>
      </c>
      <c r="Z16" s="315" t="str">
        <f t="shared" ca="1" si="23"/>
        <v/>
      </c>
      <c r="AA16" s="316" t="str">
        <f t="shared" ca="1" si="24"/>
        <v/>
      </c>
      <c r="AC16" s="310" t="e">
        <f t="shared" ca="1" si="25"/>
        <v>#N/A</v>
      </c>
      <c r="AD16" s="323" t="e">
        <f t="shared" ca="1" si="26"/>
        <v>#N/A</v>
      </c>
      <c r="AE16" s="324">
        <f t="shared" ca="1" si="5"/>
        <v>0.37443872583690696</v>
      </c>
      <c r="AG16" s="306">
        <f t="shared" ca="1" si="27"/>
        <v>86.636428974227471</v>
      </c>
      <c r="AH16" s="304">
        <f t="shared" ca="1" si="28"/>
        <v>96.297393031277238</v>
      </c>
    </row>
    <row r="17" spans="1:34" x14ac:dyDescent="0.2">
      <c r="A17" s="347">
        <f t="shared" ca="1" si="6"/>
        <v>0.01</v>
      </c>
      <c r="B17" s="304">
        <f t="shared" ca="1" si="7"/>
        <v>0.12999999999999998</v>
      </c>
      <c r="D17" s="306">
        <f t="shared" ca="1" si="8"/>
        <v>15.010321527633543</v>
      </c>
      <c r="E17" s="307">
        <f t="shared" ca="1" si="9"/>
        <v>85.132496507444557</v>
      </c>
      <c r="F17" s="304">
        <f t="shared" ca="1" si="10"/>
        <v>86.445657577191227</v>
      </c>
      <c r="G17" s="306">
        <f t="shared" ca="1" si="11"/>
        <v>1.5491448377670352</v>
      </c>
      <c r="H17" s="307">
        <f t="shared" ca="1" si="12"/>
        <v>8.7861380667539475</v>
      </c>
      <c r="I17" s="304">
        <f t="shared" ca="1" si="13"/>
        <v>8.92166306561972</v>
      </c>
      <c r="J17" s="306">
        <f t="shared" ca="1" si="14"/>
        <v>8.0760677706999101E-2</v>
      </c>
      <c r="K17" s="307">
        <f t="shared" ca="1" si="15"/>
        <v>0.45804348167907422</v>
      </c>
      <c r="L17" s="304">
        <f t="shared" ca="1" si="0"/>
        <v>0.46510871650871283</v>
      </c>
      <c r="M17" s="306">
        <f t="shared" ca="1" si="16"/>
        <v>1.3962634015954636</v>
      </c>
      <c r="N17" s="304">
        <f t="shared" ca="1" si="17"/>
        <v>80</v>
      </c>
      <c r="P17" s="310">
        <f t="shared" ca="1" si="18"/>
        <v>2</v>
      </c>
      <c r="Q17" s="304">
        <f t="shared" ca="1" si="19"/>
        <v>877.16666666666663</v>
      </c>
      <c r="R17" s="306">
        <f t="shared" ca="1" si="20"/>
        <v>0.44020908129571773</v>
      </c>
      <c r="S17" s="307">
        <f t="shared" ca="1" si="21"/>
        <v>9.1242827450307207</v>
      </c>
      <c r="T17" s="304">
        <f t="shared" ca="1" si="1"/>
        <v>89.509213728751376</v>
      </c>
      <c r="U17" s="311">
        <f t="shared" ca="1" si="2"/>
        <v>15.543111848397466</v>
      </c>
      <c r="V17" s="306">
        <f t="shared" ca="1" si="3"/>
        <v>1.2249438909585137</v>
      </c>
      <c r="W17" s="304">
        <f t="shared" ca="1" si="4"/>
        <v>0.32206346729399921</v>
      </c>
      <c r="Y17" s="314" t="str">
        <f t="shared" ca="1" si="22"/>
        <v/>
      </c>
      <c r="Z17" s="315" t="str">
        <f t="shared" ca="1" si="23"/>
        <v/>
      </c>
      <c r="AA17" s="316" t="str">
        <f t="shared" ca="1" si="24"/>
        <v/>
      </c>
      <c r="AC17" s="310" t="e">
        <f t="shared" ca="1" si="25"/>
        <v>#N/A</v>
      </c>
      <c r="AD17" s="323" t="e">
        <f t="shared" ca="1" si="26"/>
        <v>#N/A</v>
      </c>
      <c r="AE17" s="324">
        <f t="shared" ca="1" si="5"/>
        <v>0.45804348167907422</v>
      </c>
      <c r="AG17" s="306">
        <f t="shared" ca="1" si="27"/>
        <v>86.445657573284379</v>
      </c>
      <c r="AH17" s="304">
        <f t="shared" ca="1" si="28"/>
        <v>96.106621630334146</v>
      </c>
    </row>
    <row r="18" spans="1:34" x14ac:dyDescent="0.2">
      <c r="A18" s="347">
        <f t="shared" ca="1" si="6"/>
        <v>0.01</v>
      </c>
      <c r="B18" s="304">
        <f t="shared" ca="1" si="7"/>
        <v>0.13999999999999999</v>
      </c>
      <c r="D18" s="306">
        <f t="shared" ca="1" si="8"/>
        <v>14.977031640325919</v>
      </c>
      <c r="E18" s="307">
        <f t="shared" ca="1" si="9"/>
        <v>84.9436910574302</v>
      </c>
      <c r="F18" s="304">
        <f t="shared" ca="1" si="10"/>
        <v>86.253939777934036</v>
      </c>
      <c r="G18" s="306">
        <f t="shared" ca="1" si="11"/>
        <v>1.6989151541702943</v>
      </c>
      <c r="H18" s="307">
        <f t="shared" ca="1" si="12"/>
        <v>9.6355749773282504</v>
      </c>
      <c r="I18" s="304">
        <f t="shared" ca="1" si="13"/>
        <v>9.784202463399037</v>
      </c>
      <c r="J18" s="306">
        <f t="shared" ca="1" si="14"/>
        <v>9.700097766668575E-2</v>
      </c>
      <c r="K18" s="307">
        <f t="shared" ca="1" si="15"/>
        <v>0.55015204689948516</v>
      </c>
      <c r="L18" s="304">
        <f t="shared" ca="1" si="0"/>
        <v>0.5586380441538028</v>
      </c>
      <c r="M18" s="306">
        <f t="shared" ca="1" si="16"/>
        <v>1.3962634015954636</v>
      </c>
      <c r="N18" s="304">
        <f t="shared" ca="1" si="17"/>
        <v>80</v>
      </c>
      <c r="P18" s="310">
        <f t="shared" ca="1" si="18"/>
        <v>2</v>
      </c>
      <c r="Q18" s="304">
        <f t="shared" ca="1" si="19"/>
        <v>875.05555555555554</v>
      </c>
      <c r="R18" s="306">
        <f t="shared" ca="1" si="20"/>
        <v>0.43914961298935024</v>
      </c>
      <c r="S18" s="307">
        <f t="shared" ca="1" si="21"/>
        <v>9.1198912489008279</v>
      </c>
      <c r="T18" s="304">
        <f t="shared" ca="1" si="1"/>
        <v>89.466133151717131</v>
      </c>
      <c r="U18" s="311">
        <f t="shared" ca="1" si="2"/>
        <v>15.53563098470263</v>
      </c>
      <c r="V18" s="306">
        <f t="shared" ca="1" si="3"/>
        <v>1.2249326082280407</v>
      </c>
      <c r="W18" s="304">
        <f t="shared" ca="1" si="4"/>
        <v>0.38734387273785353</v>
      </c>
      <c r="Y18" s="314" t="str">
        <f t="shared" ca="1" si="22"/>
        <v/>
      </c>
      <c r="Z18" s="315" t="str">
        <f t="shared" ca="1" si="23"/>
        <v/>
      </c>
      <c r="AA18" s="316" t="str">
        <f t="shared" ca="1" si="24"/>
        <v/>
      </c>
      <c r="AC18" s="310" t="e">
        <f t="shared" ca="1" si="25"/>
        <v>#N/A</v>
      </c>
      <c r="AD18" s="323" t="e">
        <f t="shared" ca="1" si="26"/>
        <v>#N/A</v>
      </c>
      <c r="AE18" s="324">
        <f t="shared" ca="1" si="5"/>
        <v>0.55015204689948516</v>
      </c>
      <c r="AG18" s="306">
        <f t="shared" ca="1" si="27"/>
        <v>86.253939774033583</v>
      </c>
      <c r="AH18" s="304">
        <f t="shared" ca="1" si="28"/>
        <v>95.91490383108335</v>
      </c>
    </row>
    <row r="19" spans="1:34" x14ac:dyDescent="0.2">
      <c r="A19" s="347">
        <f t="shared" ca="1" si="6"/>
        <v>0.01</v>
      </c>
      <c r="B19" s="304">
        <f t="shared" ca="1" si="7"/>
        <v>0.15</v>
      </c>
      <c r="D19" s="306">
        <f t="shared" ca="1" si="8"/>
        <v>14.943578076348949</v>
      </c>
      <c r="E19" s="307">
        <f t="shared" ca="1" si="9"/>
        <v>84.753957336632183</v>
      </c>
      <c r="F19" s="304">
        <f t="shared" ca="1" si="10"/>
        <v>86.061279388256864</v>
      </c>
      <c r="G19" s="306">
        <f t="shared" ca="1" si="11"/>
        <v>1.8483509349337837</v>
      </c>
      <c r="H19" s="307">
        <f t="shared" ca="1" si="12"/>
        <v>10.483114550694573</v>
      </c>
      <c r="I19" s="304">
        <f t="shared" ca="1" si="13"/>
        <v>10.644815257281588</v>
      </c>
      <c r="J19" s="306">
        <f t="shared" ca="1" si="14"/>
        <v>0.11473730811220614</v>
      </c>
      <c r="K19" s="307">
        <f t="shared" ca="1" si="15"/>
        <v>0.65074549453959929</v>
      </c>
      <c r="L19" s="304">
        <f t="shared" ca="1" si="0"/>
        <v>0.66078313275720268</v>
      </c>
      <c r="M19" s="306">
        <f t="shared" ca="1" si="16"/>
        <v>1.3962634015954636</v>
      </c>
      <c r="N19" s="304">
        <f t="shared" ca="1" si="17"/>
        <v>80</v>
      </c>
      <c r="P19" s="310">
        <f t="shared" ca="1" si="18"/>
        <v>2</v>
      </c>
      <c r="Q19" s="304">
        <f t="shared" ca="1" si="19"/>
        <v>872.94444444444446</v>
      </c>
      <c r="R19" s="306">
        <f t="shared" ca="1" si="20"/>
        <v>0.43809014468298269</v>
      </c>
      <c r="S19" s="307">
        <f t="shared" ca="1" si="21"/>
        <v>9.1155103474539985</v>
      </c>
      <c r="T19" s="304">
        <f t="shared" ca="1" si="1"/>
        <v>89.423156508523732</v>
      </c>
      <c r="U19" s="311">
        <f t="shared" ca="1" si="2"/>
        <v>15.528168168929854</v>
      </c>
      <c r="V19" s="306">
        <f t="shared" ca="1" si="3"/>
        <v>1.2249202862705866</v>
      </c>
      <c r="W19" s="304">
        <f t="shared" ca="1" si="4"/>
        <v>0.45847717238149871</v>
      </c>
      <c r="Y19" s="314" t="str">
        <f t="shared" ca="1" si="22"/>
        <v/>
      </c>
      <c r="Z19" s="315" t="str">
        <f t="shared" ca="1" si="23"/>
        <v/>
      </c>
      <c r="AA19" s="316" t="str">
        <f t="shared" ca="1" si="24"/>
        <v/>
      </c>
      <c r="AC19" s="310" t="e">
        <f t="shared" ca="1" si="25"/>
        <v>#N/A</v>
      </c>
      <c r="AD19" s="323" t="e">
        <f t="shared" ca="1" si="26"/>
        <v>#N/A</v>
      </c>
      <c r="AE19" s="324">
        <f t="shared" ca="1" si="5"/>
        <v>0.65074549453959929</v>
      </c>
      <c r="AG19" s="306">
        <f t="shared" ca="1" si="27"/>
        <v>86.061279384362777</v>
      </c>
      <c r="AH19" s="304">
        <f t="shared" ca="1" si="28"/>
        <v>95.722243441412544</v>
      </c>
    </row>
    <row r="20" spans="1:34" x14ac:dyDescent="0.2">
      <c r="A20" s="347">
        <f t="shared" ca="1" si="6"/>
        <v>0.01</v>
      </c>
      <c r="B20" s="304">
        <f t="shared" ca="1" si="7"/>
        <v>0.16</v>
      </c>
      <c r="D20" s="306">
        <f t="shared" ca="1" si="8"/>
        <v>14.909961503163892</v>
      </c>
      <c r="E20" s="307">
        <f t="shared" ca="1" si="9"/>
        <v>84.563299130422706</v>
      </c>
      <c r="F20" s="304">
        <f t="shared" ca="1" si="10"/>
        <v>85.867680251927027</v>
      </c>
      <c r="G20" s="306">
        <f t="shared" ca="1" si="11"/>
        <v>1.9974505499654227</v>
      </c>
      <c r="H20" s="307">
        <f t="shared" ca="1" si="12"/>
        <v>11.3287475419988</v>
      </c>
      <c r="I20" s="304">
        <f t="shared" ca="1" si="13"/>
        <v>11.503492059800841</v>
      </c>
      <c r="J20" s="306">
        <f t="shared" ca="1" si="14"/>
        <v>0.13396631553670219</v>
      </c>
      <c r="K20" s="307">
        <f t="shared" ca="1" si="15"/>
        <v>0.75980480500306613</v>
      </c>
      <c r="L20" s="304">
        <f t="shared" ca="1" si="0"/>
        <v>0.77152466934261188</v>
      </c>
      <c r="M20" s="306">
        <f t="shared" ca="1" si="16"/>
        <v>1.3962634015954636</v>
      </c>
      <c r="N20" s="304">
        <f t="shared" ca="1" si="17"/>
        <v>80</v>
      </c>
      <c r="P20" s="310">
        <f t="shared" ca="1" si="18"/>
        <v>2</v>
      </c>
      <c r="Q20" s="304">
        <f t="shared" ca="1" si="19"/>
        <v>870.83333333333337</v>
      </c>
      <c r="R20" s="306">
        <f t="shared" ca="1" si="20"/>
        <v>0.43703067637661513</v>
      </c>
      <c r="S20" s="307">
        <f t="shared" ca="1" si="21"/>
        <v>9.1111400406902323</v>
      </c>
      <c r="T20" s="304">
        <f t="shared" ca="1" si="1"/>
        <v>89.380283799171181</v>
      </c>
      <c r="U20" s="311">
        <f t="shared" ca="1" si="2"/>
        <v>15.52072340107914</v>
      </c>
      <c r="V20" s="306">
        <f t="shared" ca="1" si="3"/>
        <v>1.2249069274472359</v>
      </c>
      <c r="W20" s="304">
        <f t="shared" ca="1" si="4"/>
        <v>0.53542188358517029</v>
      </c>
      <c r="Y20" s="314" t="str">
        <f t="shared" ca="1" si="22"/>
        <v/>
      </c>
      <c r="Z20" s="315" t="str">
        <f t="shared" ca="1" si="23"/>
        <v/>
      </c>
      <c r="AA20" s="316" t="str">
        <f t="shared" ca="1" si="24"/>
        <v/>
      </c>
      <c r="AC20" s="310" t="e">
        <f t="shared" ca="1" si="25"/>
        <v>#N/A</v>
      </c>
      <c r="AD20" s="323" t="e">
        <f t="shared" ca="1" si="26"/>
        <v>#N/A</v>
      </c>
      <c r="AE20" s="324">
        <f t="shared" ca="1" si="5"/>
        <v>0.75980480500306613</v>
      </c>
      <c r="AG20" s="306">
        <f t="shared" ca="1" si="27"/>
        <v>85.867680248039306</v>
      </c>
      <c r="AH20" s="304">
        <f t="shared" ca="1" si="28"/>
        <v>95.52864430508906</v>
      </c>
    </row>
    <row r="21" spans="1:34" x14ac:dyDescent="0.2">
      <c r="A21" s="347">
        <f t="shared" ca="1" si="6"/>
        <v>0.01</v>
      </c>
      <c r="B21" s="304">
        <f t="shared" ca="1" si="7"/>
        <v>0.17</v>
      </c>
      <c r="D21" s="306">
        <f t="shared" ca="1" si="8"/>
        <v>14.876182594406737</v>
      </c>
      <c r="E21" s="307">
        <f t="shared" ca="1" si="9"/>
        <v>84.371720259192685</v>
      </c>
      <c r="F21" s="304">
        <f t="shared" ca="1" si="10"/>
        <v>85.673146248270797</v>
      </c>
      <c r="G21" s="306">
        <f t="shared" ca="1" si="11"/>
        <v>2.14621237590949</v>
      </c>
      <c r="H21" s="307">
        <f t="shared" ca="1" si="12"/>
        <v>12.172464744590727</v>
      </c>
      <c r="I21" s="304">
        <f t="shared" ca="1" si="13"/>
        <v>12.360223522283537</v>
      </c>
      <c r="J21" s="306">
        <f t="shared" ca="1" si="14"/>
        <v>0.15468463016607675</v>
      </c>
      <c r="K21" s="307">
        <f t="shared" ca="1" si="15"/>
        <v>0.87731086643601375</v>
      </c>
      <c r="L21" s="304">
        <f t="shared" ca="1" si="0"/>
        <v>0.8908432472530311</v>
      </c>
      <c r="M21" s="306">
        <f t="shared" ca="1" si="16"/>
        <v>1.3962634015954636</v>
      </c>
      <c r="N21" s="304">
        <f t="shared" ca="1" si="17"/>
        <v>80</v>
      </c>
      <c r="P21" s="310">
        <f t="shared" ca="1" si="18"/>
        <v>2</v>
      </c>
      <c r="Q21" s="304">
        <f t="shared" ca="1" si="19"/>
        <v>868.72222222222217</v>
      </c>
      <c r="R21" s="306">
        <f t="shared" ca="1" si="20"/>
        <v>0.43597120807024753</v>
      </c>
      <c r="S21" s="307">
        <f t="shared" ca="1" si="21"/>
        <v>9.1067803286095295</v>
      </c>
      <c r="T21" s="304">
        <f t="shared" ca="1" si="1"/>
        <v>89.337515023659492</v>
      </c>
      <c r="U21" s="311">
        <f t="shared" ca="1" si="2"/>
        <v>15.513296681150489</v>
      </c>
      <c r="V21" s="306">
        <f t="shared" ca="1" si="3"/>
        <v>1.2248925341329104</v>
      </c>
      <c r="W21" s="304">
        <f t="shared" ca="1" si="4"/>
        <v>0.61813633014651836</v>
      </c>
      <c r="Y21" s="314" t="str">
        <f t="shared" ca="1" si="22"/>
        <v/>
      </c>
      <c r="Z21" s="315" t="str">
        <f t="shared" ca="1" si="23"/>
        <v/>
      </c>
      <c r="AA21" s="316" t="str">
        <f t="shared" ca="1" si="24"/>
        <v/>
      </c>
      <c r="AC21" s="310" t="e">
        <f t="shared" ca="1" si="25"/>
        <v>#N/A</v>
      </c>
      <c r="AD21" s="323" t="e">
        <f t="shared" ca="1" si="26"/>
        <v>#N/A</v>
      </c>
      <c r="AE21" s="324">
        <f t="shared" ca="1" si="5"/>
        <v>0.87731086643601375</v>
      </c>
      <c r="AG21" s="306">
        <f t="shared" ca="1" si="27"/>
        <v>85.673146244389372</v>
      </c>
      <c r="AH21" s="304">
        <f t="shared" ca="1" si="28"/>
        <v>95.334110301439139</v>
      </c>
    </row>
    <row r="22" spans="1:34" x14ac:dyDescent="0.2">
      <c r="A22" s="347">
        <f t="shared" ca="1" si="6"/>
        <v>0.01</v>
      </c>
      <c r="B22" s="304">
        <f t="shared" ca="1" si="7"/>
        <v>0.18000000000000002</v>
      </c>
      <c r="D22" s="306">
        <f t="shared" ca="1" si="8"/>
        <v>14.842242029831919</v>
      </c>
      <c r="E22" s="307">
        <f t="shared" ca="1" si="9"/>
        <v>84.179224578032617</v>
      </c>
      <c r="F22" s="304">
        <f t="shared" ca="1" si="10"/>
        <v>85.477681291849279</v>
      </c>
      <c r="G22" s="306">
        <f t="shared" ca="1" si="11"/>
        <v>2.2946347962078093</v>
      </c>
      <c r="H22" s="307">
        <f t="shared" ca="1" si="12"/>
        <v>13.014256990371052</v>
      </c>
      <c r="I22" s="304">
        <f t="shared" ca="1" si="13"/>
        <v>13.215000335202019</v>
      </c>
      <c r="J22" s="306">
        <f t="shared" ca="1" si="14"/>
        <v>0.17688886602666326</v>
      </c>
      <c r="K22" s="307">
        <f t="shared" ca="1" si="15"/>
        <v>1.0032444751108227</v>
      </c>
      <c r="L22" s="304">
        <f t="shared" ca="1" si="0"/>
        <v>1.0187193665404564</v>
      </c>
      <c r="M22" s="306">
        <f t="shared" ca="1" si="16"/>
        <v>1.3962634015954636</v>
      </c>
      <c r="N22" s="304">
        <f t="shared" ca="1" si="17"/>
        <v>80</v>
      </c>
      <c r="P22" s="310">
        <f t="shared" ca="1" si="18"/>
        <v>2</v>
      </c>
      <c r="Q22" s="304">
        <f t="shared" ca="1" si="19"/>
        <v>866.61111111111109</v>
      </c>
      <c r="R22" s="306">
        <f t="shared" ca="1" si="20"/>
        <v>0.43491173976387998</v>
      </c>
      <c r="S22" s="307">
        <f t="shared" ca="1" si="21"/>
        <v>9.1024312112118899</v>
      </c>
      <c r="T22" s="304">
        <f t="shared" ca="1" si="1"/>
        <v>89.29485018198865</v>
      </c>
      <c r="U22" s="311">
        <f t="shared" ca="1" si="2"/>
        <v>15.505888009143899</v>
      </c>
      <c r="V22" s="306">
        <f t="shared" ca="1" si="3"/>
        <v>1.2248771087162988</v>
      </c>
      <c r="W22" s="304">
        <f t="shared" ca="1" si="4"/>
        <v>0.70657864562895134</v>
      </c>
      <c r="Y22" s="314" t="str">
        <f t="shared" ca="1" si="22"/>
        <v/>
      </c>
      <c r="Z22" s="315" t="str">
        <f t="shared" ca="1" si="23"/>
        <v/>
      </c>
      <c r="AA22" s="316" t="str">
        <f t="shared" ca="1" si="24"/>
        <v/>
      </c>
      <c r="AC22" s="310" t="e">
        <f t="shared" ca="1" si="25"/>
        <v>#N/A</v>
      </c>
      <c r="AD22" s="323" t="e">
        <f t="shared" ca="1" si="26"/>
        <v>#N/A</v>
      </c>
      <c r="AE22" s="324">
        <f t="shared" ca="1" si="5"/>
        <v>1.0032444751108227</v>
      </c>
      <c r="AG22" s="306">
        <f t="shared" ca="1" si="27"/>
        <v>85.477681287974164</v>
      </c>
      <c r="AH22" s="304">
        <f t="shared" ca="1" si="28"/>
        <v>95.138645345023932</v>
      </c>
    </row>
    <row r="23" spans="1:34" x14ac:dyDescent="0.2">
      <c r="A23" s="347">
        <f t="shared" ca="1" si="6"/>
        <v>0.01</v>
      </c>
      <c r="B23" s="304">
        <f t="shared" ca="1" si="7"/>
        <v>0.19000000000000003</v>
      </c>
      <c r="D23" s="306">
        <f t="shared" ca="1" si="8"/>
        <v>14.808140495255554</v>
      </c>
      <c r="E23" s="307">
        <f t="shared" ca="1" si="9"/>
        <v>83.985815976410578</v>
      </c>
      <c r="F23" s="304">
        <f t="shared" ca="1" si="10"/>
        <v>85.281289332131522</v>
      </c>
      <c r="G23" s="306">
        <f t="shared" ca="1" si="11"/>
        <v>2.4427162011603647</v>
      </c>
      <c r="H23" s="307">
        <f t="shared" ca="1" si="12"/>
        <v>13.854115150135158</v>
      </c>
      <c r="I23" s="304">
        <f t="shared" ca="1" si="13"/>
        <v>14.067813228523324</v>
      </c>
      <c r="J23" s="306">
        <f t="shared" ca="1" si="14"/>
        <v>0.20057562101350412</v>
      </c>
      <c r="K23" s="307">
        <f t="shared" ca="1" si="15"/>
        <v>1.1375863358133538</v>
      </c>
      <c r="L23" s="304">
        <f t="shared" ca="1" si="0"/>
        <v>1.1551334343590811</v>
      </c>
      <c r="M23" s="306">
        <f t="shared" ca="1" si="16"/>
        <v>1.3962634015954636</v>
      </c>
      <c r="N23" s="304">
        <f t="shared" ca="1" si="17"/>
        <v>80</v>
      </c>
      <c r="P23" s="310">
        <f t="shared" ca="1" si="18"/>
        <v>2</v>
      </c>
      <c r="Q23" s="304">
        <f t="shared" ca="1" si="19"/>
        <v>864.5</v>
      </c>
      <c r="R23" s="306">
        <f t="shared" ca="1" si="20"/>
        <v>0.43385227145751248</v>
      </c>
      <c r="S23" s="307">
        <f t="shared" ca="1" si="21"/>
        <v>9.0980926884973155</v>
      </c>
      <c r="T23" s="304">
        <f t="shared" ca="1" si="1"/>
        <v>89.25228927415867</v>
      </c>
      <c r="U23" s="311">
        <f t="shared" ca="1" si="2"/>
        <v>15.498497385059373</v>
      </c>
      <c r="V23" s="306">
        <f t="shared" ca="1" si="3"/>
        <v>1.2248606535997912</v>
      </c>
      <c r="W23" s="304">
        <f t="shared" ca="1" si="4"/>
        <v>0.80070677670329515</v>
      </c>
      <c r="Y23" s="314" t="str">
        <f t="shared" ca="1" si="22"/>
        <v/>
      </c>
      <c r="Z23" s="315" t="str">
        <f t="shared" ca="1" si="23"/>
        <v/>
      </c>
      <c r="AA23" s="316" t="str">
        <f t="shared" ca="1" si="24"/>
        <v/>
      </c>
      <c r="AC23" s="310" t="e">
        <f t="shared" ca="1" si="25"/>
        <v>#N/A</v>
      </c>
      <c r="AD23" s="323" t="e">
        <f t="shared" ca="1" si="26"/>
        <v>#N/A</v>
      </c>
      <c r="AE23" s="324">
        <f t="shared" ca="1" si="5"/>
        <v>1.1375863358133538</v>
      </c>
      <c r="AG23" s="306">
        <f t="shared" ca="1" si="27"/>
        <v>85.281289328262716</v>
      </c>
      <c r="AH23" s="304">
        <f t="shared" ca="1" si="28"/>
        <v>94.942253385312483</v>
      </c>
    </row>
    <row r="24" spans="1:34" x14ac:dyDescent="0.2">
      <c r="A24" s="347">
        <f t="shared" ca="1" si="6"/>
        <v>0.01</v>
      </c>
      <c r="B24" s="304">
        <f t="shared" ca="1" si="7"/>
        <v>0.20000000000000004</v>
      </c>
      <c r="D24" s="306">
        <f t="shared" ca="1" si="8"/>
        <v>14.773878682498133</v>
      </c>
      <c r="E24" s="307">
        <f t="shared" ca="1" si="9"/>
        <v>83.791498377847404</v>
      </c>
      <c r="F24" s="304">
        <f t="shared" ca="1" si="10"/>
        <v>85.083974353164635</v>
      </c>
      <c r="G24" s="306">
        <f t="shared" ca="1" si="11"/>
        <v>2.5904549879853462</v>
      </c>
      <c r="H24" s="307">
        <f t="shared" ca="1" si="12"/>
        <v>14.692030133913631</v>
      </c>
      <c r="I24" s="304">
        <f t="shared" ca="1" si="13"/>
        <v>14.918652972054963</v>
      </c>
      <c r="J24" s="306">
        <f t="shared" ca="1" si="14"/>
        <v>0.22574147695923269</v>
      </c>
      <c r="K24" s="307">
        <f t="shared" ca="1" si="15"/>
        <v>1.2803170622335978</v>
      </c>
      <c r="L24" s="304">
        <f t="shared" ca="1" si="0"/>
        <v>1.3000657653619705</v>
      </c>
      <c r="M24" s="306">
        <f t="shared" ca="1" si="16"/>
        <v>1.3962634015954636</v>
      </c>
      <c r="N24" s="304">
        <f t="shared" ca="1" si="17"/>
        <v>80</v>
      </c>
      <c r="P24" s="310">
        <f t="shared" ca="1" si="18"/>
        <v>2</v>
      </c>
      <c r="Q24" s="304">
        <f t="shared" ca="1" si="19"/>
        <v>862.38888888888891</v>
      </c>
      <c r="R24" s="306">
        <f t="shared" ca="1" si="20"/>
        <v>0.43279280315114493</v>
      </c>
      <c r="S24" s="307">
        <f t="shared" ca="1" si="21"/>
        <v>9.0937647604658043</v>
      </c>
      <c r="T24" s="304">
        <f t="shared" ca="1" si="1"/>
        <v>89.209832300169538</v>
      </c>
      <c r="U24" s="311">
        <f t="shared" ca="1" si="2"/>
        <v>15.491124808896908</v>
      </c>
      <c r="V24" s="306">
        <f t="shared" ca="1" si="3"/>
        <v>1.2248431711994061</v>
      </c>
      <c r="W24" s="304">
        <f t="shared" ca="1" si="4"/>
        <v>0.90047848650229734</v>
      </c>
      <c r="Y24" s="314" t="str">
        <f t="shared" ca="1" si="22"/>
        <v/>
      </c>
      <c r="Z24" s="315" t="str">
        <f t="shared" ca="1" si="23"/>
        <v/>
      </c>
      <c r="AA24" s="316" t="str">
        <f t="shared" ca="1" si="24"/>
        <v/>
      </c>
      <c r="AC24" s="310" t="e">
        <f t="shared" ca="1" si="25"/>
        <v>#N/A</v>
      </c>
      <c r="AD24" s="323" t="e">
        <f t="shared" ca="1" si="26"/>
        <v>#N/A</v>
      </c>
      <c r="AE24" s="324">
        <f t="shared" ca="1" si="5"/>
        <v>1.2803170622335978</v>
      </c>
      <c r="AG24" s="306">
        <f t="shared" ca="1" si="27"/>
        <v>85.083974349302082</v>
      </c>
      <c r="AH24" s="304">
        <f t="shared" ca="1" si="28"/>
        <v>94.744938406351849</v>
      </c>
    </row>
    <row r="25" spans="1:34" x14ac:dyDescent="0.2">
      <c r="A25" s="347">
        <f t="shared" ca="1" si="6"/>
        <v>0.01</v>
      </c>
      <c r="B25" s="304">
        <f t="shared" ca="1" si="7"/>
        <v>0.21000000000000005</v>
      </c>
      <c r="D25" s="306">
        <f t="shared" ca="1" si="8"/>
        <v>14.739457289326712</v>
      </c>
      <c r="E25" s="307">
        <f t="shared" ca="1" si="9"/>
        <v>83.596275739588478</v>
      </c>
      <c r="F25" s="304">
        <f t="shared" ca="1" si="10"/>
        <v>84.885740373240523</v>
      </c>
      <c r="G25" s="306">
        <f t="shared" ca="1" si="11"/>
        <v>2.7378495608786135</v>
      </c>
      <c r="H25" s="307">
        <f t="shared" ca="1" si="12"/>
        <v>15.527992891309516</v>
      </c>
      <c r="I25" s="304">
        <f t="shared" ca="1" si="13"/>
        <v>15.767510375787362</v>
      </c>
      <c r="J25" s="306">
        <f t="shared" ca="1" si="14"/>
        <v>0.25238299970355249</v>
      </c>
      <c r="K25" s="307">
        <f t="shared" ca="1" si="15"/>
        <v>1.4314171773597135</v>
      </c>
      <c r="L25" s="304">
        <f t="shared" ca="1" si="0"/>
        <v>1.45349658210118</v>
      </c>
      <c r="M25" s="306">
        <f t="shared" ca="1" si="16"/>
        <v>1.3962634015954636</v>
      </c>
      <c r="N25" s="304">
        <f t="shared" ca="1" si="17"/>
        <v>80</v>
      </c>
      <c r="P25" s="310">
        <f t="shared" ca="1" si="18"/>
        <v>2</v>
      </c>
      <c r="Q25" s="304">
        <f t="shared" ca="1" si="19"/>
        <v>860.27777777777783</v>
      </c>
      <c r="R25" s="306">
        <f t="shared" ca="1" si="20"/>
        <v>0.43173333484477738</v>
      </c>
      <c r="S25" s="307">
        <f t="shared" ca="1" si="21"/>
        <v>9.0894474271173564</v>
      </c>
      <c r="T25" s="304">
        <f t="shared" ca="1" si="1"/>
        <v>89.167479260021267</v>
      </c>
      <c r="U25" s="311">
        <f t="shared" ca="1" si="2"/>
        <v>15.483770280656506</v>
      </c>
      <c r="V25" s="306">
        <f t="shared" ca="1" si="3"/>
        <v>1.2248246639447256</v>
      </c>
      <c r="W25" s="304">
        <f t="shared" ca="1" si="4"/>
        <v>1.0058513579875115</v>
      </c>
      <c r="Y25" s="314" t="str">
        <f t="shared" ca="1" si="22"/>
        <v/>
      </c>
      <c r="Z25" s="315" t="str">
        <f t="shared" ca="1" si="23"/>
        <v/>
      </c>
      <c r="AA25" s="316" t="str">
        <f t="shared" ca="1" si="24"/>
        <v/>
      </c>
      <c r="AC25" s="310" t="e">
        <f t="shared" ca="1" si="25"/>
        <v>#N/A</v>
      </c>
      <c r="AD25" s="323" t="e">
        <f t="shared" ca="1" si="26"/>
        <v>#N/A</v>
      </c>
      <c r="AE25" s="324">
        <f t="shared" ca="1" si="5"/>
        <v>1.4314171773597135</v>
      </c>
      <c r="AG25" s="306">
        <f t="shared" ca="1" si="27"/>
        <v>84.885740369384223</v>
      </c>
      <c r="AH25" s="304">
        <f t="shared" ca="1" si="28"/>
        <v>94.54670442643399</v>
      </c>
    </row>
    <row r="26" spans="1:34" x14ac:dyDescent="0.2">
      <c r="A26" s="347">
        <f t="shared" ca="1" si="6"/>
        <v>0.01</v>
      </c>
      <c r="B26" s="304">
        <f t="shared" ca="1" si="7"/>
        <v>0.22000000000000006</v>
      </c>
      <c r="D26" s="306">
        <f t="shared" ca="1" si="8"/>
        <v>14.704877019396545</v>
      </c>
      <c r="E26" s="307">
        <f t="shared" ca="1" si="9"/>
        <v>83.400152052273157</v>
      </c>
      <c r="F26" s="304">
        <f t="shared" ca="1" si="10"/>
        <v>84.686591444560207</v>
      </c>
      <c r="G26" s="306">
        <f t="shared" ca="1" si="11"/>
        <v>2.8848983310725789</v>
      </c>
      <c r="H26" s="307">
        <f t="shared" ca="1" si="12"/>
        <v>16.361994411832249</v>
      </c>
      <c r="I26" s="304">
        <f t="shared" ca="1" si="13"/>
        <v>16.614376290232958</v>
      </c>
      <c r="J26" s="306">
        <f t="shared" ca="1" si="14"/>
        <v>0.28049673916330847</v>
      </c>
      <c r="K26" s="307">
        <f t="shared" ca="1" si="15"/>
        <v>1.5908671138754222</v>
      </c>
      <c r="L26" s="304">
        <f t="shared" ca="1" si="0"/>
        <v>1.6154060154312799</v>
      </c>
      <c r="M26" s="306">
        <f t="shared" ca="1" si="16"/>
        <v>1.3962634015954636</v>
      </c>
      <c r="N26" s="304">
        <f t="shared" ca="1" si="17"/>
        <v>80</v>
      </c>
      <c r="P26" s="310">
        <f t="shared" ca="1" si="18"/>
        <v>2</v>
      </c>
      <c r="Q26" s="304">
        <f t="shared" ca="1" si="19"/>
        <v>858.16666666666663</v>
      </c>
      <c r="R26" s="306">
        <f t="shared" ca="1" si="20"/>
        <v>0.43067386653840978</v>
      </c>
      <c r="S26" s="307">
        <f t="shared" ca="1" si="21"/>
        <v>9.0851406884519719</v>
      </c>
      <c r="T26" s="304">
        <f t="shared" ca="1" si="1"/>
        <v>89.125230153713844</v>
      </c>
      <c r="U26" s="311">
        <f t="shared" ca="1" si="2"/>
        <v>15.476433800338166</v>
      </c>
      <c r="V26" s="306">
        <f t="shared" ca="1" si="3"/>
        <v>1.2248051342788238</v>
      </c>
      <c r="W26" s="304">
        <f t="shared" ca="1" si="4"/>
        <v>1.116782797328089</v>
      </c>
      <c r="Y26" s="314" t="str">
        <f t="shared" ca="1" si="22"/>
        <v/>
      </c>
      <c r="Z26" s="315" t="str">
        <f t="shared" ca="1" si="23"/>
        <v/>
      </c>
      <c r="AA26" s="316" t="str">
        <f t="shared" ca="1" si="24"/>
        <v/>
      </c>
      <c r="AC26" s="310" t="e">
        <f t="shared" ca="1" si="25"/>
        <v>#N/A</v>
      </c>
      <c r="AD26" s="323" t="e">
        <f t="shared" ca="1" si="26"/>
        <v>#N/A</v>
      </c>
      <c r="AE26" s="324">
        <f t="shared" ca="1" si="5"/>
        <v>1.5908671138754222</v>
      </c>
      <c r="AG26" s="306">
        <f t="shared" ca="1" si="27"/>
        <v>84.686591440710146</v>
      </c>
      <c r="AH26" s="304">
        <f t="shared" ca="1" si="28"/>
        <v>94.347555497759913</v>
      </c>
    </row>
    <row r="27" spans="1:34" x14ac:dyDescent="0.2">
      <c r="A27" s="347">
        <f t="shared" ca="1" si="6"/>
        <v>0.01</v>
      </c>
      <c r="B27" s="304">
        <f t="shared" ca="1" si="7"/>
        <v>0.23000000000000007</v>
      </c>
      <c r="D27" s="306">
        <f t="shared" ca="1" si="8"/>
        <v>14.670138582192324</v>
      </c>
      <c r="E27" s="307">
        <f t="shared" ca="1" si="9"/>
        <v>83.203131339601157</v>
      </c>
      <c r="F27" s="304">
        <f t="shared" ca="1" si="10"/>
        <v>84.48653165289511</v>
      </c>
      <c r="G27" s="306">
        <f t="shared" ca="1" si="11"/>
        <v>3.0315997168945019</v>
      </c>
      <c r="H27" s="307">
        <f t="shared" ca="1" si="12"/>
        <v>17.194025725228261</v>
      </c>
      <c r="I27" s="304">
        <f t="shared" ca="1" si="13"/>
        <v>17.459241606761907</v>
      </c>
      <c r="J27" s="306">
        <f t="shared" ca="1" si="14"/>
        <v>0.31007922940314386</v>
      </c>
      <c r="K27" s="307">
        <f t="shared" ca="1" si="15"/>
        <v>1.7586472145607248</v>
      </c>
      <c r="L27" s="304">
        <f t="shared" ca="1" si="0"/>
        <v>1.7857741049162528</v>
      </c>
      <c r="M27" s="306">
        <f t="shared" ca="1" si="16"/>
        <v>1.3962634015954636</v>
      </c>
      <c r="N27" s="304">
        <f t="shared" ca="1" si="17"/>
        <v>80</v>
      </c>
      <c r="P27" s="310">
        <f t="shared" ca="1" si="18"/>
        <v>2</v>
      </c>
      <c r="Q27" s="304">
        <f t="shared" ca="1" si="19"/>
        <v>856.05555555555554</v>
      </c>
      <c r="R27" s="306">
        <f t="shared" ca="1" si="20"/>
        <v>0.42961439823204223</v>
      </c>
      <c r="S27" s="307">
        <f t="shared" ca="1" si="21"/>
        <v>9.0808445444696506</v>
      </c>
      <c r="T27" s="304">
        <f t="shared" ca="1" si="1"/>
        <v>89.083084981247282</v>
      </c>
      <c r="U27" s="311">
        <f t="shared" ca="1" si="2"/>
        <v>15.469115367941889</v>
      </c>
      <c r="V27" s="306">
        <f t="shared" ca="1" si="3"/>
        <v>1.2247845846581962</v>
      </c>
      <c r="W27" s="304">
        <f t="shared" ca="1" si="4"/>
        <v>1.2332300372910059</v>
      </c>
      <c r="Y27" s="314" t="str">
        <f t="shared" ca="1" si="22"/>
        <v/>
      </c>
      <c r="Z27" s="315" t="str">
        <f t="shared" ca="1" si="23"/>
        <v/>
      </c>
      <c r="AA27" s="316" t="str">
        <f t="shared" ca="1" si="24"/>
        <v/>
      </c>
      <c r="AC27" s="310" t="e">
        <f t="shared" ca="1" si="25"/>
        <v>#N/A</v>
      </c>
      <c r="AD27" s="323" t="e">
        <f t="shared" ca="1" si="26"/>
        <v>#N/A</v>
      </c>
      <c r="AE27" s="324">
        <f t="shared" ca="1" si="5"/>
        <v>1.7586472145607248</v>
      </c>
      <c r="AG27" s="306">
        <f t="shared" ca="1" si="27"/>
        <v>84.486531649051258</v>
      </c>
      <c r="AH27" s="304">
        <f t="shared" ca="1" si="28"/>
        <v>94.147495706101026</v>
      </c>
    </row>
    <row r="28" spans="1:34" x14ac:dyDescent="0.2">
      <c r="A28" s="347">
        <f t="shared" ca="1" si="6"/>
        <v>0.01</v>
      </c>
      <c r="B28" s="304">
        <f t="shared" ca="1" si="7"/>
        <v>0.24000000000000007</v>
      </c>
      <c r="D28" s="306">
        <f t="shared" ca="1" si="8"/>
        <v>14.635242692968816</v>
      </c>
      <c r="E28" s="307">
        <f t="shared" ca="1" si="9"/>
        <v>83.005217657996099</v>
      </c>
      <c r="F28" s="304">
        <f t="shared" ca="1" si="10"/>
        <v>84.285565117245341</v>
      </c>
      <c r="G28" s="306">
        <f t="shared" ca="1" si="11"/>
        <v>3.1779521438241902</v>
      </c>
      <c r="H28" s="307">
        <f t="shared" ca="1" si="12"/>
        <v>18.024077901808223</v>
      </c>
      <c r="I28" s="304">
        <f t="shared" ca="1" si="13"/>
        <v>18.302097257934356</v>
      </c>
      <c r="J28" s="306">
        <f t="shared" ca="1" si="14"/>
        <v>0.3411269887067373</v>
      </c>
      <c r="K28" s="307">
        <f t="shared" ca="1" si="15"/>
        <v>1.9347377326959072</v>
      </c>
      <c r="L28" s="304">
        <f t="shared" ca="1" si="0"/>
        <v>1.9645807992397324</v>
      </c>
      <c r="M28" s="306">
        <f t="shared" ca="1" si="16"/>
        <v>1.3962634015954636</v>
      </c>
      <c r="N28" s="304">
        <f t="shared" ca="1" si="17"/>
        <v>80</v>
      </c>
      <c r="P28" s="310">
        <f t="shared" ca="1" si="18"/>
        <v>2</v>
      </c>
      <c r="Q28" s="304">
        <f t="shared" ca="1" si="19"/>
        <v>853.94444444444446</v>
      </c>
      <c r="R28" s="306">
        <f t="shared" ca="1" si="20"/>
        <v>0.42855492992567468</v>
      </c>
      <c r="S28" s="307">
        <f t="shared" ca="1" si="21"/>
        <v>9.0765589951703944</v>
      </c>
      <c r="T28" s="304">
        <f t="shared" ca="1" si="1"/>
        <v>89.041043742621568</v>
      </c>
      <c r="U28" s="311">
        <f t="shared" ca="1" si="2"/>
        <v>15.461814983467672</v>
      </c>
      <c r="V28" s="306">
        <f t="shared" ca="1" si="3"/>
        <v>1.2247630175526889</v>
      </c>
      <c r="W28" s="304">
        <f t="shared" ca="1" si="4"/>
        <v>1.3551501406422544</v>
      </c>
      <c r="Y28" s="314" t="str">
        <f t="shared" ca="1" si="22"/>
        <v/>
      </c>
      <c r="Z28" s="315" t="str">
        <f t="shared" ca="1" si="23"/>
        <v/>
      </c>
      <c r="AA28" s="316" t="str">
        <f t="shared" ca="1" si="24"/>
        <v/>
      </c>
      <c r="AC28" s="310" t="e">
        <f t="shared" ca="1" si="25"/>
        <v>#N/A</v>
      </c>
      <c r="AD28" s="323" t="e">
        <f t="shared" ca="1" si="26"/>
        <v>#N/A</v>
      </c>
      <c r="AE28" s="324">
        <f t="shared" ca="1" si="5"/>
        <v>1.9347377326959072</v>
      </c>
      <c r="AG28" s="306">
        <f t="shared" ca="1" si="27"/>
        <v>84.285565113407699</v>
      </c>
      <c r="AH28" s="304">
        <f t="shared" ca="1" si="28"/>
        <v>93.946529170457453</v>
      </c>
    </row>
    <row r="29" spans="1:34" x14ac:dyDescent="0.2">
      <c r="A29" s="347">
        <f t="shared" ca="1" si="6"/>
        <v>0.01</v>
      </c>
      <c r="B29" s="304">
        <f t="shared" ca="1" si="7"/>
        <v>0.25000000000000006</v>
      </c>
      <c r="D29" s="306">
        <f t="shared" ca="1" si="8"/>
        <v>14.600190072691097</v>
      </c>
      <c r="E29" s="307">
        <f t="shared" ca="1" si="9"/>
        <v>82.806415096266463</v>
      </c>
      <c r="F29" s="304">
        <f t="shared" ca="1" si="10"/>
        <v>84.083695989495453</v>
      </c>
      <c r="G29" s="306">
        <f t="shared" ca="1" si="11"/>
        <v>3.3239540445511011</v>
      </c>
      <c r="H29" s="307">
        <f t="shared" ca="1" si="12"/>
        <v>18.852142052770887</v>
      </c>
      <c r="I29" s="304">
        <f t="shared" ca="1" si="13"/>
        <v>19.142934217829307</v>
      </c>
      <c r="J29" s="306">
        <f t="shared" ca="1" si="14"/>
        <v>0.37363651964861377</v>
      </c>
      <c r="K29" s="307">
        <f t="shared" ca="1" si="15"/>
        <v>2.1191188324688026</v>
      </c>
      <c r="L29" s="304">
        <f t="shared" ca="1" si="0"/>
        <v>2.1518059566185492</v>
      </c>
      <c r="M29" s="306">
        <f t="shared" ca="1" si="16"/>
        <v>1.3962634015954636</v>
      </c>
      <c r="N29" s="304">
        <f t="shared" ca="1" si="17"/>
        <v>80</v>
      </c>
      <c r="P29" s="310">
        <f t="shared" ca="1" si="18"/>
        <v>2</v>
      </c>
      <c r="Q29" s="304">
        <f t="shared" ca="1" si="19"/>
        <v>851.83333333333337</v>
      </c>
      <c r="R29" s="306">
        <f t="shared" ca="1" si="20"/>
        <v>0.42749546161930718</v>
      </c>
      <c r="S29" s="307">
        <f t="shared" ca="1" si="21"/>
        <v>9.0722840405542016</v>
      </c>
      <c r="T29" s="304">
        <f t="shared" ca="1" si="1"/>
        <v>88.999106437836716</v>
      </c>
      <c r="U29" s="311">
        <f t="shared" ca="1" si="2"/>
        <v>15.454532646915521</v>
      </c>
      <c r="V29" s="306">
        <f t="shared" ca="1" si="3"/>
        <v>1.2247404354454294</v>
      </c>
      <c r="W29" s="304">
        <f t="shared" ca="1" si="4"/>
        <v>1.4825000035585341</v>
      </c>
      <c r="Y29" s="314" t="str">
        <f t="shared" ca="1" si="22"/>
        <v/>
      </c>
      <c r="Z29" s="315" t="str">
        <f t="shared" ca="1" si="23"/>
        <v/>
      </c>
      <c r="AA29" s="316" t="str">
        <f t="shared" ca="1" si="24"/>
        <v/>
      </c>
      <c r="AC29" s="310" t="e">
        <f t="shared" ca="1" si="25"/>
        <v>#N/A</v>
      </c>
      <c r="AD29" s="323" t="e">
        <f t="shared" ca="1" si="26"/>
        <v>#N/A</v>
      </c>
      <c r="AE29" s="324">
        <f t="shared" ca="1" si="5"/>
        <v>2.1191188324688026</v>
      </c>
      <c r="AG29" s="306">
        <f t="shared" ca="1" si="27"/>
        <v>84.083695985663979</v>
      </c>
      <c r="AH29" s="304">
        <f t="shared" ca="1" si="28"/>
        <v>93.744660042713747</v>
      </c>
    </row>
    <row r="30" spans="1:34" x14ac:dyDescent="0.2">
      <c r="A30" s="347">
        <f t="shared" ca="1" si="6"/>
        <v>0.01</v>
      </c>
      <c r="B30" s="304">
        <f t="shared" ca="1" si="7"/>
        <v>0.26000000000000006</v>
      </c>
      <c r="D30" s="306">
        <f t="shared" ca="1" si="8"/>
        <v>14.564981447974272</v>
      </c>
      <c r="E30" s="307">
        <f t="shared" ca="1" si="9"/>
        <v>82.60672777526382</v>
      </c>
      <c r="F30" s="304">
        <f t="shared" ca="1" si="10"/>
        <v>83.880928454067416</v>
      </c>
      <c r="G30" s="306">
        <f t="shared" ca="1" si="11"/>
        <v>3.469603859030844</v>
      </c>
      <c r="H30" s="307">
        <f t="shared" ca="1" si="12"/>
        <v>19.678209330523526</v>
      </c>
      <c r="I30" s="304">
        <f t="shared" ca="1" si="13"/>
        <v>19.98174350236998</v>
      </c>
      <c r="J30" s="306">
        <f t="shared" ca="1" si="14"/>
        <v>0.40760430916652352</v>
      </c>
      <c r="K30" s="307">
        <f t="shared" ca="1" si="15"/>
        <v>2.3117705893852749</v>
      </c>
      <c r="L30" s="304">
        <f t="shared" ca="1" si="0"/>
        <v>2.3474293452195445</v>
      </c>
      <c r="M30" s="306">
        <f t="shared" ca="1" si="16"/>
        <v>1.3962634015954636</v>
      </c>
      <c r="N30" s="304">
        <f t="shared" ca="1" si="17"/>
        <v>80</v>
      </c>
      <c r="P30" s="310">
        <f t="shared" ca="1" si="18"/>
        <v>2</v>
      </c>
      <c r="Q30" s="304">
        <f t="shared" ca="1" si="19"/>
        <v>849.72222222222217</v>
      </c>
      <c r="R30" s="306">
        <f t="shared" ca="1" si="20"/>
        <v>0.42643599331293958</v>
      </c>
      <c r="S30" s="307">
        <f t="shared" ca="1" si="21"/>
        <v>9.068019680621072</v>
      </c>
      <c r="T30" s="304">
        <f t="shared" ca="1" si="1"/>
        <v>88.957273066892725</v>
      </c>
      <c r="U30" s="311">
        <f t="shared" ca="1" si="2"/>
        <v>15.447268358285431</v>
      </c>
      <c r="V30" s="306">
        <f t="shared" ca="1" si="3"/>
        <v>1.2247168408327522</v>
      </c>
      <c r="W30" s="304">
        <f t="shared" ca="1" si="4"/>
        <v>1.6152363590489545</v>
      </c>
      <c r="Y30" s="314" t="str">
        <f t="shared" ca="1" si="22"/>
        <v/>
      </c>
      <c r="Z30" s="315" t="str">
        <f t="shared" ca="1" si="23"/>
        <v/>
      </c>
      <c r="AA30" s="316" t="str">
        <f t="shared" ca="1" si="24"/>
        <v/>
      </c>
      <c r="AC30" s="310" t="e">
        <f t="shared" ca="1" si="25"/>
        <v>#N/A</v>
      </c>
      <c r="AD30" s="323" t="e">
        <f t="shared" ca="1" si="26"/>
        <v>#N/A</v>
      </c>
      <c r="AE30" s="324">
        <f t="shared" ca="1" si="5"/>
        <v>2.3117705893852749</v>
      </c>
      <c r="AG30" s="306">
        <f t="shared" ca="1" si="27"/>
        <v>83.880928450242124</v>
      </c>
      <c r="AH30" s="304">
        <f t="shared" ca="1" si="28"/>
        <v>93.541892507291877</v>
      </c>
    </row>
    <row r="31" spans="1:34" x14ac:dyDescent="0.2">
      <c r="A31" s="347">
        <f t="shared" ca="1" si="6"/>
        <v>0.01</v>
      </c>
      <c r="B31" s="304">
        <f t="shared" ca="1" si="7"/>
        <v>0.27000000000000007</v>
      </c>
      <c r="D31" s="306">
        <f t="shared" ca="1" si="8"/>
        <v>14.529617551022781</v>
      </c>
      <c r="E31" s="307">
        <f t="shared" ca="1" si="9"/>
        <v>82.406159847538504</v>
      </c>
      <c r="F31" s="304">
        <f t="shared" ca="1" si="10"/>
        <v>83.677266727570981</v>
      </c>
      <c r="G31" s="306">
        <f t="shared" ca="1" si="11"/>
        <v>3.6149000345410718</v>
      </c>
      <c r="H31" s="307">
        <f t="shared" ca="1" si="12"/>
        <v>20.502270928998911</v>
      </c>
      <c r="I31" s="304">
        <f t="shared" ca="1" si="13"/>
        <v>20.818516169645687</v>
      </c>
      <c r="J31" s="306">
        <f t="shared" ca="1" si="14"/>
        <v>0.44302682863438309</v>
      </c>
      <c r="K31" s="307">
        <f t="shared" ca="1" si="15"/>
        <v>2.5126729906828871</v>
      </c>
      <c r="L31" s="304">
        <f t="shared" ca="1" si="0"/>
        <v>2.5514306435796219</v>
      </c>
      <c r="M31" s="306">
        <f t="shared" ca="1" si="16"/>
        <v>1.3962634015954636</v>
      </c>
      <c r="N31" s="304">
        <f t="shared" ca="1" si="17"/>
        <v>80</v>
      </c>
      <c r="P31" s="310">
        <f t="shared" ca="1" si="18"/>
        <v>2</v>
      </c>
      <c r="Q31" s="304">
        <f t="shared" ca="1" si="19"/>
        <v>847.61111111111109</v>
      </c>
      <c r="R31" s="306">
        <f t="shared" ca="1" si="20"/>
        <v>0.42537652500657203</v>
      </c>
      <c r="S31" s="307">
        <f t="shared" ca="1" si="21"/>
        <v>9.0637659153710057</v>
      </c>
      <c r="T31" s="304">
        <f t="shared" ca="1" si="1"/>
        <v>88.915543629789568</v>
      </c>
      <c r="U31" s="311">
        <f t="shared" ca="1" si="2"/>
        <v>15.440022117577401</v>
      </c>
      <c r="V31" s="306">
        <f t="shared" ca="1" si="3"/>
        <v>1.2246922362241277</v>
      </c>
      <c r="W31" s="304">
        <f t="shared" ca="1" si="4"/>
        <v>1.7533157803862869</v>
      </c>
      <c r="Y31" s="314" t="str">
        <f t="shared" ca="1" si="22"/>
        <v/>
      </c>
      <c r="Z31" s="315" t="str">
        <f t="shared" ca="1" si="23"/>
        <v/>
      </c>
      <c r="AA31" s="316" t="str">
        <f t="shared" ca="1" si="24"/>
        <v/>
      </c>
      <c r="AC31" s="310" t="e">
        <f t="shared" ca="1" si="25"/>
        <v>#N/A</v>
      </c>
      <c r="AD31" s="323" t="e">
        <f t="shared" ca="1" si="26"/>
        <v>#N/A</v>
      </c>
      <c r="AE31" s="324">
        <f t="shared" ca="1" si="5"/>
        <v>2.5126729906828871</v>
      </c>
      <c r="AG31" s="306">
        <f t="shared" ca="1" si="27"/>
        <v>83.677266723751814</v>
      </c>
      <c r="AH31" s="304">
        <f t="shared" ca="1" si="28"/>
        <v>93.338230780801567</v>
      </c>
    </row>
    <row r="32" spans="1:34" x14ac:dyDescent="0.2">
      <c r="A32" s="347">
        <f t="shared" ca="1" si="6"/>
        <v>0.01</v>
      </c>
      <c r="B32" s="304">
        <f t="shared" ca="1" si="7"/>
        <v>0.28000000000000008</v>
      </c>
      <c r="D32" s="306">
        <f t="shared" ca="1" si="8"/>
        <v>14.494099119569185</v>
      </c>
      <c r="E32" s="307">
        <f t="shared" ca="1" si="9"/>
        <v>82.20471549699252</v>
      </c>
      <c r="F32" s="304">
        <f t="shared" ca="1" si="10"/>
        <v>83.472715058451158</v>
      </c>
      <c r="G32" s="306">
        <f t="shared" ca="1" si="11"/>
        <v>3.7598410257367636</v>
      </c>
      <c r="H32" s="307">
        <f t="shared" ca="1" si="12"/>
        <v>21.324318083968837</v>
      </c>
      <c r="I32" s="304">
        <f t="shared" ca="1" si="13"/>
        <v>21.653243320230196</v>
      </c>
      <c r="J32" s="306">
        <f t="shared" ca="1" si="14"/>
        <v>0.47990053393577226</v>
      </c>
      <c r="K32" s="307">
        <f t="shared" ca="1" si="15"/>
        <v>2.7218059357477258</v>
      </c>
      <c r="L32" s="304">
        <f t="shared" ca="1" si="0"/>
        <v>2.763789441029</v>
      </c>
      <c r="M32" s="306">
        <f t="shared" ca="1" si="16"/>
        <v>1.3962634015954636</v>
      </c>
      <c r="N32" s="304">
        <f t="shared" ca="1" si="17"/>
        <v>80</v>
      </c>
      <c r="P32" s="310">
        <f t="shared" ca="1" si="18"/>
        <v>2</v>
      </c>
      <c r="Q32" s="304">
        <f t="shared" ca="1" si="19"/>
        <v>845.5</v>
      </c>
      <c r="R32" s="306">
        <f t="shared" ca="1" si="20"/>
        <v>0.42431705670020448</v>
      </c>
      <c r="S32" s="307">
        <f t="shared" ca="1" si="21"/>
        <v>9.0595227448040045</v>
      </c>
      <c r="T32" s="304">
        <f t="shared" ca="1" si="1"/>
        <v>88.873918126527286</v>
      </c>
      <c r="U32" s="311">
        <f t="shared" ca="1" si="2"/>
        <v>15.432793924791438</v>
      </c>
      <c r="V32" s="306">
        <f t="shared" ca="1" si="3"/>
        <v>1.2246666241420905</v>
      </c>
      <c r="W32" s="304">
        <f t="shared" ca="1" si="4"/>
        <v>1.8966946845472925</v>
      </c>
      <c r="Y32" s="314" t="str">
        <f t="shared" ca="1" si="22"/>
        <v/>
      </c>
      <c r="Z32" s="315" t="str">
        <f t="shared" ca="1" si="23"/>
        <v/>
      </c>
      <c r="AA32" s="316" t="str">
        <f t="shared" ca="1" si="24"/>
        <v/>
      </c>
      <c r="AC32" s="310" t="e">
        <f t="shared" ca="1" si="25"/>
        <v>#N/A</v>
      </c>
      <c r="AD32" s="323" t="e">
        <f t="shared" ca="1" si="26"/>
        <v>#N/A</v>
      </c>
      <c r="AE32" s="324">
        <f t="shared" ca="1" si="5"/>
        <v>2.7218059357477258</v>
      </c>
      <c r="AG32" s="306">
        <f t="shared" ca="1" si="27"/>
        <v>83.472715054638087</v>
      </c>
      <c r="AH32" s="304">
        <f t="shared" ca="1" si="28"/>
        <v>93.133679111687854</v>
      </c>
    </row>
    <row r="33" spans="1:34" x14ac:dyDescent="0.2">
      <c r="A33" s="347">
        <f t="shared" ca="1" si="6"/>
        <v>0.01</v>
      </c>
      <c r="B33" s="304">
        <f t="shared" ca="1" si="7"/>
        <v>0.29000000000000009</v>
      </c>
      <c r="D33" s="306">
        <f t="shared" ca="1" si="8"/>
        <v>14.45842689681257</v>
      </c>
      <c r="E33" s="307">
        <f t="shared" ca="1" si="9"/>
        <v>82.002398938530177</v>
      </c>
      <c r="F33" s="304">
        <f t="shared" ca="1" si="10"/>
        <v>83.26727772663358</v>
      </c>
      <c r="G33" s="306">
        <f t="shared" ca="1" si="11"/>
        <v>3.9044252947048892</v>
      </c>
      <c r="H33" s="307">
        <f t="shared" ca="1" si="12"/>
        <v>22.144342073354139</v>
      </c>
      <c r="I33" s="304">
        <f t="shared" ca="1" si="13"/>
        <v>22.485916097496531</v>
      </c>
      <c r="J33" s="306">
        <f t="shared" ca="1" si="14"/>
        <v>0.51822186553798055</v>
      </c>
      <c r="K33" s="307">
        <f t="shared" ca="1" si="15"/>
        <v>2.9391492365343406</v>
      </c>
      <c r="L33" s="304">
        <f t="shared" ca="1" si="0"/>
        <v>2.9844852381176326</v>
      </c>
      <c r="M33" s="306">
        <f t="shared" ca="1" si="16"/>
        <v>1.3962634015954636</v>
      </c>
      <c r="N33" s="304">
        <f t="shared" ca="1" si="17"/>
        <v>80</v>
      </c>
      <c r="P33" s="310">
        <f t="shared" ca="1" si="18"/>
        <v>2</v>
      </c>
      <c r="Q33" s="304">
        <f t="shared" ca="1" si="19"/>
        <v>843.38888888888891</v>
      </c>
      <c r="R33" s="306">
        <f t="shared" ca="1" si="20"/>
        <v>0.42325758839383693</v>
      </c>
      <c r="S33" s="307">
        <f t="shared" ca="1" si="21"/>
        <v>9.0552901689200667</v>
      </c>
      <c r="T33" s="304">
        <f t="shared" ca="1" si="1"/>
        <v>88.832396557105852</v>
      </c>
      <c r="U33" s="311">
        <f t="shared" ca="1" si="2"/>
        <v>15.425583779927535</v>
      </c>
      <c r="V33" s="306">
        <f t="shared" ca="1" si="3"/>
        <v>1.2246400071221641</v>
      </c>
      <c r="W33" s="304">
        <f t="shared" ca="1" si="4"/>
        <v>2.0453293356616404</v>
      </c>
      <c r="Y33" s="314" t="str">
        <f t="shared" ca="1" si="22"/>
        <v/>
      </c>
      <c r="Z33" s="315" t="str">
        <f t="shared" ca="1" si="23"/>
        <v/>
      </c>
      <c r="AA33" s="316" t="str">
        <f t="shared" ca="1" si="24"/>
        <v/>
      </c>
      <c r="AC33" s="310" t="e">
        <f t="shared" ca="1" si="25"/>
        <v>#N/A</v>
      </c>
      <c r="AD33" s="323" t="e">
        <f t="shared" ca="1" si="26"/>
        <v>#N/A</v>
      </c>
      <c r="AE33" s="324">
        <f t="shared" ca="1" si="5"/>
        <v>2.9391492365343406</v>
      </c>
      <c r="AG33" s="306">
        <f t="shared" ca="1" si="27"/>
        <v>83.267277722826634</v>
      </c>
      <c r="AH33" s="304">
        <f t="shared" ca="1" si="28"/>
        <v>92.928241779876387</v>
      </c>
    </row>
    <row r="34" spans="1:34" x14ac:dyDescent="0.2">
      <c r="A34" s="347">
        <f t="shared" ca="1" si="6"/>
        <v>0.01</v>
      </c>
      <c r="B34" s="304">
        <f t="shared" ca="1" si="7"/>
        <v>0.3000000000000001</v>
      </c>
      <c r="D34" s="306">
        <f t="shared" ca="1" si="8"/>
        <v>14.422601631356482</v>
      </c>
      <c r="E34" s="307">
        <f t="shared" ca="1" si="9"/>
        <v>81.79921441770621</v>
      </c>
      <c r="F34" s="304">
        <f t="shared" ca="1" si="10"/>
        <v>83.060959043167102</v>
      </c>
      <c r="G34" s="306">
        <f t="shared" ca="1" si="11"/>
        <v>4.0486513110184541</v>
      </c>
      <c r="H34" s="307">
        <f t="shared" ca="1" si="12"/>
        <v>22.9623342175312</v>
      </c>
      <c r="I34" s="304">
        <f t="shared" ca="1" si="13"/>
        <v>23.316525687928202</v>
      </c>
      <c r="J34" s="306">
        <f t="shared" ca="1" si="14"/>
        <v>0.55798724856659732</v>
      </c>
      <c r="K34" s="307">
        <f t="shared" ca="1" si="15"/>
        <v>3.1646826179887673</v>
      </c>
      <c r="L34" s="304">
        <f t="shared" ca="1" si="0"/>
        <v>3.2134974470447553</v>
      </c>
      <c r="M34" s="306">
        <f t="shared" ca="1" si="16"/>
        <v>1.3962634015954636</v>
      </c>
      <c r="N34" s="304">
        <f t="shared" ca="1" si="17"/>
        <v>80</v>
      </c>
      <c r="P34" s="310">
        <f t="shared" ca="1" si="18"/>
        <v>2</v>
      </c>
      <c r="Q34" s="304">
        <f t="shared" ca="1" si="19"/>
        <v>841.27777777777771</v>
      </c>
      <c r="R34" s="306">
        <f t="shared" ca="1" si="20"/>
        <v>0.42219812008746938</v>
      </c>
      <c r="S34" s="307">
        <f t="shared" ca="1" si="21"/>
        <v>9.0510681877191921</v>
      </c>
      <c r="T34" s="304">
        <f t="shared" ca="1" si="1"/>
        <v>88.79097892152528</v>
      </c>
      <c r="U34" s="311">
        <f t="shared" ca="1" si="2"/>
        <v>15.418391682985696</v>
      </c>
      <c r="V34" s="306">
        <f t="shared" ca="1" si="3"/>
        <v>1.2246123877127897</v>
      </c>
      <c r="W34" s="304">
        <f t="shared" ca="1" si="4"/>
        <v>2.1991758484689581</v>
      </c>
      <c r="Y34" s="314" t="str">
        <f t="shared" ca="1" si="22"/>
        <v/>
      </c>
      <c r="Z34" s="315" t="str">
        <f t="shared" ca="1" si="23"/>
        <v/>
      </c>
      <c r="AA34" s="316" t="str">
        <f t="shared" ca="1" si="24"/>
        <v/>
      </c>
      <c r="AC34" s="310" t="e">
        <f t="shared" ca="1" si="25"/>
        <v>#N/A</v>
      </c>
      <c r="AD34" s="323" t="e">
        <f t="shared" ca="1" si="26"/>
        <v>#N/A</v>
      </c>
      <c r="AE34" s="324">
        <f t="shared" ca="1" si="5"/>
        <v>3.1646826179887673</v>
      </c>
      <c r="AG34" s="306">
        <f t="shared" ca="1" si="27"/>
        <v>83.06095903936621</v>
      </c>
      <c r="AH34" s="304">
        <f t="shared" ca="1" si="28"/>
        <v>92.721923096415978</v>
      </c>
    </row>
    <row r="35" spans="1:34" x14ac:dyDescent="0.2">
      <c r="A35" s="347">
        <f t="shared" ca="1" si="6"/>
        <v>0.01</v>
      </c>
      <c r="B35" s="304">
        <f t="shared" ca="1" si="7"/>
        <v>0.31000000000000011</v>
      </c>
      <c r="D35" s="306">
        <f t="shared" ca="1" si="8"/>
        <v>14.386624077146472</v>
      </c>
      <c r="E35" s="307">
        <f t="shared" ca="1" si="9"/>
        <v>81.595166210371332</v>
      </c>
      <c r="F35" s="304">
        <f t="shared" ca="1" si="10"/>
        <v>82.853763349863911</v>
      </c>
      <c r="G35" s="306">
        <f t="shared" ca="1" si="11"/>
        <v>4.1925175517899191</v>
      </c>
      <c r="H35" s="307">
        <f t="shared" ca="1" si="12"/>
        <v>23.778285879634915</v>
      </c>
      <c r="I35" s="304">
        <f t="shared" ca="1" si="13"/>
        <v>24.145063321426839</v>
      </c>
      <c r="J35" s="306">
        <f t="shared" ca="1" si="14"/>
        <v>0.59919309288063916</v>
      </c>
      <c r="K35" s="307">
        <f t="shared" ca="1" si="15"/>
        <v>3.3983857184745978</v>
      </c>
      <c r="L35" s="304">
        <f t="shared" ca="1" si="0"/>
        <v>3.4508053920915294</v>
      </c>
      <c r="M35" s="306">
        <f t="shared" ca="1" si="16"/>
        <v>1.3962634015954636</v>
      </c>
      <c r="N35" s="304">
        <f t="shared" ca="1" si="17"/>
        <v>80</v>
      </c>
      <c r="P35" s="310">
        <f t="shared" ca="1" si="18"/>
        <v>2</v>
      </c>
      <c r="Q35" s="304">
        <f t="shared" ca="1" si="19"/>
        <v>839.16666666666663</v>
      </c>
      <c r="R35" s="306">
        <f t="shared" ca="1" si="20"/>
        <v>0.42113865178110182</v>
      </c>
      <c r="S35" s="307">
        <f t="shared" ca="1" si="21"/>
        <v>9.0468568012013808</v>
      </c>
      <c r="T35" s="304">
        <f t="shared" ca="1" si="1"/>
        <v>88.749665219785555</v>
      </c>
      <c r="U35" s="311">
        <f t="shared" ca="1" si="2"/>
        <v>15.411217633965917</v>
      </c>
      <c r="V35" s="306">
        <f t="shared" ca="1" si="3"/>
        <v>1.2245837684752503</v>
      </c>
      <c r="W35" s="304">
        <f t="shared" ca="1" si="4"/>
        <v>2.3581901917835215</v>
      </c>
      <c r="Y35" s="314" t="str">
        <f t="shared" ca="1" si="22"/>
        <v/>
      </c>
      <c r="Z35" s="315" t="str">
        <f t="shared" ca="1" si="23"/>
        <v/>
      </c>
      <c r="AA35" s="316" t="str">
        <f t="shared" ca="1" si="24"/>
        <v/>
      </c>
      <c r="AC35" s="310" t="e">
        <f t="shared" ca="1" si="25"/>
        <v>#N/A</v>
      </c>
      <c r="AD35" s="323" t="e">
        <f t="shared" ca="1" si="26"/>
        <v>#N/A</v>
      </c>
      <c r="AE35" s="324">
        <f t="shared" ca="1" si="5"/>
        <v>3.3983857184745978</v>
      </c>
      <c r="AG35" s="306">
        <f t="shared" ca="1" si="27"/>
        <v>82.853763346069101</v>
      </c>
      <c r="AH35" s="304">
        <f t="shared" ca="1" si="28"/>
        <v>92.514727403118869</v>
      </c>
    </row>
    <row r="36" spans="1:34" x14ac:dyDescent="0.2">
      <c r="A36" s="347">
        <f t="shared" ca="1" si="6"/>
        <v>0.01</v>
      </c>
      <c r="B36" s="304">
        <f t="shared" ca="1" si="7"/>
        <v>0.32000000000000012</v>
      </c>
      <c r="D36" s="306">
        <f t="shared" ca="1" si="8"/>
        <v>14.350494993407148</v>
      </c>
      <c r="E36" s="307">
        <f t="shared" ca="1" si="9"/>
        <v>81.390258622315571</v>
      </c>
      <c r="F36" s="304">
        <f t="shared" ca="1" si="10"/>
        <v>82.645695018937417</v>
      </c>
      <c r="G36" s="306">
        <f t="shared" ca="1" si="11"/>
        <v>4.3360225017239902</v>
      </c>
      <c r="H36" s="307">
        <f t="shared" ca="1" si="12"/>
        <v>24.592188465858069</v>
      </c>
      <c r="I36" s="304">
        <f t="shared" ca="1" si="13"/>
        <v>24.971520271616214</v>
      </c>
      <c r="J36" s="306">
        <f t="shared" ca="1" si="14"/>
        <v>0.64183579314820871</v>
      </c>
      <c r="K36" s="307">
        <f t="shared" ca="1" si="15"/>
        <v>3.6402380902020628</v>
      </c>
      <c r="L36" s="304">
        <f t="shared" ca="1" si="0"/>
        <v>3.6963883100567441</v>
      </c>
      <c r="M36" s="306">
        <f t="shared" ca="1" si="16"/>
        <v>1.3962634015954636</v>
      </c>
      <c r="N36" s="304">
        <f t="shared" ca="1" si="17"/>
        <v>80</v>
      </c>
      <c r="P36" s="310">
        <f t="shared" ca="1" si="18"/>
        <v>2</v>
      </c>
      <c r="Q36" s="304">
        <f t="shared" ca="1" si="19"/>
        <v>837.05555555555554</v>
      </c>
      <c r="R36" s="306">
        <f t="shared" ca="1" si="20"/>
        <v>0.42007918347473427</v>
      </c>
      <c r="S36" s="307">
        <f t="shared" ca="1" si="21"/>
        <v>9.0426560093666328</v>
      </c>
      <c r="T36" s="304">
        <f t="shared" ca="1" si="1"/>
        <v>88.708455451886678</v>
      </c>
      <c r="U36" s="311">
        <f t="shared" ca="1" si="2"/>
        <v>15.404061632868199</v>
      </c>
      <c r="V36" s="306">
        <f t="shared" ca="1" si="3"/>
        <v>1.2245541519835967</v>
      </c>
      <c r="W36" s="304">
        <f t="shared" ca="1" si="4"/>
        <v>2.5223281919661291</v>
      </c>
      <c r="Y36" s="314" t="str">
        <f t="shared" ca="1" si="22"/>
        <v/>
      </c>
      <c r="Z36" s="315" t="str">
        <f t="shared" ca="1" si="23"/>
        <v/>
      </c>
      <c r="AA36" s="316" t="str">
        <f t="shared" ca="1" si="24"/>
        <v/>
      </c>
      <c r="AC36" s="310" t="e">
        <f t="shared" ca="1" si="25"/>
        <v>#N/A</v>
      </c>
      <c r="AD36" s="323" t="e">
        <f t="shared" ca="1" si="26"/>
        <v>#N/A</v>
      </c>
      <c r="AE36" s="324">
        <f t="shared" ca="1" si="5"/>
        <v>3.6402380902020628</v>
      </c>
      <c r="AG36" s="306">
        <f t="shared" ca="1" si="27"/>
        <v>82.645695015148647</v>
      </c>
      <c r="AH36" s="304">
        <f t="shared" ca="1" si="28"/>
        <v>92.306659072198414</v>
      </c>
    </row>
    <row r="37" spans="1:34" x14ac:dyDescent="0.2">
      <c r="A37" s="347">
        <f t="shared" ca="1" si="6"/>
        <v>0.01</v>
      </c>
      <c r="B37" s="304">
        <f t="shared" ca="1" si="7"/>
        <v>0.33000000000000013</v>
      </c>
      <c r="D37" s="306">
        <f t="shared" ca="1" si="8"/>
        <v>14.314215144578922</v>
      </c>
      <c r="E37" s="307">
        <f t="shared" ca="1" si="9"/>
        <v>81.184495988909262</v>
      </c>
      <c r="F37" s="304">
        <f t="shared" ca="1" si="10"/>
        <v>82.436758452637605</v>
      </c>
      <c r="G37" s="306">
        <f t="shared" ca="1" si="11"/>
        <v>4.4791646531697795</v>
      </c>
      <c r="H37" s="307">
        <f t="shared" ca="1" si="12"/>
        <v>25.404033425747162</v>
      </c>
      <c r="I37" s="304">
        <f t="shared" ca="1" si="13"/>
        <v>25.795887856142588</v>
      </c>
      <c r="J37" s="306">
        <f t="shared" ca="1" si="14"/>
        <v>0.6859117289226776</v>
      </c>
      <c r="K37" s="307">
        <f t="shared" ca="1" si="15"/>
        <v>3.890219199660089</v>
      </c>
      <c r="L37" s="304">
        <f t="shared" ca="1" si="0"/>
        <v>3.9502253506955372</v>
      </c>
      <c r="M37" s="306">
        <f t="shared" ca="1" si="16"/>
        <v>1.3962634015954636</v>
      </c>
      <c r="N37" s="304">
        <f t="shared" ca="1" si="17"/>
        <v>80</v>
      </c>
      <c r="P37" s="310">
        <f t="shared" ca="1" si="18"/>
        <v>2</v>
      </c>
      <c r="Q37" s="304">
        <f t="shared" ca="1" si="19"/>
        <v>834.94444444444446</v>
      </c>
      <c r="R37" s="306">
        <f t="shared" ca="1" si="20"/>
        <v>0.41901971516836672</v>
      </c>
      <c r="S37" s="307">
        <f t="shared" ca="1" si="21"/>
        <v>9.0384658122149499</v>
      </c>
      <c r="T37" s="304">
        <f t="shared" ca="1" si="1"/>
        <v>88.667349617828663</v>
      </c>
      <c r="U37" s="311">
        <f t="shared" ca="1" si="2"/>
        <v>15.396923679692547</v>
      </c>
      <c r="V37" s="306">
        <f t="shared" ca="1" si="3"/>
        <v>1.2245235408245732</v>
      </c>
      <c r="W37" s="304">
        <f t="shared" ca="1" si="4"/>
        <v>2.6915455364026646</v>
      </c>
      <c r="Y37" s="314" t="str">
        <f t="shared" ca="1" si="22"/>
        <v>Sortie de rampe</v>
      </c>
      <c r="Z37" s="315" t="str">
        <f t="shared" ca="1" si="23"/>
        <v/>
      </c>
      <c r="AA37" s="316" t="str">
        <f t="shared" ca="1" si="24"/>
        <v/>
      </c>
      <c r="AC37" s="310" t="e">
        <f t="shared" ca="1" si="25"/>
        <v>#N/A</v>
      </c>
      <c r="AD37" s="323" t="e">
        <f t="shared" ca="1" si="26"/>
        <v>#N/A</v>
      </c>
      <c r="AE37" s="324">
        <f t="shared" ca="1" si="5"/>
        <v>3.890219199660089</v>
      </c>
      <c r="AG37" s="306">
        <f t="shared" ca="1" si="27"/>
        <v>82.43675844885486</v>
      </c>
      <c r="AH37" s="304">
        <f t="shared" ca="1" si="28"/>
        <v>92.097722505904628</v>
      </c>
    </row>
    <row r="38" spans="1:34" x14ac:dyDescent="0.2">
      <c r="A38" s="347">
        <f t="shared" ca="1" si="6"/>
        <v>0.01</v>
      </c>
      <c r="B38" s="304">
        <f t="shared" ca="1" si="7"/>
        <v>0.34000000000000014</v>
      </c>
      <c r="D38" s="306">
        <f t="shared" ca="1" si="8"/>
        <v>14.277785300254287</v>
      </c>
      <c r="E38" s="307">
        <f t="shared" ca="1" si="9"/>
        <v>80.977882674741821</v>
      </c>
      <c r="F38" s="304">
        <f t="shared" ca="1" si="10"/>
        <v>82.226958082884281</v>
      </c>
      <c r="G38" s="306">
        <f t="shared" ca="1" si="11"/>
        <v>4.6219425061723225</v>
      </c>
      <c r="H38" s="307">
        <f t="shared" ca="1" si="12"/>
        <v>26.213812252494581</v>
      </c>
      <c r="I38" s="304">
        <f t="shared" ca="1" si="13"/>
        <v>26.61815743697143</v>
      </c>
      <c r="J38" s="306">
        <f t="shared" ca="1" si="14"/>
        <v>0.73141726471938817</v>
      </c>
      <c r="K38" s="307">
        <f t="shared" ca="1" si="15"/>
        <v>4.1483084280512976</v>
      </c>
      <c r="L38" s="304">
        <f t="shared" ca="1" si="0"/>
        <v>4.2122955771611066</v>
      </c>
      <c r="M38" s="306">
        <f t="shared" ca="1" si="16"/>
        <v>1.3962634015954636</v>
      </c>
      <c r="N38" s="304">
        <f t="shared" ca="1" si="17"/>
        <v>80</v>
      </c>
      <c r="P38" s="310">
        <f t="shared" ca="1" si="18"/>
        <v>2</v>
      </c>
      <c r="Q38" s="304">
        <f t="shared" ca="1" si="19"/>
        <v>832.83333333333326</v>
      </c>
      <c r="R38" s="306">
        <f t="shared" ca="1" si="20"/>
        <v>0.41796024686199912</v>
      </c>
      <c r="S38" s="307">
        <f t="shared" ca="1" si="21"/>
        <v>9.0342862097463303</v>
      </c>
      <c r="T38" s="304">
        <f t="shared" ca="1" si="1"/>
        <v>88.626347717611509</v>
      </c>
      <c r="U38" s="311">
        <f t="shared" ca="1" si="2"/>
        <v>0</v>
      </c>
      <c r="V38" s="306">
        <f t="shared" ca="1" si="3"/>
        <v>1.2244919375975412</v>
      </c>
      <c r="W38" s="304">
        <f t="shared" ca="1" si="4"/>
        <v>2.8657977769888965</v>
      </c>
      <c r="Y38" s="314" t="str">
        <f t="shared" ca="1" si="22"/>
        <v/>
      </c>
      <c r="Z38" s="315" t="str">
        <f t="shared" ca="1" si="23"/>
        <v/>
      </c>
      <c r="AA38" s="316" t="str">
        <f t="shared" ca="1" si="24"/>
        <v/>
      </c>
      <c r="AC38" s="310" t="e">
        <f t="shared" ca="1" si="25"/>
        <v>#N/A</v>
      </c>
      <c r="AD38" s="323" t="e">
        <f t="shared" ca="1" si="26"/>
        <v>#N/A</v>
      </c>
      <c r="AE38" s="324">
        <f t="shared" ca="1" si="5"/>
        <v>4.1483084280512976</v>
      </c>
      <c r="AG38" s="306">
        <f t="shared" ca="1" si="27"/>
        <v>82.226958079107561</v>
      </c>
      <c r="AH38" s="304">
        <f t="shared" ca="1" si="28"/>
        <v>91.887922136157314</v>
      </c>
    </row>
    <row r="39" spans="1:34" x14ac:dyDescent="0.2">
      <c r="A39" s="347">
        <f t="shared" ca="1" si="6"/>
        <v>0.01</v>
      </c>
      <c r="B39" s="304">
        <f t="shared" ca="1" si="7"/>
        <v>0.35000000000000014</v>
      </c>
      <c r="D39" s="306">
        <f t="shared" ca="1" si="8"/>
        <v>15.919589553451301</v>
      </c>
      <c r="E39" s="307">
        <f t="shared" ca="1" si="9"/>
        <v>80.474478810264344</v>
      </c>
      <c r="F39" s="304">
        <f t="shared" ca="1" si="10"/>
        <v>82.033987293889595</v>
      </c>
      <c r="G39" s="306">
        <f t="shared" ca="1" si="11"/>
        <v>4.7811384017068352</v>
      </c>
      <c r="H39" s="307">
        <f t="shared" ca="1" si="12"/>
        <v>27.018557040597223</v>
      </c>
      <c r="I39" s="304">
        <f t="shared" ca="1" si="13"/>
        <v>27.438325549717526</v>
      </c>
      <c r="J39" s="306">
        <f t="shared" ca="1" si="14"/>
        <v>0.77843266925878396</v>
      </c>
      <c r="K39" s="307">
        <f t="shared" ca="1" si="15"/>
        <v>4.4144702745167566</v>
      </c>
      <c r="L39" s="304">
        <f t="shared" ca="1" si="0"/>
        <v>4.4825779664342038</v>
      </c>
      <c r="M39" s="306">
        <f t="shared" ca="1" si="16"/>
        <v>1.3956518856357554</v>
      </c>
      <c r="N39" s="304">
        <f t="shared" ca="1" si="17"/>
        <v>79.964962716403832</v>
      </c>
      <c r="P39" s="310">
        <f t="shared" ca="1" si="18"/>
        <v>2</v>
      </c>
      <c r="Q39" s="304">
        <f t="shared" ca="1" si="19"/>
        <v>830.72222222222217</v>
      </c>
      <c r="R39" s="306">
        <f t="shared" ca="1" si="20"/>
        <v>0.41690077855563162</v>
      </c>
      <c r="S39" s="307">
        <f t="shared" ca="1" si="21"/>
        <v>9.0301172019607741</v>
      </c>
      <c r="T39" s="304">
        <f t="shared" ca="1" si="1"/>
        <v>88.585449751235203</v>
      </c>
      <c r="U39" s="311">
        <f t="shared" ca="1" si="2"/>
        <v>0</v>
      </c>
      <c r="V39" s="306">
        <f t="shared" ca="1" si="3"/>
        <v>1.2244593467262619</v>
      </c>
      <c r="W39" s="304">
        <f t="shared" ca="1" si="4"/>
        <v>3.0450414765439118</v>
      </c>
      <c r="Y39" s="314" t="str">
        <f t="shared" ca="1" si="22"/>
        <v/>
      </c>
      <c r="Z39" s="315" t="str">
        <f t="shared" ca="1" si="23"/>
        <v/>
      </c>
      <c r="AA39" s="316" t="str">
        <f t="shared" ca="1" si="24"/>
        <v/>
      </c>
      <c r="AC39" s="310" t="e">
        <f t="shared" ca="1" si="25"/>
        <v>#N/A</v>
      </c>
      <c r="AD39" s="323" t="e">
        <f t="shared" ca="1" si="26"/>
        <v>#N/A</v>
      </c>
      <c r="AE39" s="324">
        <f t="shared" ca="1" si="5"/>
        <v>4.4144702745167566</v>
      </c>
      <c r="AG39" s="306">
        <f t="shared" ca="1" si="27"/>
        <v>82.016298367127291</v>
      </c>
      <c r="AH39" s="304">
        <f t="shared" ca="1" si="28"/>
        <v>91.677262424177059</v>
      </c>
    </row>
    <row r="40" spans="1:34" x14ac:dyDescent="0.2">
      <c r="A40" s="347">
        <f t="shared" ca="1" si="6"/>
        <v>0.01</v>
      </c>
      <c r="B40" s="304">
        <f t="shared" ca="1" si="7"/>
        <v>0.36000000000000015</v>
      </c>
      <c r="D40" s="306">
        <f t="shared" ca="1" si="8"/>
        <v>15.937940459851047</v>
      </c>
      <c r="E40" s="307">
        <f t="shared" ca="1" si="9"/>
        <v>80.25644803890205</v>
      </c>
      <c r="F40" s="304">
        <f t="shared" ca="1" si="10"/>
        <v>81.823684822444548</v>
      </c>
      <c r="G40" s="306">
        <f t="shared" ca="1" si="11"/>
        <v>4.9405178063053459</v>
      </c>
      <c r="H40" s="307">
        <f t="shared" ca="1" si="12"/>
        <v>27.821121520986242</v>
      </c>
      <c r="I40" s="304">
        <f t="shared" ca="1" si="13"/>
        <v>28.256388992224466</v>
      </c>
      <c r="J40" s="306">
        <f t="shared" ca="1" si="14"/>
        <v>0.82704095029884483</v>
      </c>
      <c r="K40" s="307">
        <f t="shared" ca="1" si="15"/>
        <v>4.6886686673246736</v>
      </c>
      <c r="L40" s="304">
        <f t="shared" ca="1" si="0"/>
        <v>4.7610514180612817</v>
      </c>
      <c r="M40" s="306">
        <f t="shared" ca="1" si="16"/>
        <v>1.3950469264378633</v>
      </c>
      <c r="N40" s="304">
        <f t="shared" ca="1" si="17"/>
        <v>79.930301107586985</v>
      </c>
      <c r="P40" s="310">
        <f t="shared" ca="1" si="18"/>
        <v>2</v>
      </c>
      <c r="Q40" s="304">
        <f t="shared" ca="1" si="19"/>
        <v>828.61111111111109</v>
      </c>
      <c r="R40" s="306">
        <f t="shared" ca="1" si="20"/>
        <v>0.41584131024926407</v>
      </c>
      <c r="S40" s="307">
        <f t="shared" ca="1" si="21"/>
        <v>9.0259587888582811</v>
      </c>
      <c r="T40" s="304">
        <f t="shared" ca="1" si="1"/>
        <v>88.544655718699744</v>
      </c>
      <c r="U40" s="311">
        <f t="shared" ca="1" si="2"/>
        <v>0</v>
      </c>
      <c r="V40" s="306">
        <f t="shared" ca="1" si="3"/>
        <v>1.2244257727063288</v>
      </c>
      <c r="W40" s="304">
        <f t="shared" ca="1" si="4"/>
        <v>3.2292332559401298</v>
      </c>
      <c r="Y40" s="314" t="str">
        <f t="shared" ca="1" si="22"/>
        <v/>
      </c>
      <c r="Z40" s="315" t="str">
        <f t="shared" ca="1" si="23"/>
        <v/>
      </c>
      <c r="AA40" s="316" t="str">
        <f t="shared" ca="1" si="24"/>
        <v/>
      </c>
      <c r="AC40" s="310" t="e">
        <f t="shared" ca="1" si="25"/>
        <v>#N/A</v>
      </c>
      <c r="AD40" s="323" t="e">
        <f t="shared" ca="1" si="26"/>
        <v>#N/A</v>
      </c>
      <c r="AE40" s="324">
        <f t="shared" ca="1" si="5"/>
        <v>4.6886686673246736</v>
      </c>
      <c r="AG40" s="306">
        <f t="shared" ca="1" si="27"/>
        <v>81.805827193220296</v>
      </c>
      <c r="AH40" s="304">
        <f t="shared" ca="1" si="28"/>
        <v>91.465747733487646</v>
      </c>
    </row>
    <row r="41" spans="1:34" x14ac:dyDescent="0.2">
      <c r="A41" s="347">
        <f t="shared" ca="1" si="6"/>
        <v>0.01</v>
      </c>
      <c r="B41" s="304">
        <f t="shared" ca="1" si="7"/>
        <v>0.37000000000000016</v>
      </c>
      <c r="D41" s="306">
        <f t="shared" ca="1" si="8"/>
        <v>15.955292834163728</v>
      </c>
      <c r="E41" s="307">
        <f t="shared" ca="1" si="9"/>
        <v>80.037695777084238</v>
      </c>
      <c r="F41" s="304">
        <f t="shared" ca="1" si="10"/>
        <v>81.612524251667423</v>
      </c>
      <c r="G41" s="306">
        <f t="shared" ca="1" si="11"/>
        <v>5.1000707346469829</v>
      </c>
      <c r="H41" s="307">
        <f t="shared" ca="1" si="12"/>
        <v>28.621498478757086</v>
      </c>
      <c r="I41" s="304">
        <f t="shared" ca="1" si="13"/>
        <v>29.072339029873341</v>
      </c>
      <c r="J41" s="306">
        <f t="shared" ca="1" si="14"/>
        <v>0.8772438930036065</v>
      </c>
      <c r="K41" s="307">
        <f t="shared" ca="1" si="15"/>
        <v>4.97088176732339</v>
      </c>
      <c r="L41" s="304">
        <f t="shared" ca="1" si="0"/>
        <v>5.0476947602366202</v>
      </c>
      <c r="M41" s="306">
        <f t="shared" ca="1" si="16"/>
        <v>1.3944569361449894</v>
      </c>
      <c r="N41" s="304">
        <f t="shared" ca="1" si="17"/>
        <v>79.896497153851627</v>
      </c>
      <c r="P41" s="310">
        <f t="shared" ca="1" si="18"/>
        <v>2</v>
      </c>
      <c r="Q41" s="304">
        <f t="shared" ca="1" si="19"/>
        <v>826.5</v>
      </c>
      <c r="R41" s="306">
        <f t="shared" ca="1" si="20"/>
        <v>0.41478184194289652</v>
      </c>
      <c r="S41" s="307">
        <f t="shared" ca="1" si="21"/>
        <v>9.0218109704388514</v>
      </c>
      <c r="T41" s="304">
        <f t="shared" ca="1" si="1"/>
        <v>88.503965620005133</v>
      </c>
      <c r="U41" s="311">
        <f t="shared" ca="1" si="2"/>
        <v>0</v>
      </c>
      <c r="V41" s="306">
        <f t="shared" ca="1" si="3"/>
        <v>1.2243912182925973</v>
      </c>
      <c r="W41" s="304">
        <f t="shared" ca="1" si="4"/>
        <v>3.4183284361730419</v>
      </c>
      <c r="Y41" s="314" t="str">
        <f t="shared" ca="1" si="22"/>
        <v/>
      </c>
      <c r="Z41" s="315" t="str">
        <f t="shared" ca="1" si="23"/>
        <v/>
      </c>
      <c r="AA41" s="316" t="str">
        <f t="shared" ca="1" si="24"/>
        <v/>
      </c>
      <c r="AC41" s="310" t="e">
        <f t="shared" ca="1" si="25"/>
        <v>#N/A</v>
      </c>
      <c r="AD41" s="323" t="e">
        <f t="shared" ca="1" si="26"/>
        <v>#N/A</v>
      </c>
      <c r="AE41" s="324">
        <f t="shared" ca="1" si="5"/>
        <v>4.97088176732339</v>
      </c>
      <c r="AG41" s="306">
        <f t="shared" ca="1" si="27"/>
        <v>81.594497777491341</v>
      </c>
      <c r="AH41" s="304">
        <f t="shared" ca="1" si="28"/>
        <v>91.253382435257691</v>
      </c>
    </row>
    <row r="42" spans="1:34" x14ac:dyDescent="0.2">
      <c r="A42" s="347">
        <f t="shared" ca="1" si="6"/>
        <v>0.01</v>
      </c>
      <c r="B42" s="304">
        <f t="shared" ca="1" si="7"/>
        <v>0.38000000000000017</v>
      </c>
      <c r="D42" s="306">
        <f t="shared" ca="1" si="8"/>
        <v>15.970896308597803</v>
      </c>
      <c r="E42" s="307">
        <f t="shared" ca="1" si="9"/>
        <v>79.818361680469778</v>
      </c>
      <c r="F42" s="304">
        <f t="shared" ca="1" si="10"/>
        <v>81.400493796132892</v>
      </c>
      <c r="G42" s="306">
        <f t="shared" ca="1" si="11"/>
        <v>5.2597796977329612</v>
      </c>
      <c r="H42" s="307">
        <f t="shared" ca="1" si="12"/>
        <v>29.419682095561782</v>
      </c>
      <c r="I42" s="304">
        <f t="shared" ca="1" si="13"/>
        <v>29.886166985289403</v>
      </c>
      <c r="J42" s="306">
        <f t="shared" ca="1" si="14"/>
        <v>0.92904314516550623</v>
      </c>
      <c r="K42" s="307">
        <f t="shared" ca="1" si="15"/>
        <v>5.2610876701949847</v>
      </c>
      <c r="L42" s="304">
        <f t="shared" ca="1" si="0"/>
        <v>5.3424867467366459</v>
      </c>
      <c r="M42" s="306">
        <f t="shared" ca="1" si="16"/>
        <v>1.3938811051501185</v>
      </c>
      <c r="N42" s="304">
        <f t="shared" ca="1" si="17"/>
        <v>79.863504468132703</v>
      </c>
      <c r="P42" s="310">
        <f t="shared" ca="1" si="18"/>
        <v>2</v>
      </c>
      <c r="Q42" s="304">
        <f t="shared" ca="1" si="19"/>
        <v>824.38888888888891</v>
      </c>
      <c r="R42" s="306">
        <f t="shared" ca="1" si="20"/>
        <v>0.41372237363652897</v>
      </c>
      <c r="S42" s="307">
        <f t="shared" ca="1" si="21"/>
        <v>9.0176737467024868</v>
      </c>
      <c r="T42" s="304">
        <f t="shared" ca="1" si="1"/>
        <v>88.463379455151397</v>
      </c>
      <c r="U42" s="311">
        <f t="shared" ca="1" si="2"/>
        <v>0</v>
      </c>
      <c r="V42" s="306">
        <f t="shared" ca="1" si="3"/>
        <v>1.2243556862499574</v>
      </c>
      <c r="W42" s="304">
        <f t="shared" ca="1" si="4"/>
        <v>3.6122822125401473</v>
      </c>
      <c r="Y42" s="314" t="str">
        <f t="shared" ca="1" si="22"/>
        <v/>
      </c>
      <c r="Z42" s="315" t="str">
        <f t="shared" ca="1" si="23"/>
        <v/>
      </c>
      <c r="AA42" s="316" t="str">
        <f t="shared" ca="1" si="24"/>
        <v/>
      </c>
      <c r="AC42" s="310" t="e">
        <f t="shared" ca="1" si="25"/>
        <v>#N/A</v>
      </c>
      <c r="AD42" s="323" t="e">
        <f t="shared" ca="1" si="26"/>
        <v>#N/A</v>
      </c>
      <c r="AE42" s="324">
        <f t="shared" ca="1" si="5"/>
        <v>5.2610876701949847</v>
      </c>
      <c r="AG42" s="306">
        <f t="shared" ca="1" si="27"/>
        <v>81.382300056863286</v>
      </c>
      <c r="AH42" s="304">
        <f t="shared" ca="1" si="28"/>
        <v>91.040171058852295</v>
      </c>
    </row>
    <row r="43" spans="1:34" x14ac:dyDescent="0.2">
      <c r="A43" s="347">
        <f t="shared" ca="1" si="6"/>
        <v>0.01</v>
      </c>
      <c r="B43" s="304">
        <f t="shared" ca="1" si="7"/>
        <v>0.39000000000000018</v>
      </c>
      <c r="D43" s="306">
        <f t="shared" ca="1" si="8"/>
        <v>15.984832466701883</v>
      </c>
      <c r="E43" s="307">
        <f t="shared" ca="1" si="9"/>
        <v>79.598438479633742</v>
      </c>
      <c r="F43" s="304">
        <f t="shared" ca="1" si="10"/>
        <v>81.187599283293039</v>
      </c>
      <c r="G43" s="306">
        <f t="shared" ca="1" si="11"/>
        <v>5.41962802239998</v>
      </c>
      <c r="H43" s="307">
        <f t="shared" ca="1" si="12"/>
        <v>30.21566648035812</v>
      </c>
      <c r="I43" s="304">
        <f t="shared" ca="1" si="13"/>
        <v>30.697864237653739</v>
      </c>
      <c r="J43" s="306">
        <f t="shared" ca="1" si="14"/>
        <v>0.98244018376617093</v>
      </c>
      <c r="K43" s="307">
        <f t="shared" ca="1" si="15"/>
        <v>5.5592644130745841</v>
      </c>
      <c r="L43" s="304">
        <f t="shared" ca="1" si="0"/>
        <v>5.6454060552945178</v>
      </c>
      <c r="M43" s="306">
        <f t="shared" ca="1" si="16"/>
        <v>1.3933186884538968</v>
      </c>
      <c r="N43" s="304">
        <f t="shared" ca="1" si="17"/>
        <v>79.83128036511151</v>
      </c>
      <c r="P43" s="310">
        <f t="shared" ca="1" si="18"/>
        <v>2</v>
      </c>
      <c r="Q43" s="304">
        <f t="shared" ca="1" si="19"/>
        <v>822.27777777777771</v>
      </c>
      <c r="R43" s="306">
        <f t="shared" ca="1" si="20"/>
        <v>0.41266290533016137</v>
      </c>
      <c r="S43" s="307">
        <f t="shared" ca="1" si="21"/>
        <v>9.0135471176491855</v>
      </c>
      <c r="T43" s="304">
        <f t="shared" ca="1" si="1"/>
        <v>88.422897224138509</v>
      </c>
      <c r="U43" s="311">
        <f t="shared" ca="1" si="2"/>
        <v>0</v>
      </c>
      <c r="V43" s="306">
        <f t="shared" ca="1" si="3"/>
        <v>1.2243191793524983</v>
      </c>
      <c r="W43" s="304">
        <f t="shared" ca="1" si="4"/>
        <v>3.811049658327708</v>
      </c>
      <c r="Y43" s="314" t="str">
        <f t="shared" ca="1" si="22"/>
        <v/>
      </c>
      <c r="Z43" s="315" t="str">
        <f t="shared" ca="1" si="23"/>
        <v/>
      </c>
      <c r="AA43" s="316" t="str">
        <f t="shared" ca="1" si="24"/>
        <v/>
      </c>
      <c r="AC43" s="310" t="e">
        <f t="shared" ca="1" si="25"/>
        <v>#N/A</v>
      </c>
      <c r="AD43" s="323" t="e">
        <f t="shared" ca="1" si="26"/>
        <v>#N/A</v>
      </c>
      <c r="AE43" s="324">
        <f t="shared" ca="1" si="5"/>
        <v>5.5592644130745841</v>
      </c>
      <c r="AG43" s="306">
        <f t="shared" ca="1" si="27"/>
        <v>81.16923973047551</v>
      </c>
      <c r="AH43" s="304">
        <f t="shared" ca="1" si="28"/>
        <v>90.826118161875542</v>
      </c>
    </row>
    <row r="44" spans="1:34" x14ac:dyDescent="0.2">
      <c r="A44" s="347">
        <f t="shared" ca="1" si="6"/>
        <v>0.01</v>
      </c>
      <c r="B44" s="304">
        <f t="shared" ca="1" si="7"/>
        <v>0.40000000000000019</v>
      </c>
      <c r="D44" s="306">
        <f t="shared" ca="1" si="8"/>
        <v>15.997176494049546</v>
      </c>
      <c r="E44" s="307">
        <f t="shared" ca="1" si="9"/>
        <v>79.377919830257312</v>
      </c>
      <c r="F44" s="304">
        <f t="shared" ca="1" si="10"/>
        <v>80.973846471317685</v>
      </c>
      <c r="G44" s="306">
        <f t="shared" ca="1" si="11"/>
        <v>5.5795997873404755</v>
      </c>
      <c r="H44" s="307">
        <f t="shared" ca="1" si="12"/>
        <v>31.009445678660693</v>
      </c>
      <c r="I44" s="304">
        <f t="shared" ca="1" si="13"/>
        <v>31.507422222147884</v>
      </c>
      <c r="J44" s="306">
        <f t="shared" ca="1" si="14"/>
        <v>1.0374363228148733</v>
      </c>
      <c r="K44" s="307">
        <f t="shared" ca="1" si="15"/>
        <v>5.8653899738696778</v>
      </c>
      <c r="L44" s="304">
        <f t="shared" ca="1" si="0"/>
        <v>5.9564312863884012</v>
      </c>
      <c r="M44" s="306">
        <f t="shared" ca="1" si="16"/>
        <v>1.3927689989112648</v>
      </c>
      <c r="N44" s="304">
        <f t="shared" ca="1" si="17"/>
        <v>79.79978547427622</v>
      </c>
      <c r="P44" s="310">
        <f t="shared" ca="1" si="18"/>
        <v>2</v>
      </c>
      <c r="Q44" s="304">
        <f t="shared" ca="1" si="19"/>
        <v>820.16666666666663</v>
      </c>
      <c r="R44" s="306">
        <f t="shared" ca="1" si="20"/>
        <v>0.41160343702379387</v>
      </c>
      <c r="S44" s="307">
        <f t="shared" ca="1" si="21"/>
        <v>9.0094310832789475</v>
      </c>
      <c r="T44" s="304">
        <f t="shared" ca="1" si="1"/>
        <v>88.382518926966483</v>
      </c>
      <c r="U44" s="311">
        <f t="shared" ca="1" si="2"/>
        <v>0</v>
      </c>
      <c r="V44" s="306">
        <f t="shared" ca="1" si="3"/>
        <v>1.2242817003835693</v>
      </c>
      <c r="W44" s="304">
        <f t="shared" ca="1" si="4"/>
        <v>4.0145857284970736</v>
      </c>
      <c r="Y44" s="314" t="str">
        <f t="shared" ca="1" si="22"/>
        <v/>
      </c>
      <c r="Z44" s="315" t="str">
        <f t="shared" ca="1" si="23"/>
        <v/>
      </c>
      <c r="AA44" s="316" t="str">
        <f t="shared" ca="1" si="24"/>
        <v/>
      </c>
      <c r="AC44" s="310" t="e">
        <f t="shared" ca="1" si="25"/>
        <v>#N/A</v>
      </c>
      <c r="AD44" s="323" t="e">
        <f t="shared" ca="1" si="26"/>
        <v>#N/A</v>
      </c>
      <c r="AE44" s="324">
        <f t="shared" ca="1" si="5"/>
        <v>5.8653899738696778</v>
      </c>
      <c r="AG44" s="306">
        <f t="shared" ca="1" si="27"/>
        <v>80.955322437507505</v>
      </c>
      <c r="AH44" s="304">
        <f t="shared" ca="1" si="28"/>
        <v>90.611228329772558</v>
      </c>
    </row>
    <row r="45" spans="1:34" x14ac:dyDescent="0.2">
      <c r="A45" s="347">
        <f t="shared" ca="1" si="6"/>
        <v>0.01</v>
      </c>
      <c r="B45" s="304">
        <f t="shared" ca="1" si="7"/>
        <v>0.4100000000000002</v>
      </c>
      <c r="D45" s="306">
        <f t="shared" ca="1" si="8"/>
        <v>16.007997844978274</v>
      </c>
      <c r="E45" s="307">
        <f t="shared" ca="1" si="9"/>
        <v>79.15680022180959</v>
      </c>
      <c r="F45" s="304">
        <f t="shared" ca="1" si="10"/>
        <v>80.759241058595293</v>
      </c>
      <c r="G45" s="306">
        <f t="shared" ca="1" si="11"/>
        <v>5.7396797657902585</v>
      </c>
      <c r="H45" s="307">
        <f t="shared" ca="1" si="12"/>
        <v>31.801013680878789</v>
      </c>
      <c r="I45" s="304">
        <f t="shared" ca="1" si="13"/>
        <v>32.314832429478294</v>
      </c>
      <c r="J45" s="306">
        <f t="shared" ca="1" si="14"/>
        <v>1.0940327205805269</v>
      </c>
      <c r="K45" s="307">
        <f t="shared" ca="1" si="15"/>
        <v>6.1794422706673755</v>
      </c>
      <c r="L45" s="304">
        <f t="shared" ca="1" si="0"/>
        <v>6.2755409623562812</v>
      </c>
      <c r="M45" s="306">
        <f t="shared" ca="1" si="16"/>
        <v>1.3922314013421297</v>
      </c>
      <c r="N45" s="304">
        <f t="shared" ca="1" si="17"/>
        <v>79.768983402488288</v>
      </c>
      <c r="P45" s="310">
        <f t="shared" ca="1" si="18"/>
        <v>2</v>
      </c>
      <c r="Q45" s="304">
        <f t="shared" ca="1" si="19"/>
        <v>818.05555555555554</v>
      </c>
      <c r="R45" s="306">
        <f t="shared" ca="1" si="20"/>
        <v>0.41054396871742632</v>
      </c>
      <c r="S45" s="307">
        <f t="shared" ca="1" si="21"/>
        <v>9.0053256435917728</v>
      </c>
      <c r="T45" s="304">
        <f t="shared" ca="1" si="1"/>
        <v>88.34224456363529</v>
      </c>
      <c r="U45" s="311">
        <f t="shared" ca="1" si="2"/>
        <v>0</v>
      </c>
      <c r="V45" s="306">
        <f t="shared" ca="1" si="3"/>
        <v>1.2242432521358304</v>
      </c>
      <c r="W45" s="304">
        <f t="shared" ca="1" si="4"/>
        <v>4.2228452633606972</v>
      </c>
      <c r="Y45" s="314" t="str">
        <f t="shared" ca="1" si="22"/>
        <v/>
      </c>
      <c r="Z45" s="315" t="str">
        <f t="shared" ca="1" si="23"/>
        <v/>
      </c>
      <c r="AA45" s="316" t="str">
        <f t="shared" ca="1" si="24"/>
        <v/>
      </c>
      <c r="AC45" s="310" t="e">
        <f t="shared" ca="1" si="25"/>
        <v>#N/A</v>
      </c>
      <c r="AD45" s="323" t="e">
        <f t="shared" ca="1" si="26"/>
        <v>#N/A</v>
      </c>
      <c r="AE45" s="324">
        <f t="shared" ca="1" si="5"/>
        <v>6.1794422706673755</v>
      </c>
      <c r="AG45" s="306">
        <f t="shared" ca="1" si="27"/>
        <v>80.740553765714182</v>
      </c>
      <c r="AH45" s="304">
        <f t="shared" ca="1" si="28"/>
        <v>90.395506175430029</v>
      </c>
    </row>
    <row r="46" spans="1:34" x14ac:dyDescent="0.2">
      <c r="A46" s="347">
        <f t="shared" ca="1" si="6"/>
        <v>0.01</v>
      </c>
      <c r="B46" s="304">
        <f t="shared" ca="1" si="7"/>
        <v>0.42000000000000021</v>
      </c>
      <c r="D46" s="306">
        <f t="shared" ca="1" si="8"/>
        <v>16.017360824238473</v>
      </c>
      <c r="E46" s="307">
        <f t="shared" ca="1" si="9"/>
        <v>78.935074897579753</v>
      </c>
      <c r="F46" s="304">
        <f t="shared" ca="1" si="10"/>
        <v>80.543788691992717</v>
      </c>
      <c r="G46" s="306">
        <f t="shared" ca="1" si="11"/>
        <v>5.8998533740326433</v>
      </c>
      <c r="H46" s="307">
        <f t="shared" ca="1" si="12"/>
        <v>32.590364429854588</v>
      </c>
      <c r="I46" s="304">
        <f t="shared" ca="1" si="13"/>
        <v>33.120086405470254</v>
      </c>
      <c r="J46" s="306">
        <f t="shared" ca="1" si="14"/>
        <v>1.1522303862796415</v>
      </c>
      <c r="K46" s="307">
        <f t="shared" ca="1" si="15"/>
        <v>6.501399161221042</v>
      </c>
      <c r="L46" s="304">
        <f t="shared" ca="1" si="0"/>
        <v>6.6027135267700201</v>
      </c>
      <c r="M46" s="306">
        <f t="shared" ca="1" si="16"/>
        <v>1.3917053073763324</v>
      </c>
      <c r="N46" s="304">
        <f t="shared" ca="1" si="17"/>
        <v>79.738840438620798</v>
      </c>
      <c r="P46" s="310">
        <f t="shared" ca="1" si="18"/>
        <v>2</v>
      </c>
      <c r="Q46" s="304">
        <f t="shared" ca="1" si="19"/>
        <v>815.94444444444434</v>
      </c>
      <c r="R46" s="306">
        <f t="shared" ca="1" si="20"/>
        <v>0.40948450041105872</v>
      </c>
      <c r="S46" s="307">
        <f t="shared" ca="1" si="21"/>
        <v>9.0012307985876614</v>
      </c>
      <c r="T46" s="304">
        <f t="shared" ca="1" si="1"/>
        <v>88.302074134144959</v>
      </c>
      <c r="U46" s="311">
        <f t="shared" ca="1" si="2"/>
        <v>0</v>
      </c>
      <c r="V46" s="306">
        <f t="shared" ca="1" si="3"/>
        <v>1.2242038374112898</v>
      </c>
      <c r="W46" s="304">
        <f t="shared" ca="1" si="4"/>
        <v>4.4357829922486669</v>
      </c>
      <c r="Y46" s="314" t="str">
        <f t="shared" ca="1" si="22"/>
        <v/>
      </c>
      <c r="Z46" s="315" t="str">
        <f t="shared" ca="1" si="23"/>
        <v/>
      </c>
      <c r="AA46" s="316" t="str">
        <f t="shared" ca="1" si="24"/>
        <v/>
      </c>
      <c r="AC46" s="310" t="e">
        <f t="shared" ca="1" si="25"/>
        <v>#N/A</v>
      </c>
      <c r="AD46" s="323" t="e">
        <f t="shared" ca="1" si="26"/>
        <v>#N/A</v>
      </c>
      <c r="AE46" s="324">
        <f t="shared" ca="1" si="5"/>
        <v>6.501399161221042</v>
      </c>
      <c r="AG46" s="306">
        <f t="shared" ca="1" si="27"/>
        <v>80.524939258841115</v>
      </c>
      <c r="AH46" s="304">
        <f t="shared" ca="1" si="28"/>
        <v>90.178956338776118</v>
      </c>
    </row>
    <row r="47" spans="1:34" x14ac:dyDescent="0.2">
      <c r="A47" s="347">
        <f t="shared" ca="1" si="6"/>
        <v>0.01</v>
      </c>
      <c r="B47" s="304">
        <f t="shared" ca="1" si="7"/>
        <v>0.43000000000000022</v>
      </c>
      <c r="D47" s="306">
        <f t="shared" ca="1" si="8"/>
        <v>16.025325096307025</v>
      </c>
      <c r="E47" s="307">
        <f t="shared" ca="1" si="9"/>
        <v>78.712739784388887</v>
      </c>
      <c r="F47" s="304">
        <f t="shared" ca="1" si="10"/>
        <v>80.327494974057586</v>
      </c>
      <c r="G47" s="306">
        <f t="shared" ca="1" si="11"/>
        <v>6.0601066249957132</v>
      </c>
      <c r="H47" s="307">
        <f t="shared" ca="1" si="12"/>
        <v>33.377491827698478</v>
      </c>
      <c r="I47" s="304">
        <f t="shared" ca="1" si="13"/>
        <v>33.923175750722329</v>
      </c>
      <c r="J47" s="306">
        <f t="shared" ca="1" si="14"/>
        <v>1.2120301862747833</v>
      </c>
      <c r="K47" s="307">
        <f t="shared" ca="1" si="15"/>
        <v>6.8312384425088073</v>
      </c>
      <c r="L47" s="304">
        <f t="shared" ca="1" si="0"/>
        <v>6.9379273440164706</v>
      </c>
      <c r="M47" s="306">
        <f t="shared" ca="1" si="16"/>
        <v>1.391190170925376</v>
      </c>
      <c r="N47" s="304">
        <f t="shared" ca="1" si="17"/>
        <v>79.709325294107657</v>
      </c>
      <c r="P47" s="310">
        <f t="shared" ca="1" si="18"/>
        <v>2</v>
      </c>
      <c r="Q47" s="304">
        <f t="shared" ca="1" si="19"/>
        <v>813.83333333333326</v>
      </c>
      <c r="R47" s="306">
        <f t="shared" ca="1" si="20"/>
        <v>0.40842503210469117</v>
      </c>
      <c r="S47" s="307">
        <f t="shared" ca="1" si="21"/>
        <v>8.9971465482666151</v>
      </c>
      <c r="T47" s="304">
        <f t="shared" ca="1" si="1"/>
        <v>88.262007638495504</v>
      </c>
      <c r="U47" s="311">
        <f t="shared" ca="1" si="2"/>
        <v>0</v>
      </c>
      <c r="V47" s="306">
        <f t="shared" ca="1" si="3"/>
        <v>1.2241634590213375</v>
      </c>
      <c r="W47" s="304">
        <f t="shared" ca="1" si="4"/>
        <v>4.6533535371664563</v>
      </c>
      <c r="Y47" s="314" t="str">
        <f t="shared" ca="1" si="22"/>
        <v/>
      </c>
      <c r="Z47" s="315" t="str">
        <f t="shared" ca="1" si="23"/>
        <v/>
      </c>
      <c r="AA47" s="316" t="str">
        <f t="shared" ca="1" si="24"/>
        <v/>
      </c>
      <c r="AC47" s="310" t="e">
        <f t="shared" ca="1" si="25"/>
        <v>#N/A</v>
      </c>
      <c r="AD47" s="323" t="e">
        <f t="shared" ca="1" si="26"/>
        <v>#N/A</v>
      </c>
      <c r="AE47" s="324">
        <f t="shared" ca="1" si="5"/>
        <v>6.8312384425088073</v>
      </c>
      <c r="AG47" s="306">
        <f t="shared" ca="1" si="27"/>
        <v>80.308484423085829</v>
      </c>
      <c r="AH47" s="304">
        <f t="shared" ca="1" si="28"/>
        <v>89.961583486380206</v>
      </c>
    </row>
    <row r="48" spans="1:34" x14ac:dyDescent="0.2">
      <c r="A48" s="347">
        <f t="shared" ca="1" si="6"/>
        <v>0.01</v>
      </c>
      <c r="B48" s="304">
        <f t="shared" ca="1" si="7"/>
        <v>0.44000000000000022</v>
      </c>
      <c r="D48" s="306">
        <f t="shared" ca="1" si="8"/>
        <v>16.031946132938735</v>
      </c>
      <c r="E48" s="307">
        <f t="shared" ca="1" si="9"/>
        <v>78.48979143059104</v>
      </c>
      <c r="F48" s="304">
        <f t="shared" ca="1" si="10"/>
        <v>80.110365469314473</v>
      </c>
      <c r="G48" s="306">
        <f t="shared" ca="1" si="11"/>
        <v>6.2204260863251006</v>
      </c>
      <c r="H48" s="307">
        <f t="shared" ca="1" si="12"/>
        <v>34.162389742004386</v>
      </c>
      <c r="I48" s="304">
        <f t="shared" ca="1" si="13"/>
        <v>34.72409212031382</v>
      </c>
      <c r="J48" s="306">
        <f t="shared" ca="1" si="14"/>
        <v>1.2734328498313874</v>
      </c>
      <c r="K48" s="307">
        <f t="shared" ca="1" si="15"/>
        <v>7.168937850357322</v>
      </c>
      <c r="L48" s="304">
        <f t="shared" ca="1" si="0"/>
        <v>7.2811606990448681</v>
      </c>
      <c r="M48" s="306">
        <f t="shared" ca="1" si="16"/>
        <v>1.3906854841913694</v>
      </c>
      <c r="N48" s="304">
        <f t="shared" ca="1" si="17"/>
        <v>79.680408874272828</v>
      </c>
      <c r="P48" s="310">
        <f t="shared" ca="1" si="18"/>
        <v>2</v>
      </c>
      <c r="Q48" s="304">
        <f t="shared" ca="1" si="19"/>
        <v>811.72222222222217</v>
      </c>
      <c r="R48" s="306">
        <f t="shared" ca="1" si="20"/>
        <v>0.40736556379832362</v>
      </c>
      <c r="S48" s="307">
        <f t="shared" ca="1" si="21"/>
        <v>8.9930728926286321</v>
      </c>
      <c r="T48" s="304">
        <f t="shared" ca="1" si="1"/>
        <v>88.222045076686882</v>
      </c>
      <c r="U48" s="311">
        <f t="shared" ca="1" si="2"/>
        <v>0</v>
      </c>
      <c r="V48" s="306">
        <f t="shared" ca="1" si="3"/>
        <v>1.2241221197867658</v>
      </c>
      <c r="W48" s="304">
        <f t="shared" ca="1" si="4"/>
        <v>4.8755114164444411</v>
      </c>
      <c r="Y48" s="314" t="str">
        <f t="shared" ca="1" si="22"/>
        <v/>
      </c>
      <c r="Z48" s="315" t="str">
        <f t="shared" ca="1" si="23"/>
        <v/>
      </c>
      <c r="AA48" s="316" t="str">
        <f t="shared" ca="1" si="24"/>
        <v/>
      </c>
      <c r="AC48" s="310" t="e">
        <f t="shared" ca="1" si="25"/>
        <v>#N/A</v>
      </c>
      <c r="AD48" s="323" t="e">
        <f t="shared" ca="1" si="26"/>
        <v>#N/A</v>
      </c>
      <c r="AE48" s="324">
        <f t="shared" ca="1" si="5"/>
        <v>7.168937850357322</v>
      </c>
      <c r="AG48" s="306">
        <f t="shared" ca="1" si="27"/>
        <v>80.091194732741229</v>
      </c>
      <c r="AH48" s="304">
        <f t="shared" ca="1" si="28"/>
        <v>89.743392311051679</v>
      </c>
    </row>
    <row r="49" spans="1:34" x14ac:dyDescent="0.2">
      <c r="A49" s="347">
        <f t="shared" ca="1" si="6"/>
        <v>0.01</v>
      </c>
      <c r="B49" s="304">
        <f t="shared" ca="1" si="7"/>
        <v>0.45000000000000023</v>
      </c>
      <c r="D49" s="306">
        <f t="shared" ca="1" si="8"/>
        <v>16.037275607763362</v>
      </c>
      <c r="E49" s="307">
        <f t="shared" ca="1" si="9"/>
        <v>78.266226951202839</v>
      </c>
      <c r="F49" s="304">
        <f t="shared" ca="1" si="10"/>
        <v>79.892405709782906</v>
      </c>
      <c r="G49" s="306">
        <f t="shared" ca="1" si="11"/>
        <v>6.3807988424027346</v>
      </c>
      <c r="H49" s="307">
        <f t="shared" ca="1" si="12"/>
        <v>34.945052011516417</v>
      </c>
      <c r="I49" s="304">
        <f t="shared" ca="1" si="13"/>
        <v>35.522827223558593</v>
      </c>
      <c r="J49" s="306">
        <f t="shared" ca="1" si="14"/>
        <v>1.3364389744750265</v>
      </c>
      <c r="K49" s="307">
        <f t="shared" ca="1" si="15"/>
        <v>7.5144750591249263</v>
      </c>
      <c r="L49" s="304">
        <f t="shared" ca="1" si="0"/>
        <v>7.6323917972485154</v>
      </c>
      <c r="M49" s="306">
        <f t="shared" ca="1" si="16"/>
        <v>1.3901907741382364</v>
      </c>
      <c r="N49" s="304">
        <f t="shared" ca="1" si="17"/>
        <v>79.652064076145621</v>
      </c>
      <c r="P49" s="310">
        <f t="shared" ca="1" si="18"/>
        <v>2</v>
      </c>
      <c r="Q49" s="304">
        <f t="shared" ca="1" si="19"/>
        <v>809.61111111111109</v>
      </c>
      <c r="R49" s="306">
        <f t="shared" ca="1" si="20"/>
        <v>0.40630609549195612</v>
      </c>
      <c r="S49" s="307">
        <f t="shared" ca="1" si="21"/>
        <v>8.9890098316737124</v>
      </c>
      <c r="T49" s="304">
        <f t="shared" ca="1" si="1"/>
        <v>88.182186448719122</v>
      </c>
      <c r="U49" s="311">
        <f t="shared" ca="1" si="2"/>
        <v>0</v>
      </c>
      <c r="V49" s="306">
        <f t="shared" ca="1" si="3"/>
        <v>1.2240798225377869</v>
      </c>
      <c r="W49" s="304">
        <f t="shared" ca="1" si="4"/>
        <v>5.1022110483796208</v>
      </c>
      <c r="Y49" s="314" t="str">
        <f t="shared" ca="1" si="22"/>
        <v/>
      </c>
      <c r="Z49" s="315" t="str">
        <f t="shared" ca="1" si="23"/>
        <v/>
      </c>
      <c r="AA49" s="316" t="str">
        <f t="shared" ca="1" si="24"/>
        <v/>
      </c>
      <c r="AC49" s="310" t="e">
        <f t="shared" ca="1" si="25"/>
        <v>#N/A</v>
      </c>
      <c r="AD49" s="323" t="e">
        <f t="shared" ca="1" si="26"/>
        <v>#N/A</v>
      </c>
      <c r="AE49" s="324">
        <f t="shared" ca="1" si="5"/>
        <v>7.5144750591249263</v>
      </c>
      <c r="AG49" s="306">
        <f t="shared" ca="1" si="27"/>
        <v>79.873075635136573</v>
      </c>
      <c r="AH49" s="304">
        <f t="shared" ca="1" si="28"/>
        <v>89.524387531438336</v>
      </c>
    </row>
    <row r="50" spans="1:34" x14ac:dyDescent="0.2">
      <c r="A50" s="347">
        <f t="shared" ca="1" si="6"/>
        <v>0.01</v>
      </c>
      <c r="B50" s="304">
        <f t="shared" ca="1" si="7"/>
        <v>0.46000000000000024</v>
      </c>
      <c r="D50" s="306">
        <f t="shared" ca="1" si="8"/>
        <v>16.041361745301369</v>
      </c>
      <c r="E50" s="307">
        <f t="shared" ca="1" si="9"/>
        <v>78.042043979186346</v>
      </c>
      <c r="F50" s="304">
        <f t="shared" ca="1" si="10"/>
        <v>79.673621199822932</v>
      </c>
      <c r="G50" s="306">
        <f t="shared" ca="1" si="11"/>
        <v>6.541212459855748</v>
      </c>
      <c r="H50" s="307">
        <f t="shared" ca="1" si="12"/>
        <v>35.725472451308278</v>
      </c>
      <c r="I50" s="304">
        <f t="shared" ca="1" si="13"/>
        <v>36.319372823799682</v>
      </c>
      <c r="J50" s="306">
        <f t="shared" ca="1" si="14"/>
        <v>1.4010490309863188</v>
      </c>
      <c r="K50" s="307">
        <f t="shared" ca="1" si="15"/>
        <v>7.8678276814390493</v>
      </c>
      <c r="L50" s="304">
        <f t="shared" ca="1" si="0"/>
        <v>7.9915987644554747</v>
      </c>
      <c r="M50" s="306">
        <f t="shared" ca="1" si="16"/>
        <v>1.3897055993622012</v>
      </c>
      <c r="N50" s="304">
        <f t="shared" ca="1" si="17"/>
        <v>79.624265609152602</v>
      </c>
      <c r="P50" s="310">
        <f t="shared" ca="1" si="18"/>
        <v>2</v>
      </c>
      <c r="Q50" s="304">
        <f t="shared" ca="1" si="19"/>
        <v>807.5</v>
      </c>
      <c r="R50" s="306">
        <f t="shared" ca="1" si="20"/>
        <v>0.40524662718558857</v>
      </c>
      <c r="S50" s="307">
        <f t="shared" ca="1" si="21"/>
        <v>8.984957365401856</v>
      </c>
      <c r="T50" s="304">
        <f t="shared" ca="1" si="1"/>
        <v>88.142431754592209</v>
      </c>
      <c r="U50" s="311">
        <f t="shared" ca="1" si="2"/>
        <v>0</v>
      </c>
      <c r="V50" s="306">
        <f t="shared" ca="1" si="3"/>
        <v>1.2240365701140401</v>
      </c>
      <c r="W50" s="304">
        <f t="shared" ca="1" si="4"/>
        <v>5.3334067548698618</v>
      </c>
      <c r="Y50" s="314" t="str">
        <f t="shared" ca="1" si="22"/>
        <v/>
      </c>
      <c r="Z50" s="315" t="str">
        <f t="shared" ca="1" si="23"/>
        <v/>
      </c>
      <c r="AA50" s="316" t="str">
        <f t="shared" ca="1" si="24"/>
        <v/>
      </c>
      <c r="AC50" s="310" t="e">
        <f t="shared" ca="1" si="25"/>
        <v>#N/A</v>
      </c>
      <c r="AD50" s="323" t="e">
        <f t="shared" ca="1" si="26"/>
        <v>#N/A</v>
      </c>
      <c r="AE50" s="324">
        <f t="shared" ca="1" si="5"/>
        <v>7.8678276814390493</v>
      </c>
      <c r="AG50" s="306">
        <f t="shared" ca="1" si="27"/>
        <v>79.654132554971909</v>
      </c>
      <c r="AH50" s="304">
        <f t="shared" ca="1" si="28"/>
        <v>89.304573891623889</v>
      </c>
    </row>
    <row r="51" spans="1:34" x14ac:dyDescent="0.2">
      <c r="A51" s="347">
        <f t="shared" ca="1" si="6"/>
        <v>0.01</v>
      </c>
      <c r="B51" s="304">
        <f t="shared" ca="1" si="7"/>
        <v>0.47000000000000025</v>
      </c>
      <c r="D51" s="306">
        <f t="shared" ca="1" si="8"/>
        <v>16.044249630597417</v>
      </c>
      <c r="E51" s="307">
        <f t="shared" ca="1" si="9"/>
        <v>77.817240622063679</v>
      </c>
      <c r="F51" s="304">
        <f t="shared" ca="1" si="10"/>
        <v>79.454017420399097</v>
      </c>
      <c r="G51" s="306">
        <f t="shared" ca="1" si="11"/>
        <v>6.7016549561617218</v>
      </c>
      <c r="H51" s="307">
        <f t="shared" ca="1" si="12"/>
        <v>36.503644857528911</v>
      </c>
      <c r="I51" s="304">
        <f t="shared" ca="1" si="13"/>
        <v>37.113720738239707</v>
      </c>
      <c r="J51" s="306">
        <f t="shared" ca="1" si="14"/>
        <v>1.4672633680664062</v>
      </c>
      <c r="K51" s="307">
        <f t="shared" ca="1" si="15"/>
        <v>8.2289732679832355</v>
      </c>
      <c r="L51" s="304">
        <f t="shared" ca="1" si="0"/>
        <v>8.3587596470081778</v>
      </c>
      <c r="M51" s="306">
        <f t="shared" ca="1" si="16"/>
        <v>1.3892295473083671</v>
      </c>
      <c r="N51" s="304">
        <f t="shared" ca="1" si="17"/>
        <v>79.596989835639377</v>
      </c>
      <c r="P51" s="310">
        <f t="shared" ca="1" si="18"/>
        <v>2</v>
      </c>
      <c r="Q51" s="304">
        <f t="shared" ca="1" si="19"/>
        <v>805.3888888888888</v>
      </c>
      <c r="R51" s="306">
        <f t="shared" ca="1" si="20"/>
        <v>0.40418715887922096</v>
      </c>
      <c r="S51" s="307">
        <f t="shared" ca="1" si="21"/>
        <v>8.9809154938130646</v>
      </c>
      <c r="T51" s="304">
        <f t="shared" ca="1" si="1"/>
        <v>88.102780994306173</v>
      </c>
      <c r="U51" s="311">
        <f t="shared" ca="1" si="2"/>
        <v>0</v>
      </c>
      <c r="V51" s="306">
        <f t="shared" ca="1" si="3"/>
        <v>1.2239923653645961</v>
      </c>
      <c r="W51" s="304">
        <f t="shared" ca="1" si="4"/>
        <v>5.56905276504094</v>
      </c>
      <c r="Y51" s="314" t="str">
        <f t="shared" ca="1" si="22"/>
        <v/>
      </c>
      <c r="Z51" s="315" t="str">
        <f t="shared" ca="1" si="23"/>
        <v/>
      </c>
      <c r="AA51" s="316" t="str">
        <f t="shared" ca="1" si="24"/>
        <v/>
      </c>
      <c r="AC51" s="310" t="e">
        <f t="shared" ca="1" si="25"/>
        <v>#N/A</v>
      </c>
      <c r="AD51" s="323" t="e">
        <f t="shared" ca="1" si="26"/>
        <v>#N/A</v>
      </c>
      <c r="AE51" s="324">
        <f t="shared" ca="1" si="5"/>
        <v>8.2289732679832355</v>
      </c>
      <c r="AG51" s="306">
        <f t="shared" ca="1" si="27"/>
        <v>79.434370898127142</v>
      </c>
      <c r="AH51" s="304">
        <f t="shared" ca="1" si="28"/>
        <v>89.083956160724995</v>
      </c>
    </row>
    <row r="52" spans="1:34" x14ac:dyDescent="0.2">
      <c r="A52" s="347">
        <f t="shared" ca="1" si="6"/>
        <v>0.01</v>
      </c>
      <c r="B52" s="304">
        <f t="shared" ca="1" si="7"/>
        <v>0.48000000000000026</v>
      </c>
      <c r="D52" s="306">
        <f t="shared" ca="1" si="8"/>
        <v>16.045981484706147</v>
      </c>
      <c r="E52" s="307">
        <f t="shared" ca="1" si="9"/>
        <v>77.591815423166821</v>
      </c>
      <c r="F52" s="304">
        <f t="shared" ca="1" si="10"/>
        <v>79.233599832838095</v>
      </c>
      <c r="G52" s="306">
        <f t="shared" ca="1" si="11"/>
        <v>6.8621147710087831</v>
      </c>
      <c r="H52" s="307">
        <f t="shared" ca="1" si="12"/>
        <v>37.27956301176058</v>
      </c>
      <c r="I52" s="304">
        <f t="shared" ca="1" si="13"/>
        <v>37.905862837802864</v>
      </c>
      <c r="J52" s="306">
        <f t="shared" ca="1" si="14"/>
        <v>1.5350822167022589</v>
      </c>
      <c r="K52" s="307">
        <f t="shared" ca="1" si="15"/>
        <v>8.5978893073296838</v>
      </c>
      <c r="L52" s="304">
        <f t="shared" ca="1" si="0"/>
        <v>8.733852411915926</v>
      </c>
      <c r="M52" s="306">
        <f t="shared" ca="1" si="16"/>
        <v>1.3887622317883077</v>
      </c>
      <c r="N52" s="304">
        <f t="shared" ca="1" si="17"/>
        <v>79.570214628639008</v>
      </c>
      <c r="P52" s="310">
        <f t="shared" ca="1" si="18"/>
        <v>2</v>
      </c>
      <c r="Q52" s="304">
        <f t="shared" ca="1" si="19"/>
        <v>803.27777777777771</v>
      </c>
      <c r="R52" s="306">
        <f t="shared" ca="1" si="20"/>
        <v>0.40312769057285341</v>
      </c>
      <c r="S52" s="307">
        <f t="shared" ca="1" si="21"/>
        <v>8.9768842169073366</v>
      </c>
      <c r="T52" s="304">
        <f t="shared" ca="1" si="1"/>
        <v>88.063234167860983</v>
      </c>
      <c r="U52" s="311">
        <f t="shared" ca="1" si="2"/>
        <v>0</v>
      </c>
      <c r="V52" s="306">
        <f t="shared" ca="1" si="3"/>
        <v>1.2239472111479528</v>
      </c>
      <c r="W52" s="304">
        <f t="shared" ca="1" si="4"/>
        <v>5.8091032188665208</v>
      </c>
      <c r="Y52" s="314" t="str">
        <f t="shared" ca="1" si="22"/>
        <v/>
      </c>
      <c r="Z52" s="315" t="str">
        <f t="shared" ca="1" si="23"/>
        <v/>
      </c>
      <c r="AA52" s="316" t="str">
        <f t="shared" ca="1" si="24"/>
        <v/>
      </c>
      <c r="AC52" s="310" t="e">
        <f t="shared" ca="1" si="25"/>
        <v>#N/A</v>
      </c>
      <c r="AD52" s="323" t="e">
        <f t="shared" ca="1" si="26"/>
        <v>#N/A</v>
      </c>
      <c r="AE52" s="324">
        <f t="shared" ca="1" si="5"/>
        <v>8.5978893073296838</v>
      </c>
      <c r="AG52" s="306">
        <f t="shared" ca="1" si="27"/>
        <v>79.213796055014342</v>
      </c>
      <c r="AH52" s="304">
        <f t="shared" ca="1" si="28"/>
        <v>88.862539132487399</v>
      </c>
    </row>
    <row r="53" spans="1:34" x14ac:dyDescent="0.2">
      <c r="A53" s="347">
        <f t="shared" ca="1" si="6"/>
        <v>0.01</v>
      </c>
      <c r="B53" s="304">
        <f t="shared" ca="1" si="7"/>
        <v>0.49000000000000027</v>
      </c>
      <c r="D53" s="306">
        <f t="shared" ca="1" si="8"/>
        <v>16.046596910469177</v>
      </c>
      <c r="E53" s="307">
        <f t="shared" ca="1" si="9"/>
        <v>77.365767326931064</v>
      </c>
      <c r="F53" s="304">
        <f t="shared" ca="1" si="10"/>
        <v>79.012373882145283</v>
      </c>
      <c r="G53" s="306">
        <f t="shared" ca="1" si="11"/>
        <v>7.022580740113475</v>
      </c>
      <c r="H53" s="307">
        <f t="shared" ca="1" si="12"/>
        <v>38.053220685029892</v>
      </c>
      <c r="I53" s="304">
        <f t="shared" ca="1" si="13"/>
        <v>38.695791047024734</v>
      </c>
      <c r="J53" s="306">
        <f t="shared" ca="1" si="14"/>
        <v>1.6045056942578702</v>
      </c>
      <c r="K53" s="307">
        <f t="shared" ca="1" si="15"/>
        <v>8.9745532258136365</v>
      </c>
      <c r="L53" s="304">
        <f t="shared" ca="1" si="0"/>
        <v>9.1168549470674307</v>
      </c>
      <c r="M53" s="306">
        <f t="shared" ca="1" si="16"/>
        <v>1.3883032907603163</v>
      </c>
      <c r="N53" s="304">
        <f t="shared" ca="1" si="17"/>
        <v>79.543919244689704</v>
      </c>
      <c r="P53" s="310">
        <f t="shared" ca="1" si="18"/>
        <v>2</v>
      </c>
      <c r="Q53" s="304">
        <f t="shared" ca="1" si="19"/>
        <v>801.16666666666663</v>
      </c>
      <c r="R53" s="306">
        <f t="shared" ca="1" si="20"/>
        <v>0.40206822226648586</v>
      </c>
      <c r="S53" s="307">
        <f t="shared" ca="1" si="21"/>
        <v>8.9728635346846719</v>
      </c>
      <c r="T53" s="304">
        <f t="shared" ca="1" si="1"/>
        <v>88.023791275256642</v>
      </c>
      <c r="U53" s="311">
        <f t="shared" ca="1" si="2"/>
        <v>0</v>
      </c>
      <c r="V53" s="306">
        <f t="shared" ca="1" si="3"/>
        <v>1.2239011103320288</v>
      </c>
      <c r="W53" s="304">
        <f t="shared" ca="1" si="4"/>
        <v>6.0535121707812189</v>
      </c>
      <c r="Y53" s="314" t="str">
        <f t="shared" ca="1" si="22"/>
        <v/>
      </c>
      <c r="Z53" s="315" t="str">
        <f t="shared" ca="1" si="23"/>
        <v/>
      </c>
      <c r="AA53" s="316" t="str">
        <f t="shared" ca="1" si="24"/>
        <v/>
      </c>
      <c r="AC53" s="310" t="e">
        <f t="shared" ca="1" si="25"/>
        <v>#N/A</v>
      </c>
      <c r="AD53" s="323" t="e">
        <f t="shared" ca="1" si="26"/>
        <v>#N/A</v>
      </c>
      <c r="AE53" s="324">
        <f t="shared" ca="1" si="5"/>
        <v>8.9745532258136365</v>
      </c>
      <c r="AG53" s="306">
        <f t="shared" ca="1" si="27"/>
        <v>78.992413403531586</v>
      </c>
      <c r="AH53" s="304">
        <f t="shared" ca="1" si="28"/>
        <v>88.640327624881337</v>
      </c>
    </row>
    <row r="54" spans="1:34" x14ac:dyDescent="0.2">
      <c r="A54" s="347">
        <f t="shared" ca="1" si="6"/>
        <v>0.01</v>
      </c>
      <c r="B54" s="304">
        <f t="shared" ca="1" si="7"/>
        <v>0.50000000000000022</v>
      </c>
      <c r="D54" s="306">
        <f t="shared" ca="1" si="8"/>
        <v>16.046133112360327</v>
      </c>
      <c r="E54" s="307">
        <f t="shared" ca="1" si="9"/>
        <v>77.139095647727117</v>
      </c>
      <c r="F54" s="304">
        <f t="shared" ca="1" si="10"/>
        <v>78.790344999934973</v>
      </c>
      <c r="G54" s="306">
        <f t="shared" ca="1" si="11"/>
        <v>7.1830420712370779</v>
      </c>
      <c r="H54" s="307">
        <f t="shared" ca="1" si="12"/>
        <v>38.824611641507161</v>
      </c>
      <c r="I54" s="304">
        <f t="shared" ca="1" si="13"/>
        <v>39.483497343966569</v>
      </c>
      <c r="J54" s="306">
        <f t="shared" ca="1" si="14"/>
        <v>1.675533808314623</v>
      </c>
      <c r="K54" s="307">
        <f t="shared" ca="1" si="15"/>
        <v>9.3589423874463211</v>
      </c>
      <c r="L54" s="304">
        <f t="shared" ca="1" si="0"/>
        <v>9.5077450614930115</v>
      </c>
      <c r="M54" s="306">
        <f t="shared" ca="1" si="16"/>
        <v>1.3878523843395476</v>
      </c>
      <c r="N54" s="304">
        <f t="shared" ca="1" si="17"/>
        <v>79.518084209824309</v>
      </c>
      <c r="P54" s="310">
        <f t="shared" ca="1" si="18"/>
        <v>2</v>
      </c>
      <c r="Q54" s="304">
        <f t="shared" ca="1" si="19"/>
        <v>799.05555555555554</v>
      </c>
      <c r="R54" s="306">
        <f t="shared" ca="1" si="20"/>
        <v>0.40100875396011837</v>
      </c>
      <c r="S54" s="307">
        <f t="shared" ca="1" si="21"/>
        <v>8.9688534471450705</v>
      </c>
      <c r="T54" s="304">
        <f t="shared" ca="1" si="1"/>
        <v>87.984452316493147</v>
      </c>
      <c r="U54" s="311">
        <f t="shared" ca="1" si="2"/>
        <v>0</v>
      </c>
      <c r="V54" s="306">
        <f t="shared" ca="1" si="3"/>
        <v>1.2238540657941486</v>
      </c>
      <c r="W54" s="304">
        <f t="shared" ca="1" si="4"/>
        <v>6.3022335932867222</v>
      </c>
      <c r="Y54" s="314" t="str">
        <f t="shared" ca="1" si="22"/>
        <v/>
      </c>
      <c r="Z54" s="315" t="str">
        <f t="shared" ca="1" si="23"/>
        <v/>
      </c>
      <c r="AA54" s="316" t="str">
        <f t="shared" ca="1" si="24"/>
        <v/>
      </c>
      <c r="AC54" s="310" t="e">
        <f t="shared" ca="1" si="25"/>
        <v>#N/A</v>
      </c>
      <c r="AD54" s="323" t="e">
        <f t="shared" ca="1" si="26"/>
        <v>#N/A</v>
      </c>
      <c r="AE54" s="324">
        <f t="shared" ca="1" si="5"/>
        <v>9.3589423874463211</v>
      </c>
      <c r="AG54" s="306">
        <f t="shared" ca="1" si="27"/>
        <v>78.770228311668276</v>
      </c>
      <c r="AH54" s="304">
        <f t="shared" ca="1" si="28"/>
        <v>88.417326479696186</v>
      </c>
    </row>
    <row r="55" spans="1:34" x14ac:dyDescent="0.2">
      <c r="A55" s="347">
        <f t="shared" ca="1" si="6"/>
        <v>0.01</v>
      </c>
      <c r="B55" s="304">
        <f t="shared" ca="1" si="7"/>
        <v>0.51000000000000023</v>
      </c>
      <c r="D55" s="306">
        <f t="shared" ca="1" si="8"/>
        <v>16.054076868759694</v>
      </c>
      <c r="E55" s="307">
        <f t="shared" ca="1" si="9"/>
        <v>76.962887240677603</v>
      </c>
      <c r="F55" s="304">
        <f t="shared" ca="1" si="10"/>
        <v>78.619459401151445</v>
      </c>
      <c r="G55" s="306">
        <f t="shared" ca="1" si="11"/>
        <v>7.3435828399246752</v>
      </c>
      <c r="H55" s="307">
        <f t="shared" ca="1" si="12"/>
        <v>39.594240513913938</v>
      </c>
      <c r="I55" s="304">
        <f t="shared" ca="1" si="13"/>
        <v>40.269493302008406</v>
      </c>
      <c r="J55" s="306">
        <f t="shared" ca="1" si="14"/>
        <v>1.7481669328704317</v>
      </c>
      <c r="K55" s="307">
        <f t="shared" ca="1" si="15"/>
        <v>9.7510366482234261</v>
      </c>
      <c r="L55" s="304">
        <f t="shared" ca="1" si="0"/>
        <v>9.9065030833376309</v>
      </c>
      <c r="M55" s="306">
        <f t="shared" ca="1" si="16"/>
        <v>1.3874091987278585</v>
      </c>
      <c r="N55" s="304">
        <f t="shared" ca="1" si="17"/>
        <v>79.492691544733603</v>
      </c>
      <c r="P55" s="310">
        <f t="shared" ca="1" si="18"/>
        <v>3</v>
      </c>
      <c r="Q55" s="304">
        <f t="shared" ca="1" si="19"/>
        <v>797.41</v>
      </c>
      <c r="R55" s="306">
        <f t="shared" ca="1" si="20"/>
        <v>0.40018292629604973</v>
      </c>
      <c r="S55" s="307">
        <f t="shared" ca="1" si="21"/>
        <v>8.9648516178821094</v>
      </c>
      <c r="T55" s="304">
        <f t="shared" ca="1" si="1"/>
        <v>87.945194371423497</v>
      </c>
      <c r="U55" s="311">
        <f t="shared" ca="1" si="2"/>
        <v>0</v>
      </c>
      <c r="V55" s="306">
        <f t="shared" ca="1" si="3"/>
        <v>1.2238060801084236</v>
      </c>
      <c r="W55" s="304">
        <f t="shared" ca="1" si="4"/>
        <v>6.5553905281516558</v>
      </c>
      <c r="Y55" s="314" t="str">
        <f t="shared" ca="1" si="22"/>
        <v/>
      </c>
      <c r="Z55" s="315" t="str">
        <f t="shared" ca="1" si="23"/>
        <v/>
      </c>
      <c r="AA55" s="316" t="str">
        <f t="shared" ca="1" si="24"/>
        <v/>
      </c>
      <c r="AC55" s="310" t="e">
        <f t="shared" ca="1" si="25"/>
        <v>#N/A</v>
      </c>
      <c r="AD55" s="323" t="e">
        <f t="shared" ca="1" si="26"/>
        <v>#N/A</v>
      </c>
      <c r="AE55" s="324">
        <f t="shared" ca="1" si="5"/>
        <v>9.7510366482234261</v>
      </c>
      <c r="AG55" s="306">
        <f t="shared" ca="1" si="27"/>
        <v>78.599200330611353</v>
      </c>
      <c r="AH55" s="304">
        <f t="shared" ca="1" si="28"/>
        <v>88.245494752941326</v>
      </c>
    </row>
    <row r="56" spans="1:34" x14ac:dyDescent="0.2">
      <c r="A56" s="347">
        <f t="shared" ca="1" si="6"/>
        <v>0.01</v>
      </c>
      <c r="B56" s="304">
        <f t="shared" ca="1" si="7"/>
        <v>0.52000000000000024</v>
      </c>
      <c r="D56" s="306">
        <f t="shared" ca="1" si="8"/>
        <v>16.070541968039731</v>
      </c>
      <c r="E56" s="307">
        <f t="shared" ca="1" si="9"/>
        <v>76.837201746285444</v>
      </c>
      <c r="F56" s="304">
        <f t="shared" ca="1" si="10"/>
        <v>78.499795486013198</v>
      </c>
      <c r="G56" s="306">
        <f t="shared" ca="1" si="11"/>
        <v>7.5042882596050724</v>
      </c>
      <c r="H56" s="307">
        <f t="shared" ca="1" si="12"/>
        <v>40.36261253137679</v>
      </c>
      <c r="I56" s="304">
        <f t="shared" ca="1" si="13"/>
        <v>41.054291281683348</v>
      </c>
      <c r="J56" s="306">
        <f t="shared" ca="1" si="14"/>
        <v>1.8224062883680805</v>
      </c>
      <c r="K56" s="307">
        <f t="shared" ca="1" si="15"/>
        <v>10.150820913449881</v>
      </c>
      <c r="L56" s="304">
        <f t="shared" ca="1" si="0"/>
        <v>10.313114461539492</v>
      </c>
      <c r="M56" s="306">
        <f t="shared" ca="1" si="16"/>
        <v>1.3869734438121175</v>
      </c>
      <c r="N56" s="304">
        <f t="shared" ca="1" si="17"/>
        <v>79.467724627159555</v>
      </c>
      <c r="P56" s="310">
        <f t="shared" ca="1" si="18"/>
        <v>3</v>
      </c>
      <c r="Q56" s="304">
        <f t="shared" ca="1" si="19"/>
        <v>796.23</v>
      </c>
      <c r="R56" s="306">
        <f t="shared" ca="1" si="20"/>
        <v>0.39959073927428013</v>
      </c>
      <c r="S56" s="307">
        <f t="shared" ca="1" si="21"/>
        <v>8.9608557104893674</v>
      </c>
      <c r="T56" s="304">
        <f t="shared" ca="1" si="1"/>
        <v>87.905994519900702</v>
      </c>
      <c r="U56" s="311">
        <f t="shared" ca="1" si="2"/>
        <v>0</v>
      </c>
      <c r="V56" s="306">
        <f t="shared" ca="1" si="3"/>
        <v>1.2237571552328355</v>
      </c>
      <c r="W56" s="304">
        <f t="shared" ca="1" si="4"/>
        <v>6.8131193275571507</v>
      </c>
      <c r="Y56" s="314" t="str">
        <f t="shared" ca="1" si="22"/>
        <v/>
      </c>
      <c r="Z56" s="315" t="str">
        <f t="shared" ca="1" si="23"/>
        <v/>
      </c>
      <c r="AA56" s="316" t="str">
        <f t="shared" ca="1" si="24"/>
        <v/>
      </c>
      <c r="AC56" s="310" t="e">
        <f t="shared" ca="1" si="25"/>
        <v>#N/A</v>
      </c>
      <c r="AD56" s="323" t="e">
        <f t="shared" ca="1" si="26"/>
        <v>#N/A</v>
      </c>
      <c r="AE56" s="324">
        <f t="shared" ca="1" si="5"/>
        <v>10.150820913449881</v>
      </c>
      <c r="AG56" s="306">
        <f t="shared" ca="1" si="27"/>
        <v>78.479408193241937</v>
      </c>
      <c r="AH56" s="304">
        <f t="shared" ca="1" si="28"/>
        <v>88.124910721135024</v>
      </c>
    </row>
    <row r="57" spans="1:34" x14ac:dyDescent="0.2">
      <c r="A57" s="347">
        <f t="shared" ca="1" si="6"/>
        <v>0.01</v>
      </c>
      <c r="B57" s="304">
        <f t="shared" ca="1" si="7"/>
        <v>0.53000000000000025</v>
      </c>
      <c r="D57" s="306">
        <f t="shared" ca="1" si="8"/>
        <v>16.086132301780673</v>
      </c>
      <c r="E57" s="307">
        <f t="shared" ca="1" si="9"/>
        <v>76.710973443976826</v>
      </c>
      <c r="F57" s="304">
        <f t="shared" ca="1" si="10"/>
        <v>78.379443090346783</v>
      </c>
      <c r="G57" s="306">
        <f t="shared" ca="1" si="11"/>
        <v>7.6651495826228793</v>
      </c>
      <c r="H57" s="307">
        <f t="shared" ca="1" si="12"/>
        <v>41.129722265816561</v>
      </c>
      <c r="I57" s="304">
        <f t="shared" ca="1" si="13"/>
        <v>41.837884408597787</v>
      </c>
      <c r="J57" s="306">
        <f t="shared" ca="1" si="14"/>
        <v>1.8982534775792201</v>
      </c>
      <c r="K57" s="307">
        <f t="shared" ca="1" si="15"/>
        <v>10.558282587435848</v>
      </c>
      <c r="L57" s="304">
        <f t="shared" ca="1" si="0"/>
        <v>10.727567173469136</v>
      </c>
      <c r="M57" s="306">
        <f t="shared" ca="1" si="16"/>
        <v>1.3865448456999951</v>
      </c>
      <c r="N57" s="304">
        <f t="shared" ca="1" si="17"/>
        <v>79.443167764227667</v>
      </c>
      <c r="P57" s="310">
        <f t="shared" ca="1" si="18"/>
        <v>3</v>
      </c>
      <c r="Q57" s="304">
        <f t="shared" ca="1" si="19"/>
        <v>795.05</v>
      </c>
      <c r="R57" s="306">
        <f t="shared" ca="1" si="20"/>
        <v>0.39899855225251041</v>
      </c>
      <c r="S57" s="307">
        <f t="shared" ca="1" si="21"/>
        <v>8.9568657249668426</v>
      </c>
      <c r="T57" s="304">
        <f t="shared" ca="1" si="1"/>
        <v>87.866852761924733</v>
      </c>
      <c r="U57" s="311">
        <f t="shared" ca="1" si="2"/>
        <v>0</v>
      </c>
      <c r="V57" s="306">
        <f t="shared" ca="1" si="3"/>
        <v>1.2237072928214237</v>
      </c>
      <c r="W57" s="304">
        <f t="shared" ca="1" si="4"/>
        <v>7.0753937287937418</v>
      </c>
      <c r="Y57" s="314" t="str">
        <f t="shared" ca="1" si="22"/>
        <v/>
      </c>
      <c r="Z57" s="315" t="str">
        <f t="shared" ca="1" si="23"/>
        <v/>
      </c>
      <c r="AA57" s="316" t="str">
        <f t="shared" ca="1" si="24"/>
        <v/>
      </c>
      <c r="AC57" s="310" t="e">
        <f t="shared" ca="1" si="25"/>
        <v>#N/A</v>
      </c>
      <c r="AD57" s="323" t="e">
        <f t="shared" ca="1" si="26"/>
        <v>#N/A</v>
      </c>
      <c r="AE57" s="324">
        <f t="shared" ca="1" si="5"/>
        <v>10.558282587435848</v>
      </c>
      <c r="AG57" s="306">
        <f t="shared" ca="1" si="27"/>
        <v>78.358928418134724</v>
      </c>
      <c r="AH57" s="304">
        <f t="shared" ca="1" si="28"/>
        <v>88.003650481805209</v>
      </c>
    </row>
    <row r="58" spans="1:34" x14ac:dyDescent="0.2">
      <c r="A58" s="347">
        <f t="shared" ca="1" si="6"/>
        <v>0.01</v>
      </c>
      <c r="B58" s="304">
        <f t="shared" ca="1" si="7"/>
        <v>0.54000000000000026</v>
      </c>
      <c r="D58" s="306">
        <f t="shared" ca="1" si="8"/>
        <v>16.100873898787373</v>
      </c>
      <c r="E58" s="307">
        <f t="shared" ca="1" si="9"/>
        <v>76.584200733582804</v>
      </c>
      <c r="F58" s="304">
        <f t="shared" ca="1" si="10"/>
        <v>78.258404930757166</v>
      </c>
      <c r="G58" s="306">
        <f t="shared" ca="1" si="11"/>
        <v>7.8261583216107526</v>
      </c>
      <c r="H58" s="307">
        <f t="shared" ca="1" si="12"/>
        <v>41.895564273152388</v>
      </c>
      <c r="I58" s="304">
        <f t="shared" ca="1" si="13"/>
        <v>42.620265834937726</v>
      </c>
      <c r="J58" s="306">
        <f t="shared" ca="1" si="14"/>
        <v>1.9757100171003883</v>
      </c>
      <c r="K58" s="307">
        <f t="shared" ca="1" si="15"/>
        <v>10.973409020130692</v>
      </c>
      <c r="L58" s="304">
        <f t="shared" ca="1" si="0"/>
        <v>11.149849128788983</v>
      </c>
      <c r="M58" s="306">
        <f t="shared" ca="1" si="16"/>
        <v>1.3861231455216234</v>
      </c>
      <c r="N58" s="304">
        <f t="shared" ca="1" si="17"/>
        <v>79.419006123787057</v>
      </c>
      <c r="P58" s="310">
        <f t="shared" ca="1" si="18"/>
        <v>3</v>
      </c>
      <c r="Q58" s="304">
        <f t="shared" ca="1" si="19"/>
        <v>793.87</v>
      </c>
      <c r="R58" s="306">
        <f t="shared" ca="1" si="20"/>
        <v>0.3984063652307408</v>
      </c>
      <c r="S58" s="307">
        <f t="shared" ca="1" si="21"/>
        <v>8.9528816613145352</v>
      </c>
      <c r="T58" s="304">
        <f t="shared" ca="1" si="1"/>
        <v>87.82776909749559</v>
      </c>
      <c r="U58" s="311">
        <f t="shared" ca="1" si="2"/>
        <v>0</v>
      </c>
      <c r="V58" s="306">
        <f t="shared" ca="1" si="3"/>
        <v>1.2236564945367825</v>
      </c>
      <c r="W58" s="304">
        <f t="shared" ca="1" si="4"/>
        <v>7.3421873236979343</v>
      </c>
      <c r="Y58" s="314" t="str">
        <f t="shared" ca="1" si="22"/>
        <v/>
      </c>
      <c r="Z58" s="315" t="str">
        <f t="shared" ca="1" si="23"/>
        <v/>
      </c>
      <c r="AA58" s="316" t="str">
        <f t="shared" ca="1" si="24"/>
        <v/>
      </c>
      <c r="AC58" s="310" t="e">
        <f t="shared" ca="1" si="25"/>
        <v>#N/A</v>
      </c>
      <c r="AD58" s="323" t="e">
        <f t="shared" ca="1" si="26"/>
        <v>#N/A</v>
      </c>
      <c r="AE58" s="324">
        <f t="shared" ca="1" si="5"/>
        <v>10.973409020130692</v>
      </c>
      <c r="AG58" s="306">
        <f t="shared" ca="1" si="27"/>
        <v>78.237763673688235</v>
      </c>
      <c r="AH58" s="304">
        <f t="shared" ca="1" si="28"/>
        <v>87.881716304924623</v>
      </c>
    </row>
    <row r="59" spans="1:34" x14ac:dyDescent="0.2">
      <c r="A59" s="347">
        <f t="shared" ca="1" si="6"/>
        <v>0.01</v>
      </c>
      <c r="B59" s="304">
        <f t="shared" ca="1" si="7"/>
        <v>0.55000000000000027</v>
      </c>
      <c r="D59" s="306">
        <f t="shared" ca="1" si="8"/>
        <v>16.114791387437229</v>
      </c>
      <c r="E59" s="307">
        <f t="shared" ca="1" si="9"/>
        <v>76.456882239850231</v>
      </c>
      <c r="F59" s="304">
        <f t="shared" ca="1" si="10"/>
        <v>78.136683723453132</v>
      </c>
      <c r="G59" s="306">
        <f t="shared" ca="1" si="11"/>
        <v>7.987306235485125</v>
      </c>
      <c r="H59" s="307">
        <f t="shared" ca="1" si="12"/>
        <v>42.66013309555089</v>
      </c>
      <c r="I59" s="304">
        <f t="shared" ca="1" si="13"/>
        <v>43.401428739495849</v>
      </c>
      <c r="J59" s="306">
        <f t="shared" ca="1" si="14"/>
        <v>2.0547773398858675</v>
      </c>
      <c r="K59" s="307">
        <f t="shared" ca="1" si="15"/>
        <v>11.396187506974208</v>
      </c>
      <c r="L59" s="304">
        <f t="shared" ca="1" si="0"/>
        <v>11.579948169600046</v>
      </c>
      <c r="M59" s="306">
        <f t="shared" ca="1" si="16"/>
        <v>1.3857080983404897</v>
      </c>
      <c r="N59" s="304">
        <f t="shared" ca="1" si="17"/>
        <v>79.395225672009289</v>
      </c>
      <c r="P59" s="310">
        <f t="shared" ca="1" si="18"/>
        <v>3</v>
      </c>
      <c r="Q59" s="304">
        <f t="shared" ca="1" si="19"/>
        <v>792.68999999999994</v>
      </c>
      <c r="R59" s="306">
        <f t="shared" ca="1" si="20"/>
        <v>0.39781417820897108</v>
      </c>
      <c r="S59" s="307">
        <f t="shared" ca="1" si="21"/>
        <v>8.9489035195324451</v>
      </c>
      <c r="T59" s="304">
        <f t="shared" ca="1" si="1"/>
        <v>87.788743526613288</v>
      </c>
      <c r="U59" s="311">
        <f t="shared" ca="1" si="2"/>
        <v>0</v>
      </c>
      <c r="V59" s="306">
        <f t="shared" ca="1" si="3"/>
        <v>1.2236047620500605</v>
      </c>
      <c r="W59" s="304">
        <f t="shared" ca="1" si="4"/>
        <v>7.6134735604632713</v>
      </c>
      <c r="Y59" s="314" t="str">
        <f t="shared" ca="1" si="22"/>
        <v/>
      </c>
      <c r="Z59" s="315" t="str">
        <f t="shared" ca="1" si="23"/>
        <v/>
      </c>
      <c r="AA59" s="316" t="str">
        <f t="shared" ca="1" si="24"/>
        <v/>
      </c>
      <c r="AC59" s="310" t="e">
        <f t="shared" ca="1" si="25"/>
        <v>#N/A</v>
      </c>
      <c r="AD59" s="323" t="e">
        <f t="shared" ca="1" si="26"/>
        <v>#N/A</v>
      </c>
      <c r="AE59" s="324">
        <f t="shared" ca="1" si="5"/>
        <v>11.396187506974208</v>
      </c>
      <c r="AG59" s="306">
        <f t="shared" ca="1" si="27"/>
        <v>78.115916630278477</v>
      </c>
      <c r="AH59" s="304">
        <f t="shared" ca="1" si="28"/>
        <v>87.75911048344102</v>
      </c>
    </row>
    <row r="60" spans="1:34" x14ac:dyDescent="0.2">
      <c r="A60" s="347">
        <f t="shared" ca="1" si="6"/>
        <v>0.01</v>
      </c>
      <c r="B60" s="304">
        <f t="shared" ca="1" si="7"/>
        <v>0.56000000000000028</v>
      </c>
      <c r="D60" s="306">
        <f t="shared" ca="1" si="8"/>
        <v>16.127908097438233</v>
      </c>
      <c r="E60" s="307">
        <f t="shared" ca="1" si="9"/>
        <v>76.329016798038069</v>
      </c>
      <c r="F60" s="304">
        <f t="shared" ca="1" si="10"/>
        <v>78.014282185729243</v>
      </c>
      <c r="G60" s="306">
        <f t="shared" ca="1" si="11"/>
        <v>8.1485853164595081</v>
      </c>
      <c r="H60" s="307">
        <f t="shared" ca="1" si="12"/>
        <v>43.423423263531269</v>
      </c>
      <c r="I60" s="304">
        <f t="shared" ca="1" si="13"/>
        <v>44.181366327711146</v>
      </c>
      <c r="J60" s="306">
        <f t="shared" ca="1" si="14"/>
        <v>2.1354567976455905</v>
      </c>
      <c r="K60" s="307">
        <f t="shared" ca="1" si="15"/>
        <v>11.826605288769619</v>
      </c>
      <c r="L60" s="304">
        <f t="shared" ca="1" si="0"/>
        <v>12.017852070605807</v>
      </c>
      <c r="M60" s="306">
        <f t="shared" ca="1" si="16"/>
        <v>1.3852994721617884</v>
      </c>
      <c r="N60" s="304">
        <f t="shared" ca="1" si="17"/>
        <v>79.371813116571147</v>
      </c>
      <c r="P60" s="310">
        <f t="shared" ca="1" si="18"/>
        <v>3</v>
      </c>
      <c r="Q60" s="304">
        <f t="shared" ca="1" si="19"/>
        <v>791.51</v>
      </c>
      <c r="R60" s="306">
        <f t="shared" ca="1" si="20"/>
        <v>0.39722199118720147</v>
      </c>
      <c r="S60" s="307">
        <f t="shared" ca="1" si="21"/>
        <v>8.9449312996205723</v>
      </c>
      <c r="T60" s="304">
        <f t="shared" ca="1" si="1"/>
        <v>87.749776049277813</v>
      </c>
      <c r="U60" s="311">
        <f t="shared" ca="1" si="2"/>
        <v>0</v>
      </c>
      <c r="V60" s="306">
        <f t="shared" ca="1" si="3"/>
        <v>1.2235520970409655</v>
      </c>
      <c r="W60" s="304">
        <f t="shared" ca="1" si="4"/>
        <v>7.8892257454576935</v>
      </c>
      <c r="Y60" s="314" t="str">
        <f t="shared" ca="1" si="22"/>
        <v/>
      </c>
      <c r="Z60" s="315" t="str">
        <f t="shared" ca="1" si="23"/>
        <v/>
      </c>
      <c r="AA60" s="316" t="str">
        <f t="shared" ca="1" si="24"/>
        <v/>
      </c>
      <c r="AC60" s="310" t="e">
        <f t="shared" ca="1" si="25"/>
        <v>#N/A</v>
      </c>
      <c r="AD60" s="323" t="e">
        <f t="shared" ca="1" si="26"/>
        <v>#N/A</v>
      </c>
      <c r="AE60" s="324">
        <f t="shared" ca="1" si="5"/>
        <v>11.826605288769619</v>
      </c>
      <c r="AG60" s="306">
        <f t="shared" ca="1" si="27"/>
        <v>77.993389961571211</v>
      </c>
      <c r="AH60" s="304">
        <f t="shared" ca="1" si="28"/>
        <v>87.635835333110734</v>
      </c>
    </row>
    <row r="61" spans="1:34" x14ac:dyDescent="0.2">
      <c r="A61" s="347">
        <f t="shared" ca="1" si="6"/>
        <v>0.01</v>
      </c>
      <c r="B61" s="304">
        <f t="shared" ca="1" si="7"/>
        <v>0.57000000000000028</v>
      </c>
      <c r="D61" s="306">
        <f t="shared" ca="1" si="8"/>
        <v>16.140246152490203</v>
      </c>
      <c r="E61" s="307">
        <f t="shared" ca="1" si="9"/>
        <v>76.200603440755728</v>
      </c>
      <c r="F61" s="304">
        <f t="shared" ca="1" si="10"/>
        <v>77.891203037302532</v>
      </c>
      <c r="G61" s="306">
        <f t="shared" ca="1" si="11"/>
        <v>8.3099877779844107</v>
      </c>
      <c r="H61" s="307">
        <f t="shared" ca="1" si="12"/>
        <v>44.185429297938825</v>
      </c>
      <c r="I61" s="304">
        <f t="shared" ca="1" si="13"/>
        <v>44.960071831719766</v>
      </c>
      <c r="J61" s="306">
        <f t="shared" ca="1" si="14"/>
        <v>2.21774966311781</v>
      </c>
      <c r="K61" s="307">
        <f t="shared" ca="1" si="15"/>
        <v>12.264649551576969</v>
      </c>
      <c r="L61" s="304">
        <f t="shared" ca="1" si="0"/>
        <v>12.463548539290739</v>
      </c>
      <c r="M61" s="306">
        <f t="shared" ca="1" si="16"/>
        <v>1.3848970470279132</v>
      </c>
      <c r="N61" s="304">
        <f t="shared" ca="1" si="17"/>
        <v>79.348755854830117</v>
      </c>
      <c r="P61" s="310">
        <f t="shared" ca="1" si="18"/>
        <v>3</v>
      </c>
      <c r="Q61" s="304">
        <f t="shared" ca="1" si="19"/>
        <v>790.32999999999993</v>
      </c>
      <c r="R61" s="306">
        <f t="shared" ca="1" si="20"/>
        <v>0.39662980416543181</v>
      </c>
      <c r="S61" s="307">
        <f t="shared" ca="1" si="21"/>
        <v>8.9409650015789186</v>
      </c>
      <c r="T61" s="304">
        <f t="shared" ca="1" si="1"/>
        <v>87.710866665489192</v>
      </c>
      <c r="U61" s="311">
        <f t="shared" ca="1" si="2"/>
        <v>0</v>
      </c>
      <c r="V61" s="306">
        <f t="shared" ca="1" si="3"/>
        <v>1.2234985011977626</v>
      </c>
      <c r="W61" s="304">
        <f t="shared" ca="1" si="4"/>
        <v>8.1694170450471084</v>
      </c>
      <c r="Y61" s="314" t="str">
        <f t="shared" ca="1" si="22"/>
        <v/>
      </c>
      <c r="Z61" s="315" t="str">
        <f t="shared" ca="1" si="23"/>
        <v/>
      </c>
      <c r="AA61" s="316" t="str">
        <f t="shared" ca="1" si="24"/>
        <v/>
      </c>
      <c r="AC61" s="310" t="e">
        <f t="shared" ca="1" si="25"/>
        <v>#N/A</v>
      </c>
      <c r="AD61" s="323" t="e">
        <f t="shared" ca="1" si="26"/>
        <v>#N/A</v>
      </c>
      <c r="AE61" s="324">
        <f t="shared" ca="1" si="5"/>
        <v>12.264649551576969</v>
      </c>
      <c r="AG61" s="306">
        <f t="shared" ca="1" si="27"/>
        <v>77.870186345703502</v>
      </c>
      <c r="AH61" s="304">
        <f t="shared" ca="1" si="28"/>
        <v>87.511893192330817</v>
      </c>
    </row>
    <row r="62" spans="1:34" x14ac:dyDescent="0.2">
      <c r="A62" s="347">
        <f t="shared" ca="1" si="6"/>
        <v>0.01</v>
      </c>
      <c r="B62" s="304">
        <f t="shared" ca="1" si="7"/>
        <v>0.58000000000000029</v>
      </c>
      <c r="D62" s="306">
        <f t="shared" ca="1" si="8"/>
        <v>16.15182655481124</v>
      </c>
      <c r="E62" s="307">
        <f t="shared" ca="1" si="9"/>
        <v>76.071641385913722</v>
      </c>
      <c r="F62" s="304">
        <f t="shared" ca="1" si="10"/>
        <v>77.767449001518415</v>
      </c>
      <c r="G62" s="306">
        <f t="shared" ca="1" si="11"/>
        <v>8.4715060435325231</v>
      </c>
      <c r="H62" s="307">
        <f t="shared" ca="1" si="12"/>
        <v>44.946145711797961</v>
      </c>
      <c r="I62" s="304">
        <f t="shared" ca="1" si="13"/>
        <v>45.737538510415952</v>
      </c>
      <c r="J62" s="306">
        <f t="shared" ca="1" si="14"/>
        <v>2.3016571322253947</v>
      </c>
      <c r="K62" s="307">
        <f t="shared" ca="1" si="15"/>
        <v>12.710307426625654</v>
      </c>
      <c r="L62" s="304">
        <f t="shared" ca="1" si="0"/>
        <v>12.917025216111458</v>
      </c>
      <c r="M62" s="306">
        <f t="shared" ca="1" si="16"/>
        <v>1.3845006141920277</v>
      </c>
      <c r="N62" s="304">
        <f t="shared" ca="1" si="17"/>
        <v>79.326041926473479</v>
      </c>
      <c r="P62" s="310">
        <f t="shared" ca="1" si="18"/>
        <v>3</v>
      </c>
      <c r="Q62" s="304">
        <f t="shared" ca="1" si="19"/>
        <v>789.15</v>
      </c>
      <c r="R62" s="306">
        <f t="shared" ca="1" si="20"/>
        <v>0.39603761714366215</v>
      </c>
      <c r="S62" s="307">
        <f t="shared" ca="1" si="21"/>
        <v>8.9370046254074822</v>
      </c>
      <c r="T62" s="304">
        <f t="shared" ca="1" si="1"/>
        <v>87.672015375247412</v>
      </c>
      <c r="U62" s="311">
        <f t="shared" ca="1" si="2"/>
        <v>0</v>
      </c>
      <c r="V62" s="306">
        <f t="shared" ca="1" si="3"/>
        <v>1.2234439762172704</v>
      </c>
      <c r="W62" s="304">
        <f t="shared" ca="1" si="4"/>
        <v>8.454020487425149</v>
      </c>
      <c r="Y62" s="314" t="str">
        <f t="shared" ca="1" si="22"/>
        <v/>
      </c>
      <c r="Z62" s="315" t="str">
        <f t="shared" ca="1" si="23"/>
        <v/>
      </c>
      <c r="AA62" s="316" t="str">
        <f t="shared" ca="1" si="24"/>
        <v/>
      </c>
      <c r="AC62" s="310" t="e">
        <f t="shared" ca="1" si="25"/>
        <v>#N/A</v>
      </c>
      <c r="AD62" s="323" t="e">
        <f t="shared" ca="1" si="26"/>
        <v>#N/A</v>
      </c>
      <c r="AE62" s="324">
        <f t="shared" ca="1" si="5"/>
        <v>12.710307426625654</v>
      </c>
      <c r="AG62" s="306">
        <f t="shared" ca="1" si="27"/>
        <v>77.746308466348097</v>
      </c>
      <c r="AH62" s="304">
        <f t="shared" ca="1" si="28"/>
        <v>87.387286421969833</v>
      </c>
    </row>
    <row r="63" spans="1:34" x14ac:dyDescent="0.2">
      <c r="A63" s="347">
        <f t="shared" ca="1" si="6"/>
        <v>0.01</v>
      </c>
      <c r="B63" s="304">
        <f t="shared" ca="1" si="7"/>
        <v>0.5900000000000003</v>
      </c>
      <c r="D63" s="306">
        <f t="shared" ca="1" si="8"/>
        <v>16.162669262374479</v>
      </c>
      <c r="E63" s="307">
        <f t="shared" ca="1" si="9"/>
        <v>75.942130025673634</v>
      </c>
      <c r="F63" s="304">
        <f t="shared" ca="1" si="10"/>
        <v>77.643022806439134</v>
      </c>
      <c r="G63" s="306">
        <f t="shared" ca="1" si="11"/>
        <v>8.6331327361562682</v>
      </c>
      <c r="H63" s="307">
        <f t="shared" ca="1" si="12"/>
        <v>45.705567012054694</v>
      </c>
      <c r="I63" s="304">
        <f t="shared" ca="1" si="13"/>
        <v>46.513759649522157</v>
      </c>
      <c r="J63" s="306">
        <f t="shared" ca="1" si="14"/>
        <v>2.3871803261238385</v>
      </c>
      <c r="K63" s="307">
        <f t="shared" ca="1" si="15"/>
        <v>13.163565990244917</v>
      </c>
      <c r="L63" s="304">
        <f t="shared" ca="1" si="0"/>
        <v>13.378269674698794</v>
      </c>
      <c r="M63" s="306">
        <f t="shared" ca="1" si="16"/>
        <v>1.3841099753617394</v>
      </c>
      <c r="N63" s="304">
        <f t="shared" ca="1" si="17"/>
        <v>79.303659970184029</v>
      </c>
      <c r="P63" s="310">
        <f t="shared" ca="1" si="18"/>
        <v>3</v>
      </c>
      <c r="Q63" s="304">
        <f t="shared" ca="1" si="19"/>
        <v>787.96999999999991</v>
      </c>
      <c r="R63" s="306">
        <f t="shared" ca="1" si="20"/>
        <v>0.39544543012189248</v>
      </c>
      <c r="S63" s="307">
        <f t="shared" ca="1" si="21"/>
        <v>8.9330501711062631</v>
      </c>
      <c r="T63" s="304">
        <f t="shared" ca="1" si="1"/>
        <v>87.633222178552444</v>
      </c>
      <c r="U63" s="311">
        <f t="shared" ca="1" si="2"/>
        <v>0</v>
      </c>
      <c r="V63" s="306">
        <f t="shared" ca="1" si="3"/>
        <v>1.2233885238048567</v>
      </c>
      <c r="W63" s="304">
        <f t="shared" ca="1" si="4"/>
        <v>8.7430089644491247</v>
      </c>
      <c r="Y63" s="314" t="str">
        <f t="shared" ca="1" si="22"/>
        <v/>
      </c>
      <c r="Z63" s="315" t="str">
        <f t="shared" ca="1" si="23"/>
        <v/>
      </c>
      <c r="AA63" s="316" t="str">
        <f t="shared" ca="1" si="24"/>
        <v/>
      </c>
      <c r="AC63" s="310" t="e">
        <f t="shared" ca="1" si="25"/>
        <v>#N/A</v>
      </c>
      <c r="AD63" s="323" t="e">
        <f t="shared" ca="1" si="26"/>
        <v>#N/A</v>
      </c>
      <c r="AE63" s="324">
        <f t="shared" ca="1" si="5"/>
        <v>13.163565990244917</v>
      </c>
      <c r="AG63" s="306">
        <f t="shared" ca="1" si="27"/>
        <v>77.621759013672161</v>
      </c>
      <c r="AH63" s="304">
        <f t="shared" ca="1" si="28"/>
        <v>87.262017405197227</v>
      </c>
    </row>
    <row r="64" spans="1:34" x14ac:dyDescent="0.2">
      <c r="A64" s="347">
        <f t="shared" ca="1" si="6"/>
        <v>0.01</v>
      </c>
      <c r="B64" s="304">
        <f t="shared" ca="1" si="7"/>
        <v>0.60000000000000031</v>
      </c>
      <c r="D64" s="306">
        <f t="shared" ca="1" si="8"/>
        <v>16.172793259599111</v>
      </c>
      <c r="E64" s="307">
        <f t="shared" ca="1" si="9"/>
        <v>75.81206891629725</v>
      </c>
      <c r="F64" s="304">
        <f t="shared" ca="1" si="10"/>
        <v>77.51792718582675</v>
      </c>
      <c r="G64" s="306">
        <f t="shared" ca="1" si="11"/>
        <v>8.7948606687522588</v>
      </c>
      <c r="H64" s="307">
        <f t="shared" ca="1" si="12"/>
        <v>46.463687701217665</v>
      </c>
      <c r="I64" s="304">
        <f t="shared" ca="1" si="13"/>
        <v>47.288728561667327</v>
      </c>
      <c r="J64" s="306">
        <f t="shared" ca="1" si="14"/>
        <v>2.4743202931483812</v>
      </c>
      <c r="K64" s="307">
        <f t="shared" ca="1" si="15"/>
        <v>13.62441226381128</v>
      </c>
      <c r="L64" s="304">
        <f t="shared" ca="1" si="0"/>
        <v>13.84726942206936</v>
      </c>
      <c r="M64" s="306">
        <f t="shared" ca="1" si="16"/>
        <v>1.3837249420058282</v>
      </c>
      <c r="N64" s="304">
        <f t="shared" ca="1" si="17"/>
        <v>79.281599183918559</v>
      </c>
      <c r="P64" s="310">
        <f t="shared" ca="1" si="18"/>
        <v>3</v>
      </c>
      <c r="Q64" s="304">
        <f t="shared" ca="1" si="19"/>
        <v>786.79</v>
      </c>
      <c r="R64" s="306">
        <f t="shared" ca="1" si="20"/>
        <v>0.39485324310012287</v>
      </c>
      <c r="S64" s="307">
        <f t="shared" ca="1" si="21"/>
        <v>8.9291016386752613</v>
      </c>
      <c r="T64" s="304">
        <f t="shared" ca="1" si="1"/>
        <v>87.594487075404317</v>
      </c>
      <c r="U64" s="311">
        <f t="shared" ca="1" si="2"/>
        <v>0</v>
      </c>
      <c r="V64" s="306">
        <f t="shared" ca="1" si="3"/>
        <v>1.2233321456744293</v>
      </c>
      <c r="W64" s="304">
        <f t="shared" ca="1" si="4"/>
        <v>9.0363552334820927</v>
      </c>
      <c r="Y64" s="314" t="str">
        <f t="shared" ca="1" si="22"/>
        <v/>
      </c>
      <c r="Z64" s="315" t="str">
        <f t="shared" ca="1" si="23"/>
        <v/>
      </c>
      <c r="AA64" s="316" t="str">
        <f t="shared" ca="1" si="24"/>
        <v/>
      </c>
      <c r="AC64" s="310" t="e">
        <f t="shared" ca="1" si="25"/>
        <v>#N/A</v>
      </c>
      <c r="AD64" s="323" t="e">
        <f t="shared" ca="1" si="26"/>
        <v>#N/A</v>
      </c>
      <c r="AE64" s="324">
        <f t="shared" ca="1" si="5"/>
        <v>13.62441226381128</v>
      </c>
      <c r="AG64" s="306">
        <f t="shared" ca="1" si="27"/>
        <v>77.496540685201239</v>
      </c>
      <c r="AH64" s="304">
        <f t="shared" ca="1" si="28"/>
        <v>87.136088547311388</v>
      </c>
    </row>
    <row r="65" spans="1:34" x14ac:dyDescent="0.2">
      <c r="A65" s="347">
        <f t="shared" ca="1" si="6"/>
        <v>0.01</v>
      </c>
      <c r="B65" s="304">
        <f t="shared" ca="1" si="7"/>
        <v>0.61000000000000032</v>
      </c>
      <c r="D65" s="306">
        <f t="shared" ca="1" si="8"/>
        <v>16.182216622152879</v>
      </c>
      <c r="E65" s="307">
        <f t="shared" ca="1" si="9"/>
        <v>75.681457768805743</v>
      </c>
      <c r="F65" s="304">
        <f t="shared" ca="1" si="10"/>
        <v>77.392164880030379</v>
      </c>
      <c r="G65" s="306">
        <f t="shared" ca="1" si="11"/>
        <v>8.9566828349737868</v>
      </c>
      <c r="H65" s="307">
        <f t="shared" ca="1" si="12"/>
        <v>47.22050227890572</v>
      </c>
      <c r="I65" s="304">
        <f t="shared" ca="1" si="13"/>
        <v>48.062438586472645</v>
      </c>
      <c r="J65" s="306">
        <f t="shared" ca="1" si="14"/>
        <v>2.5630780106670112</v>
      </c>
      <c r="K65" s="307">
        <f t="shared" ca="1" si="15"/>
        <v>14.092833213711897</v>
      </c>
      <c r="L65" s="304">
        <f t="shared" ca="1" si="0"/>
        <v>14.324011898845447</v>
      </c>
      <c r="M65" s="306">
        <f t="shared" ca="1" si="16"/>
        <v>1.3833453347178128</v>
      </c>
      <c r="N65" s="304">
        <f t="shared" ca="1" si="17"/>
        <v>79.259849288442865</v>
      </c>
      <c r="P65" s="310">
        <f t="shared" ca="1" si="18"/>
        <v>3</v>
      </c>
      <c r="Q65" s="304">
        <f t="shared" ca="1" si="19"/>
        <v>785.61</v>
      </c>
      <c r="R65" s="306">
        <f t="shared" ca="1" si="20"/>
        <v>0.39426105607835321</v>
      </c>
      <c r="S65" s="307">
        <f t="shared" ca="1" si="21"/>
        <v>8.9251590281144786</v>
      </c>
      <c r="T65" s="304">
        <f t="shared" ca="1" si="1"/>
        <v>87.555810065803044</v>
      </c>
      <c r="U65" s="311">
        <f t="shared" ca="1" si="2"/>
        <v>0</v>
      </c>
      <c r="V65" s="306">
        <f t="shared" ca="1" si="3"/>
        <v>1.2232748435484273</v>
      </c>
      <c r="W65" s="304">
        <f t="shared" ca="1" si="4"/>
        <v>9.3340319192410064</v>
      </c>
      <c r="Y65" s="314" t="str">
        <f t="shared" ca="1" si="22"/>
        <v/>
      </c>
      <c r="Z65" s="315" t="str">
        <f t="shared" ca="1" si="23"/>
        <v/>
      </c>
      <c r="AA65" s="316" t="str">
        <f t="shared" ca="1" si="24"/>
        <v/>
      </c>
      <c r="AC65" s="310" t="e">
        <f t="shared" ca="1" si="25"/>
        <v>#N/A</v>
      </c>
      <c r="AD65" s="323" t="e">
        <f t="shared" ca="1" si="26"/>
        <v>#N/A</v>
      </c>
      <c r="AE65" s="324">
        <f t="shared" ca="1" si="5"/>
        <v>14.092833213711897</v>
      </c>
      <c r="AG65" s="306">
        <f t="shared" ca="1" si="27"/>
        <v>77.370656186597273</v>
      </c>
      <c r="AH65" s="304">
        <f t="shared" ca="1" si="28"/>
        <v>87.009502275566305</v>
      </c>
    </row>
    <row r="66" spans="1:34" x14ac:dyDescent="0.2">
      <c r="A66" s="347">
        <f t="shared" ca="1" si="6"/>
        <v>0.01</v>
      </c>
      <c r="B66" s="304">
        <f t="shared" ca="1" si="7"/>
        <v>0.62000000000000033</v>
      </c>
      <c r="D66" s="306">
        <f t="shared" ca="1" si="8"/>
        <v>16.190956576446283</v>
      </c>
      <c r="E66" s="307">
        <f t="shared" ca="1" si="9"/>
        <v>75.550296440371085</v>
      </c>
      <c r="F66" s="304">
        <f t="shared" ca="1" si="10"/>
        <v>77.265738636787248</v>
      </c>
      <c r="G66" s="306">
        <f t="shared" ca="1" si="11"/>
        <v>9.1185924007382493</v>
      </c>
      <c r="H66" s="307">
        <f t="shared" ca="1" si="12"/>
        <v>47.97600524330943</v>
      </c>
      <c r="I66" s="304">
        <f t="shared" ca="1" si="13"/>
        <v>48.834883090643878</v>
      </c>
      <c r="J66" s="306">
        <f t="shared" ca="1" si="14"/>
        <v>2.6534543868455716</v>
      </c>
      <c r="K66" s="307">
        <f t="shared" ca="1" si="15"/>
        <v>14.568815751322973</v>
      </c>
      <c r="L66" s="304">
        <f t="shared" ca="1" si="0"/>
        <v>14.808484479482239</v>
      </c>
      <c r="M66" s="306">
        <f t="shared" ca="1" si="16"/>
        <v>1.3829709826308241</v>
      </c>
      <c r="N66" s="304">
        <f t="shared" ca="1" si="17"/>
        <v>79.238400493806495</v>
      </c>
      <c r="P66" s="310">
        <f t="shared" ca="1" si="18"/>
        <v>3</v>
      </c>
      <c r="Q66" s="304">
        <f t="shared" ca="1" si="19"/>
        <v>784.43</v>
      </c>
      <c r="R66" s="306">
        <f t="shared" ca="1" si="20"/>
        <v>0.39366886905658355</v>
      </c>
      <c r="S66" s="307">
        <f t="shared" ca="1" si="21"/>
        <v>8.9212223394239132</v>
      </c>
      <c r="T66" s="304">
        <f t="shared" ca="1" si="1"/>
        <v>87.517191149748598</v>
      </c>
      <c r="U66" s="311">
        <f t="shared" ca="1" si="2"/>
        <v>0</v>
      </c>
      <c r="V66" s="306">
        <f t="shared" ca="1" si="3"/>
        <v>1.2232166191578084</v>
      </c>
      <c r="W66" s="304">
        <f t="shared" ca="1" si="4"/>
        <v>9.6360115156507824</v>
      </c>
      <c r="Y66" s="314" t="str">
        <f t="shared" ca="1" si="22"/>
        <v/>
      </c>
      <c r="Z66" s="315" t="str">
        <f t="shared" ca="1" si="23"/>
        <v/>
      </c>
      <c r="AA66" s="316" t="str">
        <f t="shared" ca="1" si="24"/>
        <v/>
      </c>
      <c r="AC66" s="310" t="e">
        <f t="shared" ca="1" si="25"/>
        <v>#N/A</v>
      </c>
      <c r="AD66" s="323" t="e">
        <f t="shared" ca="1" si="26"/>
        <v>#N/A</v>
      </c>
      <c r="AE66" s="324">
        <f t="shared" ca="1" si="5"/>
        <v>14.568815751322973</v>
      </c>
      <c r="AG66" s="306">
        <f t="shared" ca="1" si="27"/>
        <v>77.244108232359153</v>
      </c>
      <c r="AH66" s="304">
        <f t="shared" ca="1" si="28"/>
        <v>86.882261038996887</v>
      </c>
    </row>
    <row r="67" spans="1:34" x14ac:dyDescent="0.2">
      <c r="A67" s="347">
        <f t="shared" ca="1" si="6"/>
        <v>0.01</v>
      </c>
      <c r="B67" s="304">
        <f t="shared" ca="1" si="7"/>
        <v>0.63000000000000034</v>
      </c>
      <c r="D67" s="306">
        <f t="shared" ca="1" si="8"/>
        <v>16.199029554334274</v>
      </c>
      <c r="E67" s="307">
        <f t="shared" ca="1" si="9"/>
        <v>75.418584926369277</v>
      </c>
      <c r="F67" s="304">
        <f t="shared" ca="1" si="10"/>
        <v>77.13865121194543</v>
      </c>
      <c r="G67" s="306">
        <f t="shared" ca="1" si="11"/>
        <v>9.2805826962815914</v>
      </c>
      <c r="H67" s="307">
        <f t="shared" ca="1" si="12"/>
        <v>48.730191092573122</v>
      </c>
      <c r="I67" s="304">
        <f t="shared" ca="1" si="13"/>
        <v>49.606055468069769</v>
      </c>
      <c r="J67" s="306">
        <f t="shared" ca="1" si="14"/>
        <v>2.7454502623306709</v>
      </c>
      <c r="K67" s="307">
        <f t="shared" ca="1" si="15"/>
        <v>15.052346733002386</v>
      </c>
      <c r="L67" s="304">
        <f t="shared" ca="1" si="0"/>
        <v>15.300674472501504</v>
      </c>
      <c r="M67" s="306">
        <f t="shared" ca="1" si="16"/>
        <v>1.382601722878892</v>
      </c>
      <c r="N67" s="304">
        <f t="shared" ca="1" si="17"/>
        <v>79.217243468476752</v>
      </c>
      <c r="P67" s="310">
        <f t="shared" ca="1" si="18"/>
        <v>3</v>
      </c>
      <c r="Q67" s="304">
        <f t="shared" ca="1" si="19"/>
        <v>783.25</v>
      </c>
      <c r="R67" s="306">
        <f t="shared" ca="1" si="20"/>
        <v>0.39307668203481394</v>
      </c>
      <c r="S67" s="307">
        <f t="shared" ca="1" si="21"/>
        <v>8.9172915726035651</v>
      </c>
      <c r="T67" s="304">
        <f t="shared" ca="1" si="1"/>
        <v>87.478630327240978</v>
      </c>
      <c r="U67" s="311">
        <f t="shared" ca="1" si="2"/>
        <v>0</v>
      </c>
      <c r="V67" s="306">
        <f t="shared" ca="1" si="3"/>
        <v>1.2231574742420359</v>
      </c>
      <c r="W67" s="304">
        <f t="shared" ca="1" si="4"/>
        <v>9.9422663877043416</v>
      </c>
      <c r="Y67" s="314" t="str">
        <f t="shared" ca="1" si="22"/>
        <v/>
      </c>
      <c r="Z67" s="315" t="str">
        <f t="shared" ca="1" si="23"/>
        <v/>
      </c>
      <c r="AA67" s="316" t="str">
        <f t="shared" ca="1" si="24"/>
        <v/>
      </c>
      <c r="AC67" s="310" t="e">
        <f t="shared" ca="1" si="25"/>
        <v>#N/A</v>
      </c>
      <c r="AD67" s="323" t="e">
        <f t="shared" ca="1" si="26"/>
        <v>#N/A</v>
      </c>
      <c r="AE67" s="324">
        <f t="shared" ca="1" si="5"/>
        <v>15.052346733002386</v>
      </c>
      <c r="AG67" s="306">
        <f t="shared" ca="1" si="27"/>
        <v>77.116899546452927</v>
      </c>
      <c r="AH67" s="304">
        <f t="shared" ca="1" si="28"/>
        <v>86.754367308242962</v>
      </c>
    </row>
    <row r="68" spans="1:34" x14ac:dyDescent="0.2">
      <c r="A68" s="347">
        <f t="shared" ca="1" si="6"/>
        <v>0.01</v>
      </c>
      <c r="B68" s="304">
        <f t="shared" ca="1" si="7"/>
        <v>0.64000000000000035</v>
      </c>
      <c r="D68" s="306">
        <f t="shared" ca="1" si="8"/>
        <v>16.206451243482025</v>
      </c>
      <c r="E68" s="307">
        <f t="shared" ca="1" si="9"/>
        <v>75.286323353033794</v>
      </c>
      <c r="F68" s="304">
        <f t="shared" ca="1" si="10"/>
        <v>77.010905370115736</v>
      </c>
      <c r="G68" s="306">
        <f t="shared" ca="1" si="11"/>
        <v>9.4426472087164122</v>
      </c>
      <c r="H68" s="307">
        <f t="shared" ca="1" si="12"/>
        <v>49.483054326103463</v>
      </c>
      <c r="I68" s="304">
        <f t="shared" ca="1" si="13"/>
        <v>50.375949139925758</v>
      </c>
      <c r="J68" s="306">
        <f t="shared" ca="1" si="14"/>
        <v>2.839066411855661</v>
      </c>
      <c r="K68" s="307">
        <f t="shared" ca="1" si="15"/>
        <v>15.543412960095768</v>
      </c>
      <c r="L68" s="304">
        <f t="shared" ref="L68:L131" ca="1" si="29">SQRT(pos_x^2+pos_z^2)</f>
        <v>15.800569120731065</v>
      </c>
      <c r="M68" s="306">
        <f t="shared" ca="1" si="16"/>
        <v>1.3822374001002751</v>
      </c>
      <c r="N68" s="304">
        <f t="shared" ca="1" si="17"/>
        <v>79.196369310881508</v>
      </c>
      <c r="P68" s="310">
        <f t="shared" ca="1" si="18"/>
        <v>3</v>
      </c>
      <c r="Q68" s="304">
        <f t="shared" ca="1" si="19"/>
        <v>782.06999999999994</v>
      </c>
      <c r="R68" s="306">
        <f t="shared" ca="1" si="20"/>
        <v>0.39248449501304422</v>
      </c>
      <c r="S68" s="307">
        <f t="shared" ca="1" si="21"/>
        <v>8.9133667276534343</v>
      </c>
      <c r="T68" s="304">
        <f t="shared" ref="T68:T131" ca="1" si="30">m*g</f>
        <v>87.440127598280199</v>
      </c>
      <c r="U68" s="311">
        <f t="shared" ref="U68:U131" ca="1" si="31">IF(pos_xz&lt;L_rampe,Poids*COS(Beta),0)</f>
        <v>0</v>
      </c>
      <c r="V68" s="306">
        <f t="shared" ref="V68:V131" ca="1" si="32">Rho_moyen*(20000-Alt_rampe-pos_z)/(20000+Alt_rampe+pos_z)</f>
        <v>1.2230974105490651</v>
      </c>
      <c r="W68" s="304">
        <f t="shared" ref="W68:W131" ca="1" si="33">1/2*Rho*Sref*Cx*vit_xz^2</f>
        <v>10.252768773328384</v>
      </c>
      <c r="Y68" s="314" t="str">
        <f t="shared" ca="1" si="22"/>
        <v/>
      </c>
      <c r="Z68" s="315" t="str">
        <f t="shared" ca="1" si="23"/>
        <v/>
      </c>
      <c r="AA68" s="316" t="str">
        <f t="shared" ca="1" si="24"/>
        <v/>
      </c>
      <c r="AC68" s="310" t="e">
        <f t="shared" ca="1" si="25"/>
        <v>#N/A</v>
      </c>
      <c r="AD68" s="323" t="e">
        <f t="shared" ca="1" si="26"/>
        <v>#N/A</v>
      </c>
      <c r="AE68" s="324">
        <f t="shared" ref="AE68:AE131" ca="1" si="34">IF(t&lt;T_para, pos_z, NA())</f>
        <v>15.543412960095768</v>
      </c>
      <c r="AG68" s="306">
        <f t="shared" ca="1" si="27"/>
        <v>76.989032862878119</v>
      </c>
      <c r="AH68" s="304">
        <f t="shared" ca="1" si="28"/>
        <v>86.625823575371825</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16.213236633802804</v>
      </c>
      <c r="E69" s="307">
        <f t="shared" ref="E69:E132" ca="1" si="38">IF(AND(L68&lt;L_rampe,Poussee&lt;Poids*SIN(M68)),0,(-W68+Poussee)/m*SIN(M68)+U68/m*COS(M68)-Poids/m)</f>
        <v>75.153511970653497</v>
      </c>
      <c r="F69" s="304">
        <f t="shared" ref="F69:F132" ca="1" si="39">SQRT(acc_x^2+acc_z^2)</f>
        <v>76.882503885258856</v>
      </c>
      <c r="G69" s="306">
        <f t="shared" ref="G69:G132" ca="1" si="40">G68+acc_x*pas</f>
        <v>9.6047795750544402</v>
      </c>
      <c r="H69" s="307">
        <f t="shared" ref="H69:H132" ca="1" si="41">H68+acc_z*pas</f>
        <v>50.234589445810002</v>
      </c>
      <c r="I69" s="304">
        <f t="shared" ref="I69:I132" ca="1" si="42">SQRT(vit_x^2+vit_z^2)</f>
        <v>51.144557554782587</v>
      </c>
      <c r="J69" s="306">
        <f t="shared" ref="J69:J132" ca="1" si="43">J68+0.5*(vit_x+G68)*pas*(K68&gt;=0)</f>
        <v>2.9343035457745152</v>
      </c>
      <c r="K69" s="307">
        <f t="shared" ref="K69:K132" ca="1" si="44">K68+0.5*(vit_z+H68)*pas</f>
        <v>16.042001178955335</v>
      </c>
      <c r="L69" s="304">
        <f t="shared" ca="1" si="29"/>
        <v>16.308155601549469</v>
      </c>
      <c r="M69" s="306">
        <f t="shared" ref="M69:M132" ca="1" si="45">IF(AND(L68&gt;L_rampe,G69&gt;0),ATAN2(G69,H69),$M$4)</f>
        <v>1.381877865978947</v>
      </c>
      <c r="N69" s="304">
        <f t="shared" ref="N69:N132" ca="1" si="46">DEGREES(Beta)</f>
        <v>79.17576952313847</v>
      </c>
      <c r="P69" s="310">
        <f t="shared" ref="P69:P132" ca="1" si="47">MATCH(t-pas/2-T_ini,CdP_t)</f>
        <v>3</v>
      </c>
      <c r="Q69" s="304">
        <f t="shared" ref="Q69:Q132" ca="1" si="48">(INDEX(CdP,2,i_P+1)-INDEX(CdP,2,i_P+0))/(INDEX(CdP,1,i_P+1)-INDEX(CdP,1,i_P+0))*(t-pas/2-T_ini-INDEX(CdP,1,i_P+0))+INDEX(CdP,2,i_P+0)</f>
        <v>780.89</v>
      </c>
      <c r="R69" s="306">
        <f t="shared" ref="R69:R132" ca="1" si="49">Poussee/(g*ISP)</f>
        <v>0.39189230799127461</v>
      </c>
      <c r="S69" s="307">
        <f t="shared" ref="S69:S132" ca="1" si="50">S68-Débit*pas</f>
        <v>8.9094478045735208</v>
      </c>
      <c r="T69" s="304">
        <f t="shared" ca="1" si="30"/>
        <v>87.401682962866246</v>
      </c>
      <c r="U69" s="311">
        <f t="shared" ca="1" si="31"/>
        <v>0</v>
      </c>
      <c r="V69" s="306">
        <f t="shared" ca="1" si="32"/>
        <v>1.2230364298353231</v>
      </c>
      <c r="W69" s="304">
        <f t="shared" ca="1" si="33"/>
        <v>10.567490785254858</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16.042001178955335</v>
      </c>
      <c r="AG69" s="306">
        <f t="shared" ref="AG69:AG132" ca="1" si="56">IF(AND(L68&lt;L_rampe,Poussee&lt;Poids*SIN(M68)),0,(-W68+Poussee)/m-Poids*SIN(M68)/m)</f>
        <v>76.860510926176019</v>
      </c>
      <c r="AH69" s="304">
        <f t="shared" ref="AH69:AH132" ca="1" si="57">IF(AND(L68&lt;L_rampe,Poussee&lt;Poids*SIN(M68)), g*SIN(M68), (-W68+Poussee)/m)</f>
        <v>86.496632353699567</v>
      </c>
    </row>
    <row r="70" spans="1:34" x14ac:dyDescent="0.2">
      <c r="A70" s="347">
        <f t="shared" ca="1" si="35"/>
        <v>0.01</v>
      </c>
      <c r="B70" s="304">
        <f t="shared" ca="1" si="36"/>
        <v>0.66000000000000036</v>
      </c>
      <c r="D70" s="306">
        <f t="shared" ca="1" si="37"/>
        <v>16.219400060330319</v>
      </c>
      <c r="E70" s="307">
        <f t="shared" ca="1" si="38"/>
        <v>75.020151147265821</v>
      </c>
      <c r="F70" s="304">
        <f t="shared" ca="1" si="39"/>
        <v>76.753449541213797</v>
      </c>
      <c r="G70" s="306">
        <f t="shared" ca="1" si="40"/>
        <v>9.7669735756577438</v>
      </c>
      <c r="H70" s="307">
        <f t="shared" ca="1" si="41"/>
        <v>50.984790957282662</v>
      </c>
      <c r="I70" s="304">
        <f t="shared" ca="1" si="42"/>
        <v>51.911874188719175</v>
      </c>
      <c r="J70" s="306">
        <f t="shared" ca="1" si="43"/>
        <v>3.0311623115280764</v>
      </c>
      <c r="K70" s="307">
        <f t="shared" ca="1" si="44"/>
        <v>16.548098080970799</v>
      </c>
      <c r="L70" s="304">
        <f t="shared" ca="1" si="29"/>
        <v>16.823421027135286</v>
      </c>
      <c r="M70" s="306">
        <f t="shared" ca="1" si="45"/>
        <v>1.3815229788207597</v>
      </c>
      <c r="N70" s="304">
        <f t="shared" ca="1" si="46"/>
        <v>79.155435986770954</v>
      </c>
      <c r="P70" s="310">
        <f t="shared" ca="1" si="47"/>
        <v>3</v>
      </c>
      <c r="Q70" s="304">
        <f t="shared" ca="1" si="48"/>
        <v>779.70999999999992</v>
      </c>
      <c r="R70" s="306">
        <f t="shared" ca="1" si="49"/>
        <v>0.39130012096950489</v>
      </c>
      <c r="S70" s="307">
        <f t="shared" ca="1" si="50"/>
        <v>8.9055348033638264</v>
      </c>
      <c r="T70" s="304">
        <f t="shared" ca="1" si="30"/>
        <v>87.363296420999148</v>
      </c>
      <c r="U70" s="311">
        <f t="shared" ca="1" si="31"/>
        <v>0</v>
      </c>
      <c r="V70" s="306">
        <f t="shared" ca="1" si="32"/>
        <v>1.2229745338656937</v>
      </c>
      <c r="W70" s="304">
        <f t="shared" ca="1" si="33"/>
        <v>10.886404412898003</v>
      </c>
      <c r="Y70" s="314" t="str">
        <f t="shared" ca="1" si="51"/>
        <v/>
      </c>
      <c r="Z70" s="315" t="str">
        <f t="shared" ca="1" si="52"/>
        <v/>
      </c>
      <c r="AA70" s="316" t="str">
        <f t="shared" ca="1" si="53"/>
        <v/>
      </c>
      <c r="AC70" s="310" t="e">
        <f t="shared" ca="1" si="54"/>
        <v>#N/A</v>
      </c>
      <c r="AD70" s="323" t="e">
        <f t="shared" ca="1" si="55"/>
        <v>#N/A</v>
      </c>
      <c r="AE70" s="324">
        <f t="shared" ca="1" si="34"/>
        <v>16.548098080970799</v>
      </c>
      <c r="AG70" s="306">
        <f t="shared" ca="1" si="56"/>
        <v>76.731336491885131</v>
      </c>
      <c r="AH70" s="304">
        <f t="shared" ca="1" si="57"/>
        <v>86.366796177611036</v>
      </c>
    </row>
    <row r="71" spans="1:34" x14ac:dyDescent="0.2">
      <c r="A71" s="347">
        <f t="shared" ca="1" si="35"/>
        <v>0.01</v>
      </c>
      <c r="B71" s="304">
        <f t="shared" ca="1" si="36"/>
        <v>0.67000000000000037</v>
      </c>
      <c r="D71" s="306">
        <f t="shared" ca="1" si="37"/>
        <v>16.224955242850598</v>
      </c>
      <c r="E71" s="307">
        <f t="shared" ca="1" si="38"/>
        <v>74.886241362800746</v>
      </c>
      <c r="F71" s="304">
        <f t="shared" ca="1" si="39"/>
        <v>76.623745132172672</v>
      </c>
      <c r="G71" s="306">
        <f t="shared" ca="1" si="40"/>
        <v>9.9292231280862495</v>
      </c>
      <c r="H71" s="307">
        <f t="shared" ca="1" si="41"/>
        <v>51.733653370910673</v>
      </c>
      <c r="I71" s="304">
        <f t="shared" ca="1" si="42"/>
        <v>52.677892545439406</v>
      </c>
      <c r="J71" s="306">
        <f t="shared" ca="1" si="43"/>
        <v>3.1296432950467965</v>
      </c>
      <c r="K71" s="307">
        <f t="shared" ca="1" si="44"/>
        <v>17.061690302611765</v>
      </c>
      <c r="L71" s="304">
        <f t="shared" ca="1" si="29"/>
        <v>17.346352444720697</v>
      </c>
      <c r="M71" s="306">
        <f t="shared" ca="1" si="45"/>
        <v>1.3811726031611748</v>
      </c>
      <c r="N71" s="304">
        <f t="shared" ca="1" si="46"/>
        <v>79.13536094023263</v>
      </c>
      <c r="P71" s="310">
        <f t="shared" ca="1" si="47"/>
        <v>3</v>
      </c>
      <c r="Q71" s="304">
        <f t="shared" ca="1" si="48"/>
        <v>778.53</v>
      </c>
      <c r="R71" s="306">
        <f t="shared" ca="1" si="49"/>
        <v>0.39070793394773529</v>
      </c>
      <c r="S71" s="307">
        <f t="shared" ca="1" si="50"/>
        <v>8.9016277240243493</v>
      </c>
      <c r="T71" s="304">
        <f t="shared" ca="1" si="30"/>
        <v>87.324967972678877</v>
      </c>
      <c r="U71" s="311">
        <f t="shared" ca="1" si="31"/>
        <v>0</v>
      </c>
      <c r="V71" s="306">
        <f t="shared" ca="1" si="32"/>
        <v>1.2229117244134962</v>
      </c>
      <c r="W71" s="304">
        <f t="shared" ca="1" si="33"/>
        <v>11.209481524236839</v>
      </c>
      <c r="Y71" s="314" t="str">
        <f t="shared" ca="1" si="51"/>
        <v/>
      </c>
      <c r="Z71" s="315" t="str">
        <f t="shared" ca="1" si="52"/>
        <v/>
      </c>
      <c r="AA71" s="316" t="str">
        <f t="shared" ca="1" si="53"/>
        <v/>
      </c>
      <c r="AC71" s="310" t="e">
        <f t="shared" ca="1" si="54"/>
        <v>#N/A</v>
      </c>
      <c r="AD71" s="323" t="e">
        <f t="shared" ca="1" si="55"/>
        <v>#N/A</v>
      </c>
      <c r="AE71" s="324">
        <f t="shared" ca="1" si="34"/>
        <v>17.061690302611765</v>
      </c>
      <c r="AG71" s="306">
        <f t="shared" ca="1" si="56"/>
        <v>76.60151232694831</v>
      </c>
      <c r="AH71" s="304">
        <f t="shared" ca="1" si="57"/>
        <v>86.236317602378563</v>
      </c>
    </row>
    <row r="72" spans="1:34" x14ac:dyDescent="0.2">
      <c r="A72" s="347">
        <f t="shared" ca="1" si="35"/>
        <v>0.01</v>
      </c>
      <c r="B72" s="304">
        <f t="shared" ca="1" si="36"/>
        <v>0.68000000000000038</v>
      </c>
      <c r="D72" s="306">
        <f t="shared" ca="1" si="37"/>
        <v>16.229915322583285</v>
      </c>
      <c r="E72" s="307">
        <f t="shared" ca="1" si="38"/>
        <v>74.751783203635796</v>
      </c>
      <c r="F72" s="304">
        <f t="shared" ca="1" si="39"/>
        <v>76.493393463106273</v>
      </c>
      <c r="G72" s="306">
        <f t="shared" ca="1" si="40"/>
        <v>10.091522281312082</v>
      </c>
      <c r="H72" s="307">
        <f t="shared" ca="1" si="41"/>
        <v>52.481171202947031</v>
      </c>
      <c r="I72" s="304">
        <f t="shared" ca="1" si="42"/>
        <v>53.442606156392252</v>
      </c>
      <c r="J72" s="306">
        <f t="shared" ca="1" si="43"/>
        <v>3.2297470220937883</v>
      </c>
      <c r="K72" s="307">
        <f t="shared" ca="1" si="44"/>
        <v>17.582764425481052</v>
      </c>
      <c r="L72" s="304">
        <f t="shared" ca="1" si="29"/>
        <v>17.876936836848916</v>
      </c>
      <c r="M72" s="306">
        <f t="shared" ca="1" si="45"/>
        <v>1.3808266094017716</v>
      </c>
      <c r="N72" s="304">
        <f t="shared" ca="1" si="46"/>
        <v>79.115536958080952</v>
      </c>
      <c r="P72" s="310">
        <f t="shared" ca="1" si="47"/>
        <v>3</v>
      </c>
      <c r="Q72" s="304">
        <f t="shared" ca="1" si="48"/>
        <v>777.34999999999991</v>
      </c>
      <c r="R72" s="306">
        <f t="shared" ca="1" si="49"/>
        <v>0.39011574692596562</v>
      </c>
      <c r="S72" s="307">
        <f t="shared" ca="1" si="50"/>
        <v>8.8977265665550895</v>
      </c>
      <c r="T72" s="304">
        <f t="shared" ca="1" si="30"/>
        <v>87.286697617905432</v>
      </c>
      <c r="U72" s="311">
        <f t="shared" ca="1" si="31"/>
        <v>0</v>
      </c>
      <c r="V72" s="306">
        <f t="shared" ca="1" si="32"/>
        <v>1.2228480032604643</v>
      </c>
      <c r="W72" s="304">
        <f t="shared" ca="1" si="33"/>
        <v>11.536693867702889</v>
      </c>
      <c r="Y72" s="314" t="str">
        <f t="shared" ca="1" si="51"/>
        <v/>
      </c>
      <c r="Z72" s="315" t="str">
        <f t="shared" ca="1" si="52"/>
        <v/>
      </c>
      <c r="AA72" s="316" t="str">
        <f t="shared" ca="1" si="53"/>
        <v/>
      </c>
      <c r="AC72" s="310" t="e">
        <f t="shared" ca="1" si="54"/>
        <v>#N/A</v>
      </c>
      <c r="AD72" s="323" t="e">
        <f t="shared" ca="1" si="55"/>
        <v>#N/A</v>
      </c>
      <c r="AE72" s="324">
        <f t="shared" ca="1" si="34"/>
        <v>17.582764425481052</v>
      </c>
      <c r="AG72" s="306">
        <f t="shared" ca="1" si="56"/>
        <v>76.471041210075626</v>
      </c>
      <c r="AH72" s="304">
        <f t="shared" ca="1" si="57"/>
        <v>86.105199203979112</v>
      </c>
    </row>
    <row r="73" spans="1:34" x14ac:dyDescent="0.2">
      <c r="A73" s="347">
        <f t="shared" ca="1" si="35"/>
        <v>0.01</v>
      </c>
      <c r="B73" s="304">
        <f t="shared" ca="1" si="36"/>
        <v>0.69000000000000039</v>
      </c>
      <c r="D73" s="306">
        <f t="shared" ca="1" si="37"/>
        <v>16.234292896173244</v>
      </c>
      <c r="E73" s="307">
        <f t="shared" ca="1" si="38"/>
        <v>74.616777357526701</v>
      </c>
      <c r="F73" s="304">
        <f t="shared" ca="1" si="39"/>
        <v>76.362397350145116</v>
      </c>
      <c r="G73" s="306">
        <f t="shared" ca="1" si="40"/>
        <v>10.253865210273815</v>
      </c>
      <c r="H73" s="307">
        <f t="shared" ca="1" si="41"/>
        <v>53.227338976522297</v>
      </c>
      <c r="I73" s="304">
        <f t="shared" ca="1" si="42"/>
        <v>54.206008580895102</v>
      </c>
      <c r="J73" s="306">
        <f t="shared" ca="1" si="43"/>
        <v>3.331473959551718</v>
      </c>
      <c r="K73" s="307">
        <f t="shared" ca="1" si="44"/>
        <v>18.111306976378398</v>
      </c>
      <c r="L73" s="304">
        <f t="shared" ca="1" si="29"/>
        <v>18.415161121635183</v>
      </c>
      <c r="M73" s="306">
        <f t="shared" ca="1" si="45"/>
        <v>1.3804848734730264</v>
      </c>
      <c r="N73" s="304">
        <f t="shared" ca="1" si="46"/>
        <v>79.095956931655863</v>
      </c>
      <c r="P73" s="310">
        <f t="shared" ca="1" si="47"/>
        <v>3</v>
      </c>
      <c r="Q73" s="304">
        <f t="shared" ca="1" si="48"/>
        <v>776.17</v>
      </c>
      <c r="R73" s="306">
        <f t="shared" ca="1" si="49"/>
        <v>0.38952355990419596</v>
      </c>
      <c r="S73" s="307">
        <f t="shared" ca="1" si="50"/>
        <v>8.8938313309560471</v>
      </c>
      <c r="T73" s="304">
        <f t="shared" ca="1" si="30"/>
        <v>87.248485356678827</v>
      </c>
      <c r="U73" s="311">
        <f t="shared" ca="1" si="31"/>
        <v>0</v>
      </c>
      <c r="V73" s="306">
        <f t="shared" ca="1" si="32"/>
        <v>1.2227833721967236</v>
      </c>
      <c r="W73" s="304">
        <f t="shared" ca="1" si="33"/>
        <v>11.868013074073192</v>
      </c>
      <c r="Y73" s="314" t="str">
        <f t="shared" ca="1" si="51"/>
        <v/>
      </c>
      <c r="Z73" s="315" t="str">
        <f t="shared" ca="1" si="52"/>
        <v/>
      </c>
      <c r="AA73" s="316" t="str">
        <f t="shared" ca="1" si="53"/>
        <v/>
      </c>
      <c r="AC73" s="310" t="e">
        <f t="shared" ca="1" si="54"/>
        <v>#N/A</v>
      </c>
      <c r="AD73" s="323" t="e">
        <f t="shared" ca="1" si="55"/>
        <v>#N/A</v>
      </c>
      <c r="AE73" s="324">
        <f t="shared" ca="1" si="34"/>
        <v>18.111306976378398</v>
      </c>
      <c r="AG73" s="306">
        <f t="shared" ca="1" si="56"/>
        <v>76.339925932067132</v>
      </c>
      <c r="AH73" s="304">
        <f t="shared" ca="1" si="57"/>
        <v>85.973443578910604</v>
      </c>
    </row>
    <row r="74" spans="1:34" x14ac:dyDescent="0.2">
      <c r="A74" s="347">
        <f t="shared" ca="1" si="35"/>
        <v>0.01</v>
      </c>
      <c r="B74" s="304">
        <f t="shared" ca="1" si="36"/>
        <v>0.7000000000000004</v>
      </c>
      <c r="D74" s="306">
        <f t="shared" ca="1" si="37"/>
        <v>16.238100047226013</v>
      </c>
      <c r="E74" s="307">
        <f t="shared" ca="1" si="38"/>
        <v>74.481224608881121</v>
      </c>
      <c r="F74" s="304">
        <f t="shared" ca="1" si="39"/>
        <v>76.230759620918903</v>
      </c>
      <c r="G74" s="306">
        <f t="shared" ca="1" si="40"/>
        <v>10.416246210746076</v>
      </c>
      <c r="H74" s="307">
        <f t="shared" ca="1" si="41"/>
        <v>53.97215122261111</v>
      </c>
      <c r="I74" s="304">
        <f t="shared" ca="1" si="42"/>
        <v>54.968093406259634</v>
      </c>
      <c r="J74" s="306">
        <f t="shared" ca="1" si="43"/>
        <v>3.4348245166568177</v>
      </c>
      <c r="K74" s="307">
        <f t="shared" ca="1" si="44"/>
        <v>18.647304427374063</v>
      </c>
      <c r="L74" s="304">
        <f t="shared" ca="1" si="29"/>
        <v>18.961012153031049</v>
      </c>
      <c r="M74" s="306">
        <f t="shared" ca="1" si="45"/>
        <v>1.3801472765211098</v>
      </c>
      <c r="N74" s="304">
        <f t="shared" ca="1" si="46"/>
        <v>79.07661405113457</v>
      </c>
      <c r="P74" s="310">
        <f t="shared" ca="1" si="47"/>
        <v>3</v>
      </c>
      <c r="Q74" s="304">
        <f t="shared" ca="1" si="48"/>
        <v>774.99</v>
      </c>
      <c r="R74" s="306">
        <f t="shared" ca="1" si="49"/>
        <v>0.38893137288242635</v>
      </c>
      <c r="S74" s="307">
        <f t="shared" ca="1" si="50"/>
        <v>8.8899420172272237</v>
      </c>
      <c r="T74" s="304">
        <f t="shared" ca="1" si="30"/>
        <v>87.210331188999064</v>
      </c>
      <c r="U74" s="311">
        <f t="shared" ca="1" si="31"/>
        <v>0</v>
      </c>
      <c r="V74" s="306">
        <f t="shared" ca="1" si="32"/>
        <v>1.2227178330207675</v>
      </c>
      <c r="W74" s="304">
        <f t="shared" ca="1" si="33"/>
        <v>12.203410658368204</v>
      </c>
      <c r="Y74" s="314" t="str">
        <f t="shared" ca="1" si="51"/>
        <v/>
      </c>
      <c r="Z74" s="315" t="str">
        <f t="shared" ca="1" si="52"/>
        <v/>
      </c>
      <c r="AA74" s="316" t="str">
        <f t="shared" ca="1" si="53"/>
        <v/>
      </c>
      <c r="AC74" s="310" t="e">
        <f t="shared" ca="1" si="54"/>
        <v>#N/A</v>
      </c>
      <c r="AD74" s="323" t="e">
        <f t="shared" ca="1" si="55"/>
        <v>#N/A</v>
      </c>
      <c r="AE74" s="324">
        <f t="shared" ca="1" si="34"/>
        <v>18.647304427374063</v>
      </c>
      <c r="AG74" s="306">
        <f t="shared" ca="1" si="56"/>
        <v>76.208169296098205</v>
      </c>
      <c r="AH74" s="304">
        <f t="shared" ca="1" si="57"/>
        <v>85.841053344006482</v>
      </c>
    </row>
    <row r="75" spans="1:34" x14ac:dyDescent="0.2">
      <c r="A75" s="347">
        <f t="shared" ca="1" si="35"/>
        <v>0.01</v>
      </c>
      <c r="B75" s="304">
        <f t="shared" ca="1" si="36"/>
        <v>0.71000000000000041</v>
      </c>
      <c r="D75" s="306">
        <f t="shared" ca="1" si="37"/>
        <v>16.241348375597848</v>
      </c>
      <c r="E75" s="307">
        <f t="shared" ca="1" si="38"/>
        <v>74.345125834346987</v>
      </c>
      <c r="F75" s="304">
        <f t="shared" ca="1" si="39"/>
        <v>76.098483114858624</v>
      </c>
      <c r="G75" s="306">
        <f t="shared" ca="1" si="40"/>
        <v>10.578659694502054</v>
      </c>
      <c r="H75" s="307">
        <f t="shared" ca="1" si="41"/>
        <v>54.71560248095458</v>
      </c>
      <c r="I75" s="304">
        <f t="shared" ca="1" si="42"/>
        <v>55.728854247920125</v>
      </c>
      <c r="J75" s="306">
        <f t="shared" ca="1" si="43"/>
        <v>3.5397990461830582</v>
      </c>
      <c r="K75" s="307">
        <f t="shared" ca="1" si="44"/>
        <v>19.190743195891891</v>
      </c>
      <c r="L75" s="304">
        <f t="shared" ca="1" si="29"/>
        <v>19.514476721091686</v>
      </c>
      <c r="M75" s="306">
        <f t="shared" ca="1" si="45"/>
        <v>1.379813704616671</v>
      </c>
      <c r="N75" s="304">
        <f t="shared" ca="1" si="46"/>
        <v>79.057501788846082</v>
      </c>
      <c r="P75" s="310">
        <f t="shared" ca="1" si="47"/>
        <v>3</v>
      </c>
      <c r="Q75" s="304">
        <f t="shared" ca="1" si="48"/>
        <v>773.81</v>
      </c>
      <c r="R75" s="306">
        <f t="shared" ca="1" si="49"/>
        <v>0.38833918586065669</v>
      </c>
      <c r="S75" s="307">
        <f t="shared" ca="1" si="50"/>
        <v>8.8860586253686176</v>
      </c>
      <c r="T75" s="304">
        <f t="shared" ca="1" si="30"/>
        <v>87.17223511486614</v>
      </c>
      <c r="U75" s="311">
        <f t="shared" ca="1" si="31"/>
        <v>0</v>
      </c>
      <c r="V75" s="306">
        <f t="shared" ca="1" si="32"/>
        <v>1.2226513875394329</v>
      </c>
      <c r="W75" s="304">
        <f t="shared" ca="1" si="33"/>
        <v>12.542858021754656</v>
      </c>
      <c r="Y75" s="314" t="str">
        <f t="shared" ca="1" si="51"/>
        <v/>
      </c>
      <c r="Z75" s="315" t="str">
        <f t="shared" ca="1" si="52"/>
        <v/>
      </c>
      <c r="AA75" s="316" t="str">
        <f t="shared" ca="1" si="53"/>
        <v/>
      </c>
      <c r="AC75" s="310" t="e">
        <f t="shared" ca="1" si="54"/>
        <v>#N/A</v>
      </c>
      <c r="AD75" s="323" t="e">
        <f t="shared" ca="1" si="55"/>
        <v>#N/A</v>
      </c>
      <c r="AE75" s="324">
        <f t="shared" ca="1" si="34"/>
        <v>19.190743195891891</v>
      </c>
      <c r="AG75" s="306">
        <f t="shared" ca="1" si="56"/>
        <v>76.075774117971307</v>
      </c>
      <c r="AH75" s="304">
        <f t="shared" ca="1" si="57"/>
        <v>85.708031136249488</v>
      </c>
    </row>
    <row r="76" spans="1:34" x14ac:dyDescent="0.2">
      <c r="A76" s="347">
        <f t="shared" ca="1" si="35"/>
        <v>0.01</v>
      </c>
      <c r="B76" s="304">
        <f t="shared" ca="1" si="36"/>
        <v>0.72000000000000042</v>
      </c>
      <c r="D76" s="306">
        <f t="shared" ca="1" si="37"/>
        <v>16.2440490246297</v>
      </c>
      <c r="E76" s="307">
        <f t="shared" ca="1" si="38"/>
        <v>74.208481998688924</v>
      </c>
      <c r="F76" s="304">
        <f t="shared" ca="1" si="39"/>
        <v>75.965570683463653</v>
      </c>
      <c r="G76" s="306">
        <f t="shared" ca="1" si="40"/>
        <v>10.741100184748351</v>
      </c>
      <c r="H76" s="307">
        <f t="shared" ca="1" si="41"/>
        <v>55.457687300941473</v>
      </c>
      <c r="I76" s="304">
        <f t="shared" ca="1" si="42"/>
        <v>56.488284749563839</v>
      </c>
      <c r="J76" s="306">
        <f t="shared" ca="1" si="43"/>
        <v>3.64639784557931</v>
      </c>
      <c r="K76" s="307">
        <f t="shared" ca="1" si="44"/>
        <v>19.741609644801372</v>
      </c>
      <c r="L76" s="304">
        <f t="shared" ca="1" si="29"/>
        <v>20.075541552246108</v>
      </c>
      <c r="M76" s="306">
        <f t="shared" ca="1" si="45"/>
        <v>1.3794840484837732</v>
      </c>
      <c r="N76" s="304">
        <f t="shared" ca="1" si="46"/>
        <v>79.038613883740425</v>
      </c>
      <c r="P76" s="310">
        <f t="shared" ca="1" si="47"/>
        <v>3</v>
      </c>
      <c r="Q76" s="304">
        <f t="shared" ca="1" si="48"/>
        <v>772.63</v>
      </c>
      <c r="R76" s="306">
        <f t="shared" ca="1" si="49"/>
        <v>0.38774699883888702</v>
      </c>
      <c r="S76" s="307">
        <f t="shared" ca="1" si="50"/>
        <v>8.8821811553802288</v>
      </c>
      <c r="T76" s="304">
        <f t="shared" ca="1" si="30"/>
        <v>87.134197134280043</v>
      </c>
      <c r="U76" s="311">
        <f t="shared" ca="1" si="31"/>
        <v>0</v>
      </c>
      <c r="V76" s="306">
        <f t="shared" ca="1" si="32"/>
        <v>1.2225840375678747</v>
      </c>
      <c r="W76" s="304">
        <f t="shared" ca="1" si="33"/>
        <v>12.886326453453089</v>
      </c>
      <c r="Y76" s="314" t="str">
        <f t="shared" ca="1" si="51"/>
        <v/>
      </c>
      <c r="Z76" s="315" t="str">
        <f t="shared" ca="1" si="52"/>
        <v/>
      </c>
      <c r="AA76" s="316" t="str">
        <f t="shared" ca="1" si="53"/>
        <v/>
      </c>
      <c r="AC76" s="310" t="e">
        <f t="shared" ca="1" si="54"/>
        <v>#N/A</v>
      </c>
      <c r="AD76" s="323" t="e">
        <f t="shared" ca="1" si="55"/>
        <v>#N/A</v>
      </c>
      <c r="AE76" s="324">
        <f t="shared" ca="1" si="34"/>
        <v>19.741609644801372</v>
      </c>
      <c r="AG76" s="306">
        <f t="shared" ca="1" si="56"/>
        <v>75.942743226336006</v>
      </c>
      <c r="AH76" s="304">
        <f t="shared" ca="1" si="57"/>
        <v>85.574379612583741</v>
      </c>
    </row>
    <row r="77" spans="1:34" x14ac:dyDescent="0.2">
      <c r="A77" s="347">
        <f t="shared" ca="1" si="35"/>
        <v>0.01</v>
      </c>
      <c r="B77" s="304">
        <f t="shared" ca="1" si="36"/>
        <v>0.73000000000000043</v>
      </c>
      <c r="D77" s="306">
        <f t="shared" ca="1" si="37"/>
        <v>16.246212706496735</v>
      </c>
      <c r="E77" s="307">
        <f t="shared" ca="1" si="38"/>
        <v>74.071294150929305</v>
      </c>
      <c r="F77" s="304">
        <f t="shared" ca="1" si="39"/>
        <v>75.832025190536939</v>
      </c>
      <c r="G77" s="306">
        <f t="shared" ca="1" si="40"/>
        <v>10.903562311813319</v>
      </c>
      <c r="H77" s="307">
        <f t="shared" ca="1" si="41"/>
        <v>56.198400242450766</v>
      </c>
      <c r="I77" s="304">
        <f t="shared" ca="1" si="42"/>
        <v>57.246378583263116</v>
      </c>
      <c r="J77" s="306">
        <f t="shared" ca="1" si="43"/>
        <v>3.7546211580621183</v>
      </c>
      <c r="K77" s="307">
        <f t="shared" ca="1" si="44"/>
        <v>20.299890082518331</v>
      </c>
      <c r="L77" s="304">
        <f t="shared" ca="1" si="29"/>
        <v>20.644193309569978</v>
      </c>
      <c r="M77" s="306">
        <f t="shared" ca="1" si="45"/>
        <v>1.3791582032473297</v>
      </c>
      <c r="N77" s="304">
        <f t="shared" ca="1" si="46"/>
        <v>79.019944326917781</v>
      </c>
      <c r="P77" s="310">
        <f t="shared" ca="1" si="47"/>
        <v>3</v>
      </c>
      <c r="Q77" s="304">
        <f t="shared" ca="1" si="48"/>
        <v>771.44999999999993</v>
      </c>
      <c r="R77" s="306">
        <f t="shared" ca="1" si="49"/>
        <v>0.38715481181711736</v>
      </c>
      <c r="S77" s="307">
        <f t="shared" ca="1" si="50"/>
        <v>8.8783096072620573</v>
      </c>
      <c r="T77" s="304">
        <f t="shared" ca="1" si="30"/>
        <v>87.096217247240787</v>
      </c>
      <c r="U77" s="311">
        <f t="shared" ca="1" si="31"/>
        <v>0</v>
      </c>
      <c r="V77" s="306">
        <f t="shared" ca="1" si="32"/>
        <v>1.2225157849295352</v>
      </c>
      <c r="W77" s="304">
        <f t="shared" ca="1" si="33"/>
        <v>13.233787132649889</v>
      </c>
      <c r="Y77" s="314" t="str">
        <f t="shared" ca="1" si="51"/>
        <v/>
      </c>
      <c r="Z77" s="315" t="str">
        <f t="shared" ca="1" si="52"/>
        <v/>
      </c>
      <c r="AA77" s="316" t="str">
        <f t="shared" ca="1" si="53"/>
        <v/>
      </c>
      <c r="AC77" s="310" t="e">
        <f t="shared" ca="1" si="54"/>
        <v>#N/A</v>
      </c>
      <c r="AD77" s="323" t="e">
        <f t="shared" ca="1" si="55"/>
        <v>#N/A</v>
      </c>
      <c r="AE77" s="324">
        <f t="shared" ca="1" si="34"/>
        <v>20.299890082518331</v>
      </c>
      <c r="AG77" s="306">
        <f t="shared" ca="1" si="56"/>
        <v>75.809079462880504</v>
      </c>
      <c r="AH77" s="304">
        <f t="shared" ca="1" si="57"/>
        <v>85.440101449725958</v>
      </c>
    </row>
    <row r="78" spans="1:34" x14ac:dyDescent="0.2">
      <c r="A78" s="347">
        <f t="shared" ca="1" si="35"/>
        <v>0.01</v>
      </c>
      <c r="B78" s="304">
        <f t="shared" ca="1" si="36"/>
        <v>0.74000000000000044</v>
      </c>
      <c r="D78" s="306">
        <f t="shared" ca="1" si="37"/>
        <v>16.247849725827542</v>
      </c>
      <c r="E78" s="307">
        <f t="shared" ca="1" si="38"/>
        <v>73.933563420732796</v>
      </c>
      <c r="F78" s="304">
        <f t="shared" ca="1" si="39"/>
        <v>75.697849512390988</v>
      </c>
      <c r="G78" s="306">
        <f t="shared" ca="1" si="40"/>
        <v>11.066040809071595</v>
      </c>
      <c r="H78" s="307">
        <f t="shared" ca="1" si="41"/>
        <v>56.937735876658095</v>
      </c>
      <c r="I78" s="304">
        <f t="shared" ca="1" si="42"/>
        <v>58.003129449609148</v>
      </c>
      <c r="J78" s="306">
        <f t="shared" ca="1" si="43"/>
        <v>3.8644691736665426</v>
      </c>
      <c r="K78" s="307">
        <f t="shared" ca="1" si="44"/>
        <v>20.865570763113876</v>
      </c>
      <c r="L78" s="304">
        <f t="shared" ca="1" si="29"/>
        <v>21.220418593061058</v>
      </c>
      <c r="M78" s="306">
        <f t="shared" ca="1" si="45"/>
        <v>1.3788360681975329</v>
      </c>
      <c r="N78" s="304">
        <f t="shared" ca="1" si="46"/>
        <v>79.001487348131192</v>
      </c>
      <c r="P78" s="310">
        <f t="shared" ca="1" si="47"/>
        <v>3</v>
      </c>
      <c r="Q78" s="304">
        <f t="shared" ca="1" si="48"/>
        <v>770.27</v>
      </c>
      <c r="R78" s="306">
        <f t="shared" ca="1" si="49"/>
        <v>0.38656262479534775</v>
      </c>
      <c r="S78" s="307">
        <f t="shared" ca="1" si="50"/>
        <v>8.8744439810141031</v>
      </c>
      <c r="T78" s="304">
        <f t="shared" ca="1" si="30"/>
        <v>87.058295453748357</v>
      </c>
      <c r="U78" s="311">
        <f t="shared" ca="1" si="31"/>
        <v>0</v>
      </c>
      <c r="V78" s="306">
        <f t="shared" ca="1" si="32"/>
        <v>1.2224466314561202</v>
      </c>
      <c r="W78" s="304">
        <f t="shared" ca="1" si="33"/>
        <v>13.58521113041383</v>
      </c>
      <c r="Y78" s="314" t="str">
        <f t="shared" ca="1" si="51"/>
        <v/>
      </c>
      <c r="Z78" s="315" t="str">
        <f t="shared" ca="1" si="52"/>
        <v/>
      </c>
      <c r="AA78" s="316" t="str">
        <f t="shared" ca="1" si="53"/>
        <v/>
      </c>
      <c r="AC78" s="310" t="e">
        <f t="shared" ca="1" si="54"/>
        <v>#N/A</v>
      </c>
      <c r="AD78" s="323" t="e">
        <f t="shared" ca="1" si="55"/>
        <v>#N/A</v>
      </c>
      <c r="AE78" s="324">
        <f t="shared" ca="1" si="34"/>
        <v>20.865570763113876</v>
      </c>
      <c r="AG78" s="306">
        <f t="shared" ca="1" si="56"/>
        <v>75.674785682496577</v>
      </c>
      <c r="AH78" s="304">
        <f t="shared" ca="1" si="57"/>
        <v>85.305199343975332</v>
      </c>
    </row>
    <row r="79" spans="1:34" x14ac:dyDescent="0.2">
      <c r="A79" s="347">
        <f t="shared" ca="1" si="35"/>
        <v>0.01</v>
      </c>
      <c r="B79" s="304">
        <f t="shared" ca="1" si="36"/>
        <v>0.75000000000000044</v>
      </c>
      <c r="D79" s="306">
        <f t="shared" ca="1" si="37"/>
        <v>16.248970001733717</v>
      </c>
      <c r="E79" s="307">
        <f t="shared" ca="1" si="38"/>
        <v>73.795291015014271</v>
      </c>
      <c r="F79" s="304">
        <f t="shared" ca="1" si="39"/>
        <v>75.563046538026029</v>
      </c>
      <c r="G79" s="306">
        <f t="shared" ca="1" si="40"/>
        <v>11.228530509088932</v>
      </c>
      <c r="H79" s="307">
        <f t="shared" ca="1" si="41"/>
        <v>57.675688786808237</v>
      </c>
      <c r="I79" s="304">
        <f t="shared" ca="1" si="42"/>
        <v>58.758531077846889</v>
      </c>
      <c r="J79" s="306">
        <f t="shared" ca="1" si="43"/>
        <v>3.9759420302573454</v>
      </c>
      <c r="K79" s="307">
        <f t="shared" ca="1" si="44"/>
        <v>21.438637886431209</v>
      </c>
      <c r="L79" s="304">
        <f t="shared" ca="1" si="29"/>
        <v>21.804203939916967</v>
      </c>
      <c r="M79" s="306">
        <f t="shared" ca="1" si="45"/>
        <v>1.3785175465699251</v>
      </c>
      <c r="N79" s="304">
        <f t="shared" ca="1" si="46"/>
        <v>78.983237403185626</v>
      </c>
      <c r="P79" s="310">
        <f t="shared" ca="1" si="47"/>
        <v>3</v>
      </c>
      <c r="Q79" s="304">
        <f t="shared" ca="1" si="48"/>
        <v>769.08999999999992</v>
      </c>
      <c r="R79" s="306">
        <f t="shared" ca="1" si="49"/>
        <v>0.38597043777357803</v>
      </c>
      <c r="S79" s="307">
        <f t="shared" ca="1" si="50"/>
        <v>8.8705842766363681</v>
      </c>
      <c r="T79" s="304">
        <f t="shared" ca="1" si="30"/>
        <v>87.020431753802768</v>
      </c>
      <c r="U79" s="311">
        <f t="shared" ca="1" si="31"/>
        <v>0</v>
      </c>
      <c r="V79" s="306">
        <f t="shared" ca="1" si="32"/>
        <v>1.2223765789875676</v>
      </c>
      <c r="W79" s="304">
        <f t="shared" ca="1" si="33"/>
        <v>13.94056941161671</v>
      </c>
      <c r="Y79" s="314" t="str">
        <f t="shared" ca="1" si="51"/>
        <v/>
      </c>
      <c r="Z79" s="315" t="str">
        <f t="shared" ca="1" si="52"/>
        <v/>
      </c>
      <c r="AA79" s="316" t="str">
        <f t="shared" ca="1" si="53"/>
        <v/>
      </c>
      <c r="AC79" s="310" t="e">
        <f t="shared" ca="1" si="54"/>
        <v>#N/A</v>
      </c>
      <c r="AD79" s="323" t="e">
        <f t="shared" ca="1" si="55"/>
        <v>#N/A</v>
      </c>
      <c r="AE79" s="324">
        <f t="shared" ca="1" si="34"/>
        <v>21.438637886431209</v>
      </c>
      <c r="AG79" s="306">
        <f t="shared" ca="1" si="56"/>
        <v>75.539864753419664</v>
      </c>
      <c r="AH79" s="304">
        <f t="shared" ca="1" si="57"/>
        <v>85.169676011022077</v>
      </c>
    </row>
    <row r="80" spans="1:34" x14ac:dyDescent="0.2">
      <c r="A80" s="347">
        <f t="shared" ca="1" si="35"/>
        <v>0.01</v>
      </c>
      <c r="B80" s="304">
        <f t="shared" ca="1" si="36"/>
        <v>0.76000000000000045</v>
      </c>
      <c r="D80" s="306">
        <f t="shared" ca="1" si="37"/>
        <v>16.249583088376205</v>
      </c>
      <c r="E80" s="307">
        <f t="shared" ca="1" si="38"/>
        <v>73.656478214753662</v>
      </c>
      <c r="F80" s="304">
        <f t="shared" ca="1" si="39"/>
        <v>75.427619169283886</v>
      </c>
      <c r="G80" s="306">
        <f t="shared" ca="1" si="40"/>
        <v>11.391026339972694</v>
      </c>
      <c r="H80" s="307">
        <f t="shared" ca="1" si="41"/>
        <v>58.412253568955776</v>
      </c>
      <c r="I80" s="304">
        <f t="shared" ca="1" si="42"/>
        <v>59.512577226011132</v>
      </c>
      <c r="J80" s="306">
        <f t="shared" ca="1" si="43"/>
        <v>4.0890398145026534</v>
      </c>
      <c r="K80" s="307">
        <f t="shared" ca="1" si="44"/>
        <v>22.019077598210028</v>
      </c>
      <c r="L80" s="304">
        <f t="shared" ca="1" si="29"/>
        <v>22.395535824815234</v>
      </c>
      <c r="M80" s="306">
        <f t="shared" ca="1" si="45"/>
        <v>1.3782025453398703</v>
      </c>
      <c r="N80" s="304">
        <f t="shared" ca="1" si="46"/>
        <v>78.965189162162048</v>
      </c>
      <c r="P80" s="310">
        <f t="shared" ca="1" si="47"/>
        <v>3</v>
      </c>
      <c r="Q80" s="304">
        <f t="shared" ca="1" si="48"/>
        <v>767.91</v>
      </c>
      <c r="R80" s="306">
        <f t="shared" ca="1" si="49"/>
        <v>0.38537825075180843</v>
      </c>
      <c r="S80" s="307">
        <f t="shared" ca="1" si="50"/>
        <v>8.8667304941288503</v>
      </c>
      <c r="T80" s="304">
        <f t="shared" ca="1" si="30"/>
        <v>86.982626147404019</v>
      </c>
      <c r="U80" s="311">
        <f t="shared" ca="1" si="31"/>
        <v>0</v>
      </c>
      <c r="V80" s="306">
        <f t="shared" ca="1" si="32"/>
        <v>1.2223056293720163</v>
      </c>
      <c r="W80" s="304">
        <f t="shared" ca="1" si="33"/>
        <v>14.299832836858057</v>
      </c>
      <c r="Y80" s="314" t="str">
        <f t="shared" ca="1" si="51"/>
        <v/>
      </c>
      <c r="Z80" s="315" t="str">
        <f t="shared" ca="1" si="52"/>
        <v/>
      </c>
      <c r="AA80" s="316" t="str">
        <f t="shared" ca="1" si="53"/>
        <v/>
      </c>
      <c r="AC80" s="310" t="e">
        <f t="shared" ca="1" si="54"/>
        <v>#N/A</v>
      </c>
      <c r="AD80" s="323" t="e">
        <f t="shared" ca="1" si="55"/>
        <v>#N/A</v>
      </c>
      <c r="AE80" s="324">
        <f t="shared" ca="1" si="34"/>
        <v>22.019077598210028</v>
      </c>
      <c r="AG80" s="306">
        <f t="shared" ca="1" si="56"/>
        <v>75.404319557346824</v>
      </c>
      <c r="AH80" s="304">
        <f t="shared" ca="1" si="57"/>
        <v>85.033534185755158</v>
      </c>
    </row>
    <row r="81" spans="1:34" x14ac:dyDescent="0.2">
      <c r="A81" s="347">
        <f t="shared" ca="1" si="35"/>
        <v>0.01</v>
      </c>
      <c r="B81" s="304">
        <f t="shared" ca="1" si="36"/>
        <v>0.77000000000000046</v>
      </c>
      <c r="D81" s="306">
        <f t="shared" ca="1" si="37"/>
        <v>16.249698194184173</v>
      </c>
      <c r="E81" s="307">
        <f t="shared" ca="1" si="38"/>
        <v>73.517126372000334</v>
      </c>
      <c r="F81" s="304">
        <f t="shared" ca="1" si="39"/>
        <v>75.291570320977755</v>
      </c>
      <c r="G81" s="306">
        <f t="shared" ca="1" si="40"/>
        <v>11.553523321914536</v>
      </c>
      <c r="H81" s="307">
        <f t="shared" ca="1" si="41"/>
        <v>59.147424832675782</v>
      </c>
      <c r="I81" s="304">
        <f t="shared" ca="1" si="42"/>
        <v>60.26526168106345</v>
      </c>
      <c r="J81" s="306">
        <f t="shared" ca="1" si="43"/>
        <v>4.2037625628120896</v>
      </c>
      <c r="K81" s="307">
        <f t="shared" ca="1" si="44"/>
        <v>22.606875990218185</v>
      </c>
      <c r="L81" s="304">
        <f t="shared" ca="1" si="29"/>
        <v>22.994400660195602</v>
      </c>
      <c r="M81" s="306">
        <f t="shared" ca="1" si="45"/>
        <v>1.3778909750303105</v>
      </c>
      <c r="N81" s="304">
        <f t="shared" ca="1" si="46"/>
        <v>78.947337498402689</v>
      </c>
      <c r="P81" s="310">
        <f t="shared" ca="1" si="47"/>
        <v>3</v>
      </c>
      <c r="Q81" s="304">
        <f t="shared" ca="1" si="48"/>
        <v>766.7299999999999</v>
      </c>
      <c r="R81" s="306">
        <f t="shared" ca="1" si="49"/>
        <v>0.38478606373003871</v>
      </c>
      <c r="S81" s="307">
        <f t="shared" ca="1" si="50"/>
        <v>8.8628826334915498</v>
      </c>
      <c r="T81" s="304">
        <f t="shared" ca="1" si="30"/>
        <v>86.944878634552111</v>
      </c>
      <c r="U81" s="311">
        <f t="shared" ca="1" si="31"/>
        <v>0</v>
      </c>
      <c r="V81" s="306">
        <f t="shared" ca="1" si="32"/>
        <v>1.2222337844657754</v>
      </c>
      <c r="W81" s="304">
        <f t="shared" ca="1" si="33"/>
        <v>14.662972164393738</v>
      </c>
      <c r="Y81" s="314" t="str">
        <f t="shared" ca="1" si="51"/>
        <v/>
      </c>
      <c r="Z81" s="315" t="str">
        <f t="shared" ca="1" si="52"/>
        <v/>
      </c>
      <c r="AA81" s="316" t="str">
        <f t="shared" ca="1" si="53"/>
        <v/>
      </c>
      <c r="AC81" s="310" t="e">
        <f t="shared" ca="1" si="54"/>
        <v>#N/A</v>
      </c>
      <c r="AD81" s="323" t="e">
        <f t="shared" ca="1" si="55"/>
        <v>#N/A</v>
      </c>
      <c r="AE81" s="324">
        <f t="shared" ca="1" si="34"/>
        <v>22.606875990218185</v>
      </c>
      <c r="AG81" s="306">
        <f t="shared" ca="1" si="56"/>
        <v>75.268152989533093</v>
      </c>
      <c r="AH81" s="304">
        <f t="shared" ca="1" si="57"/>
        <v>84.896776622068444</v>
      </c>
    </row>
    <row r="82" spans="1:34" x14ac:dyDescent="0.2">
      <c r="A82" s="347">
        <f t="shared" ca="1" si="35"/>
        <v>0.01</v>
      </c>
      <c r="B82" s="304">
        <f t="shared" ca="1" si="36"/>
        <v>0.78000000000000047</v>
      </c>
      <c r="D82" s="306">
        <f t="shared" ca="1" si="37"/>
        <v>16.249324199830856</v>
      </c>
      <c r="E82" s="307">
        <f t="shared" ca="1" si="38"/>
        <v>73.377236907053714</v>
      </c>
      <c r="F82" s="304">
        <f t="shared" ca="1" si="39"/>
        <v>75.154902921001053</v>
      </c>
      <c r="G82" s="306">
        <f t="shared" ca="1" si="40"/>
        <v>11.716016563912845</v>
      </c>
      <c r="H82" s="307">
        <f t="shared" ca="1" si="41"/>
        <v>59.881197201746318</v>
      </c>
      <c r="I82" s="304">
        <f t="shared" ca="1" si="42"/>
        <v>61.016578259029828</v>
      </c>
      <c r="J82" s="306">
        <f t="shared" ca="1" si="43"/>
        <v>4.3201102622412266</v>
      </c>
      <c r="K82" s="307">
        <f t="shared" ca="1" si="44"/>
        <v>23.202019100390295</v>
      </c>
      <c r="L82" s="304">
        <f t="shared" ca="1" si="29"/>
        <v>23.600784796544332</v>
      </c>
      <c r="M82" s="306">
        <f t="shared" ca="1" si="45"/>
        <v>1.3775827495317847</v>
      </c>
      <c r="N82" s="304">
        <f t="shared" ca="1" si="46"/>
        <v>78.929677478198855</v>
      </c>
      <c r="P82" s="310">
        <f t="shared" ca="1" si="47"/>
        <v>3</v>
      </c>
      <c r="Q82" s="304">
        <f t="shared" ca="1" si="48"/>
        <v>765.55</v>
      </c>
      <c r="R82" s="306">
        <f t="shared" ca="1" si="49"/>
        <v>0.3841938767082691</v>
      </c>
      <c r="S82" s="307">
        <f t="shared" ca="1" si="50"/>
        <v>8.8590406947244666</v>
      </c>
      <c r="T82" s="304">
        <f t="shared" ca="1" si="30"/>
        <v>86.907189215247016</v>
      </c>
      <c r="U82" s="311">
        <f t="shared" ca="1" si="31"/>
        <v>0</v>
      </c>
      <c r="V82" s="306">
        <f t="shared" ca="1" si="32"/>
        <v>1.2221610461332943</v>
      </c>
      <c r="W82" s="304">
        <f t="shared" ca="1" si="33"/>
        <v>15.029958052068258</v>
      </c>
      <c r="Y82" s="314" t="str">
        <f t="shared" ca="1" si="51"/>
        <v/>
      </c>
      <c r="Z82" s="315" t="str">
        <f t="shared" ca="1" si="52"/>
        <v/>
      </c>
      <c r="AA82" s="316" t="str">
        <f t="shared" ca="1" si="53"/>
        <v/>
      </c>
      <c r="AC82" s="310" t="e">
        <f t="shared" ca="1" si="54"/>
        <v>#N/A</v>
      </c>
      <c r="AD82" s="323" t="e">
        <f t="shared" ca="1" si="55"/>
        <v>#N/A</v>
      </c>
      <c r="AE82" s="324">
        <f t="shared" ca="1" si="34"/>
        <v>23.202019100390295</v>
      </c>
      <c r="AG82" s="306">
        <f t="shared" ca="1" si="56"/>
        <v>75.131367958868879</v>
      </c>
      <c r="AH82" s="304">
        <f t="shared" ca="1" si="57"/>
        <v>84.75940609266614</v>
      </c>
    </row>
    <row r="83" spans="1:34" x14ac:dyDescent="0.2">
      <c r="A83" s="347">
        <f t="shared" ca="1" si="35"/>
        <v>0.01</v>
      </c>
      <c r="B83" s="304">
        <f t="shared" ca="1" si="36"/>
        <v>0.79000000000000048</v>
      </c>
      <c r="D83" s="306">
        <f t="shared" ca="1" si="37"/>
        <v>16.248469675061742</v>
      </c>
      <c r="E83" s="307">
        <f t="shared" ca="1" si="38"/>
        <v>73.236811305805887</v>
      </c>
      <c r="F83" s="304">
        <f t="shared" ca="1" si="39"/>
        <v>75.017619910415831</v>
      </c>
      <c r="G83" s="306">
        <f t="shared" ca="1" si="40"/>
        <v>11.878501260663462</v>
      </c>
      <c r="H83" s="307">
        <f t="shared" ca="1" si="41"/>
        <v>60.613565314804376</v>
      </c>
      <c r="I83" s="304">
        <f t="shared" ca="1" si="42"/>
        <v>61.766520805138761</v>
      </c>
      <c r="J83" s="306">
        <f t="shared" ca="1" si="43"/>
        <v>4.4380828513641077</v>
      </c>
      <c r="K83" s="307">
        <f t="shared" ca="1" si="44"/>
        <v>23.80449291297305</v>
      </c>
      <c r="L83" s="304">
        <f t="shared" ca="1" si="29"/>
        <v>24.214674522680586</v>
      </c>
      <c r="M83" s="306">
        <f t="shared" ca="1" si="45"/>
        <v>1.3772777859337775</v>
      </c>
      <c r="N83" s="304">
        <f t="shared" ca="1" si="46"/>
        <v>78.912204351127912</v>
      </c>
      <c r="P83" s="310">
        <f t="shared" ca="1" si="47"/>
        <v>3</v>
      </c>
      <c r="Q83" s="304">
        <f t="shared" ca="1" si="48"/>
        <v>764.36999999999989</v>
      </c>
      <c r="R83" s="306">
        <f t="shared" ca="1" si="49"/>
        <v>0.38360168968649944</v>
      </c>
      <c r="S83" s="307">
        <f t="shared" ca="1" si="50"/>
        <v>8.8552046778276008</v>
      </c>
      <c r="T83" s="304">
        <f t="shared" ca="1" si="30"/>
        <v>86.869557889488775</v>
      </c>
      <c r="U83" s="311">
        <f t="shared" ca="1" si="31"/>
        <v>0</v>
      </c>
      <c r="V83" s="306">
        <f t="shared" ca="1" si="32"/>
        <v>1.2220874162471262</v>
      </c>
      <c r="W83" s="304">
        <f t="shared" ca="1" si="33"/>
        <v>15.400761059250462</v>
      </c>
      <c r="Y83" s="314" t="str">
        <f t="shared" ca="1" si="51"/>
        <v/>
      </c>
      <c r="Z83" s="315" t="str">
        <f t="shared" ca="1" si="52"/>
        <v/>
      </c>
      <c r="AA83" s="316" t="str">
        <f t="shared" ca="1" si="53"/>
        <v/>
      </c>
      <c r="AC83" s="310" t="e">
        <f t="shared" ca="1" si="54"/>
        <v>#N/A</v>
      </c>
      <c r="AD83" s="323" t="e">
        <f t="shared" ca="1" si="55"/>
        <v>#N/A</v>
      </c>
      <c r="AE83" s="324">
        <f t="shared" ca="1" si="34"/>
        <v>23.80449291297305</v>
      </c>
      <c r="AG83" s="306">
        <f t="shared" ca="1" si="56"/>
        <v>74.993967387938923</v>
      </c>
      <c r="AH83" s="304">
        <f t="shared" ca="1" si="57"/>
        <v>84.621425388866683</v>
      </c>
    </row>
    <row r="84" spans="1:34" x14ac:dyDescent="0.2">
      <c r="A84" s="347">
        <f t="shared" ca="1" si="35"/>
        <v>0.01</v>
      </c>
      <c r="B84" s="304">
        <f t="shared" ca="1" si="36"/>
        <v>0.80000000000000049</v>
      </c>
      <c r="D84" s="306">
        <f t="shared" ca="1" si="37"/>
        <v>16.247142894462314</v>
      </c>
      <c r="E84" s="307">
        <f t="shared" ca="1" si="38"/>
        <v>73.095851117234815</v>
      </c>
      <c r="F84" s="304">
        <f t="shared" ca="1" si="39"/>
        <v>74.879724243522929</v>
      </c>
      <c r="G84" s="306">
        <f t="shared" ca="1" si="40"/>
        <v>12.040972689608086</v>
      </c>
      <c r="H84" s="307">
        <f t="shared" ca="1" si="41"/>
        <v>61.344523825976722</v>
      </c>
      <c r="I84" s="304">
        <f t="shared" ca="1" si="42"/>
        <v>62.515083193959789</v>
      </c>
      <c r="J84" s="306">
        <f t="shared" ca="1" si="43"/>
        <v>4.5576802211154659</v>
      </c>
      <c r="K84" s="307">
        <f t="shared" ca="1" si="44"/>
        <v>24.414283358676954</v>
      </c>
      <c r="L84" s="304">
        <f t="shared" ca="1" si="29"/>
        <v>24.836056066044737</v>
      </c>
      <c r="M84" s="306">
        <f t="shared" ca="1" si="45"/>
        <v>1.3769760043665529</v>
      </c>
      <c r="N84" s="304">
        <f t="shared" ca="1" si="46"/>
        <v>78.894913540991098</v>
      </c>
      <c r="P84" s="310">
        <f t="shared" ca="1" si="47"/>
        <v>3</v>
      </c>
      <c r="Q84" s="304">
        <f t="shared" ca="1" si="48"/>
        <v>763.18999999999994</v>
      </c>
      <c r="R84" s="306">
        <f t="shared" ca="1" si="49"/>
        <v>0.38300950266472977</v>
      </c>
      <c r="S84" s="307">
        <f t="shared" ca="1" si="50"/>
        <v>8.851374582800954</v>
      </c>
      <c r="T84" s="304">
        <f t="shared" ca="1" si="30"/>
        <v>86.83198465727736</v>
      </c>
      <c r="U84" s="311">
        <f t="shared" ca="1" si="31"/>
        <v>0</v>
      </c>
      <c r="V84" s="306">
        <f t="shared" ca="1" si="32"/>
        <v>1.2220128966878963</v>
      </c>
      <c r="W84" s="304">
        <f t="shared" ca="1" si="33"/>
        <v>15.775351648772684</v>
      </c>
      <c r="Y84" s="314" t="str">
        <f t="shared" ca="1" si="51"/>
        <v/>
      </c>
      <c r="Z84" s="315" t="str">
        <f t="shared" ca="1" si="52"/>
        <v/>
      </c>
      <c r="AA84" s="316" t="str">
        <f t="shared" ca="1" si="53"/>
        <v/>
      </c>
      <c r="AC84" s="310" t="e">
        <f t="shared" ca="1" si="54"/>
        <v>#N/A</v>
      </c>
      <c r="AD84" s="323" t="e">
        <f t="shared" ca="1" si="55"/>
        <v>#N/A</v>
      </c>
      <c r="AE84" s="324">
        <f t="shared" ca="1" si="34"/>
        <v>24.414283358676954</v>
      </c>
      <c r="AG84" s="306">
        <f t="shared" ca="1" si="56"/>
        <v>74.855954213064763</v>
      </c>
      <c r="AH84" s="304">
        <f t="shared" ca="1" si="57"/>
        <v>84.482837320405991</v>
      </c>
    </row>
    <row r="85" spans="1:34" x14ac:dyDescent="0.2">
      <c r="A85" s="347">
        <f t="shared" ca="1" si="35"/>
        <v>0.01</v>
      </c>
      <c r="B85" s="304">
        <f t="shared" ca="1" si="36"/>
        <v>0.8100000000000005</v>
      </c>
      <c r="D85" s="306">
        <f t="shared" ca="1" si="37"/>
        <v>16.245351852244337</v>
      </c>
      <c r="E85" s="307">
        <f t="shared" ca="1" si="38"/>
        <v>72.954357951036428</v>
      </c>
      <c r="F85" s="304">
        <f t="shared" ca="1" si="39"/>
        <v>74.741218887914656</v>
      </c>
      <c r="G85" s="306">
        <f t="shared" ca="1" si="40"/>
        <v>12.20342620813053</v>
      </c>
      <c r="H85" s="307">
        <f t="shared" ca="1" si="41"/>
        <v>62.074067405487085</v>
      </c>
      <c r="I85" s="304">
        <f t="shared" ca="1" si="42"/>
        <v>63.26225932954214</v>
      </c>
      <c r="J85" s="306">
        <f t="shared" ca="1" si="43"/>
        <v>4.6789022156041593</v>
      </c>
      <c r="K85" s="307">
        <f t="shared" ca="1" si="44"/>
        <v>25.031376314834272</v>
      </c>
      <c r="L85" s="304">
        <f t="shared" ca="1" si="29"/>
        <v>25.464915592988557</v>
      </c>
      <c r="M85" s="306">
        <f t="shared" ca="1" si="45"/>
        <v>1.3766773278526967</v>
      </c>
      <c r="N85" s="304">
        <f t="shared" ca="1" si="46"/>
        <v>78.877800637307459</v>
      </c>
      <c r="P85" s="310">
        <f t="shared" ca="1" si="47"/>
        <v>3</v>
      </c>
      <c r="Q85" s="304">
        <f t="shared" ca="1" si="48"/>
        <v>762.01</v>
      </c>
      <c r="R85" s="306">
        <f t="shared" ca="1" si="49"/>
        <v>0.38241731564296016</v>
      </c>
      <c r="S85" s="307">
        <f t="shared" ca="1" si="50"/>
        <v>8.8475504096445245</v>
      </c>
      <c r="T85" s="304">
        <f t="shared" ca="1" si="30"/>
        <v>86.794469518612786</v>
      </c>
      <c r="U85" s="311">
        <f t="shared" ca="1" si="31"/>
        <v>0</v>
      </c>
      <c r="V85" s="306">
        <f t="shared" ca="1" si="32"/>
        <v>1.2219374893442676</v>
      </c>
      <c r="W85" s="304">
        <f t="shared" ca="1" si="33"/>
        <v>16.153700188872975</v>
      </c>
      <c r="Y85" s="314" t="str">
        <f t="shared" ca="1" si="51"/>
        <v/>
      </c>
      <c r="Z85" s="315" t="str">
        <f t="shared" ca="1" si="52"/>
        <v/>
      </c>
      <c r="AA85" s="316" t="str">
        <f t="shared" ca="1" si="53"/>
        <v/>
      </c>
      <c r="AC85" s="310" t="e">
        <f t="shared" ca="1" si="54"/>
        <v>#N/A</v>
      </c>
      <c r="AD85" s="323" t="e">
        <f t="shared" ca="1" si="55"/>
        <v>#N/A</v>
      </c>
      <c r="AE85" s="324">
        <f t="shared" ca="1" si="34"/>
        <v>25.031376314834272</v>
      </c>
      <c r="AG85" s="306">
        <f t="shared" ca="1" si="56"/>
        <v>74.717331384331345</v>
      </c>
      <c r="AH85" s="304">
        <f t="shared" ca="1" si="57"/>
        <v>84.34364471523925</v>
      </c>
    </row>
    <row r="86" spans="1:34" x14ac:dyDescent="0.2">
      <c r="A86" s="347">
        <f t="shared" ca="1" si="35"/>
        <v>0.01</v>
      </c>
      <c r="B86" s="304">
        <f t="shared" ca="1" si="36"/>
        <v>0.82000000000000051</v>
      </c>
      <c r="D86" s="306">
        <f t="shared" ca="1" si="37"/>
        <v>16.243104276123184</v>
      </c>
      <c r="E86" s="307">
        <f t="shared" ca="1" si="38"/>
        <v>72.812333475386012</v>
      </c>
      <c r="F86" s="304">
        <f t="shared" ca="1" si="39"/>
        <v>74.602106824511523</v>
      </c>
      <c r="G86" s="306">
        <f t="shared" ca="1" si="40"/>
        <v>12.365857250891763</v>
      </c>
      <c r="H86" s="307">
        <f t="shared" ca="1" si="41"/>
        <v>62.802190740240945</v>
      </c>
      <c r="I86" s="304">
        <f t="shared" ca="1" si="42"/>
        <v>64.008043145553501</v>
      </c>
      <c r="J86" s="306">
        <f t="shared" ca="1" si="43"/>
        <v>4.8017486328992707</v>
      </c>
      <c r="K86" s="307">
        <f t="shared" ca="1" si="44"/>
        <v>25.655757605562911</v>
      </c>
      <c r="L86" s="304">
        <f t="shared" ca="1" si="29"/>
        <v>26.101239209067241</v>
      </c>
      <c r="M86" s="306">
        <f t="shared" ca="1" si="45"/>
        <v>1.3763816821676571</v>
      </c>
      <c r="N86" s="304">
        <f t="shared" ca="1" si="46"/>
        <v>78.860861387323439</v>
      </c>
      <c r="P86" s="310">
        <f t="shared" ca="1" si="47"/>
        <v>3</v>
      </c>
      <c r="Q86" s="304">
        <f t="shared" ca="1" si="48"/>
        <v>760.82999999999993</v>
      </c>
      <c r="R86" s="306">
        <f t="shared" ca="1" si="49"/>
        <v>0.3818251286211905</v>
      </c>
      <c r="S86" s="307">
        <f t="shared" ca="1" si="50"/>
        <v>8.8437321583583124</v>
      </c>
      <c r="T86" s="304">
        <f t="shared" ca="1" si="30"/>
        <v>86.757012473495053</v>
      </c>
      <c r="U86" s="311">
        <f t="shared" ca="1" si="31"/>
        <v>0</v>
      </c>
      <c r="V86" s="306">
        <f t="shared" ca="1" si="32"/>
        <v>1.2218611961129033</v>
      </c>
      <c r="W86" s="304">
        <f t="shared" ca="1" si="33"/>
        <v>16.535776955140232</v>
      </c>
      <c r="Y86" s="314" t="str">
        <f t="shared" ca="1" si="51"/>
        <v/>
      </c>
      <c r="Z86" s="315" t="str">
        <f t="shared" ca="1" si="52"/>
        <v/>
      </c>
      <c r="AA86" s="316" t="str">
        <f t="shared" ca="1" si="53"/>
        <v/>
      </c>
      <c r="AC86" s="310" t="e">
        <f t="shared" ca="1" si="54"/>
        <v>#N/A</v>
      </c>
      <c r="AD86" s="323" t="e">
        <f t="shared" ca="1" si="55"/>
        <v>#N/A</v>
      </c>
      <c r="AE86" s="324">
        <f t="shared" ca="1" si="34"/>
        <v>25.655757605562911</v>
      </c>
      <c r="AG86" s="306">
        <f t="shared" ca="1" si="56"/>
        <v>74.578101865599308</v>
      </c>
      <c r="AH86" s="304">
        <f t="shared" ca="1" si="57"/>
        <v>84.20385041934189</v>
      </c>
    </row>
    <row r="87" spans="1:34" x14ac:dyDescent="0.2">
      <c r="A87" s="347">
        <f t="shared" ca="1" si="35"/>
        <v>0.01</v>
      </c>
      <c r="B87" s="304">
        <f t="shared" ca="1" si="36"/>
        <v>0.83000000000000052</v>
      </c>
      <c r="D87" s="306">
        <f t="shared" ca="1" si="37"/>
        <v>16.240407640352682</v>
      </c>
      <c r="E87" s="307">
        <f t="shared" ca="1" si="38"/>
        <v>72.66977941481926</v>
      </c>
      <c r="F87" s="304">
        <f t="shared" ca="1" si="39"/>
        <v>74.462391047583978</v>
      </c>
      <c r="G87" s="306">
        <f t="shared" ca="1" si="40"/>
        <v>12.52826132729529</v>
      </c>
      <c r="H87" s="307">
        <f t="shared" ca="1" si="41"/>
        <v>63.528888534389139</v>
      </c>
      <c r="I87" s="304">
        <f t="shared" ca="1" si="42"/>
        <v>64.752428605418672</v>
      </c>
      <c r="J87" s="306">
        <f t="shared" ca="1" si="43"/>
        <v>4.9262192257902058</v>
      </c>
      <c r="K87" s="307">
        <f t="shared" ca="1" si="44"/>
        <v>26.287413001936063</v>
      </c>
      <c r="L87" s="304">
        <f t="shared" ca="1" si="29"/>
        <v>26.745012959333227</v>
      </c>
      <c r="M87" s="306">
        <f t="shared" ca="1" si="45"/>
        <v>1.3760889957086357</v>
      </c>
      <c r="N87" s="304">
        <f t="shared" ca="1" si="46"/>
        <v>78.844091688500882</v>
      </c>
      <c r="P87" s="310">
        <f t="shared" ca="1" si="47"/>
        <v>3</v>
      </c>
      <c r="Q87" s="304">
        <f t="shared" ca="1" si="48"/>
        <v>759.65</v>
      </c>
      <c r="R87" s="306">
        <f t="shared" ca="1" si="49"/>
        <v>0.38123294159942084</v>
      </c>
      <c r="S87" s="307">
        <f t="shared" ca="1" si="50"/>
        <v>8.8399198289423175</v>
      </c>
      <c r="T87" s="304">
        <f t="shared" ca="1" si="30"/>
        <v>86.719613521924146</v>
      </c>
      <c r="U87" s="311">
        <f t="shared" ca="1" si="31"/>
        <v>0</v>
      </c>
      <c r="V87" s="306">
        <f t="shared" ca="1" si="32"/>
        <v>1.2217840188984339</v>
      </c>
      <c r="W87" s="304">
        <f t="shared" ca="1" si="33"/>
        <v>16.921552132462161</v>
      </c>
      <c r="Y87" s="314" t="str">
        <f t="shared" ca="1" si="51"/>
        <v/>
      </c>
      <c r="Z87" s="315" t="str">
        <f t="shared" ca="1" si="52"/>
        <v/>
      </c>
      <c r="AA87" s="316" t="str">
        <f t="shared" ca="1" si="53"/>
        <v/>
      </c>
      <c r="AC87" s="310" t="e">
        <f t="shared" ca="1" si="54"/>
        <v>#N/A</v>
      </c>
      <c r="AD87" s="323" t="e">
        <f t="shared" ca="1" si="55"/>
        <v>#N/A</v>
      </c>
      <c r="AE87" s="324">
        <f t="shared" ca="1" si="34"/>
        <v>26.287413001936063</v>
      </c>
      <c r="AG87" s="306">
        <f t="shared" ca="1" si="56"/>
        <v>74.438268634503586</v>
      </c>
      <c r="AH87" s="304">
        <f t="shared" ca="1" si="57"/>
        <v>84.063457296509455</v>
      </c>
    </row>
    <row r="88" spans="1:34" x14ac:dyDescent="0.2">
      <c r="A88" s="347">
        <f t="shared" ca="1" si="35"/>
        <v>0.01</v>
      </c>
      <c r="B88" s="304">
        <f t="shared" ca="1" si="36"/>
        <v>0.84000000000000052</v>
      </c>
      <c r="D88" s="306">
        <f t="shared" ca="1" si="37"/>
        <v>16.237269177977918</v>
      </c>
      <c r="E88" s="307">
        <f t="shared" ca="1" si="38"/>
        <v>72.52669754822459</v>
      </c>
      <c r="F88" s="304">
        <f t="shared" ca="1" si="39"/>
        <v>74.322074564760086</v>
      </c>
      <c r="G88" s="306">
        <f t="shared" ca="1" si="40"/>
        <v>12.69063401907507</v>
      </c>
      <c r="H88" s="307">
        <f t="shared" ca="1" si="41"/>
        <v>64.254155509871381</v>
      </c>
      <c r="I88" s="304">
        <f t="shared" ca="1" si="42"/>
        <v>65.49540970245809</v>
      </c>
      <c r="J88" s="306">
        <f t="shared" ca="1" si="43"/>
        <v>5.0523137025220572</v>
      </c>
      <c r="K88" s="307">
        <f t="shared" ca="1" si="44"/>
        <v>26.926328222157366</v>
      </c>
      <c r="L88" s="304">
        <f t="shared" ca="1" si="29"/>
        <v>27.396222828631693</v>
      </c>
      <c r="M88" s="306">
        <f t="shared" ca="1" si="45"/>
        <v>1.3757991993712353</v>
      </c>
      <c r="N88" s="304">
        <f t="shared" ca="1" si="46"/>
        <v>78.827487581449489</v>
      </c>
      <c r="P88" s="310">
        <f t="shared" ca="1" si="47"/>
        <v>3</v>
      </c>
      <c r="Q88" s="304">
        <f t="shared" ca="1" si="48"/>
        <v>758.46999999999991</v>
      </c>
      <c r="R88" s="306">
        <f t="shared" ca="1" si="49"/>
        <v>0.38064075457765117</v>
      </c>
      <c r="S88" s="307">
        <f t="shared" ca="1" si="50"/>
        <v>8.8361134213965418</v>
      </c>
      <c r="T88" s="304">
        <f t="shared" ca="1" si="30"/>
        <v>86.682272663900079</v>
      </c>
      <c r="U88" s="311">
        <f t="shared" ca="1" si="31"/>
        <v>0</v>
      </c>
      <c r="V88" s="306">
        <f t="shared" ca="1" si="32"/>
        <v>1.221705959613417</v>
      </c>
      <c r="W88" s="304">
        <f t="shared" ca="1" si="33"/>
        <v>17.310995816975748</v>
      </c>
      <c r="Y88" s="314" t="str">
        <f t="shared" ca="1" si="51"/>
        <v/>
      </c>
      <c r="Z88" s="315" t="str">
        <f t="shared" ca="1" si="52"/>
        <v/>
      </c>
      <c r="AA88" s="316" t="str">
        <f t="shared" ca="1" si="53"/>
        <v/>
      </c>
      <c r="AC88" s="310" t="e">
        <f t="shared" ca="1" si="54"/>
        <v>#N/A</v>
      </c>
      <c r="AD88" s="323" t="e">
        <f t="shared" ca="1" si="55"/>
        <v>#N/A</v>
      </c>
      <c r="AE88" s="324">
        <f t="shared" ca="1" si="34"/>
        <v>26.926328222157366</v>
      </c>
      <c r="AG88" s="306">
        <f t="shared" ca="1" si="56"/>
        <v>74.297834682439415</v>
      </c>
      <c r="AH88" s="304">
        <f t="shared" ca="1" si="57"/>
        <v>83.922468228156418</v>
      </c>
    </row>
    <row r="89" spans="1:34" x14ac:dyDescent="0.2">
      <c r="A89" s="347">
        <f t="shared" ca="1" si="35"/>
        <v>0.01</v>
      </c>
      <c r="B89" s="304">
        <f t="shared" ca="1" si="36"/>
        <v>0.85000000000000053</v>
      </c>
      <c r="D89" s="306">
        <f t="shared" ca="1" si="37"/>
        <v>16.233695892361698</v>
      </c>
      <c r="E89" s="307">
        <f t="shared" ca="1" si="38"/>
        <v>72.383089706938961</v>
      </c>
      <c r="F89" s="304">
        <f t="shared" ca="1" si="39"/>
        <v>74.181160397020307</v>
      </c>
      <c r="G89" s="306">
        <f t="shared" ca="1" si="40"/>
        <v>12.852970977998687</v>
      </c>
      <c r="H89" s="307">
        <f t="shared" ca="1" si="41"/>
        <v>64.977986406940772</v>
      </c>
      <c r="I89" s="304">
        <f t="shared" ca="1" si="42"/>
        <v>66.236980460025933</v>
      </c>
      <c r="J89" s="306">
        <f t="shared" ca="1" si="43"/>
        <v>5.1800317275074264</v>
      </c>
      <c r="K89" s="307">
        <f t="shared" ca="1" si="44"/>
        <v>27.572488931741425</v>
      </c>
      <c r="L89" s="304">
        <f t="shared" ca="1" si="29"/>
        <v>28.054854741897827</v>
      </c>
      <c r="M89" s="306">
        <f t="shared" ca="1" si="45"/>
        <v>1.3755122264333139</v>
      </c>
      <c r="N89" s="304">
        <f t="shared" ca="1" si="46"/>
        <v>78.811045243272119</v>
      </c>
      <c r="P89" s="310">
        <f t="shared" ca="1" si="47"/>
        <v>3</v>
      </c>
      <c r="Q89" s="304">
        <f t="shared" ca="1" si="48"/>
        <v>757.29</v>
      </c>
      <c r="R89" s="306">
        <f t="shared" ca="1" si="49"/>
        <v>0.38004856755588157</v>
      </c>
      <c r="S89" s="307">
        <f t="shared" ca="1" si="50"/>
        <v>8.8323129357209833</v>
      </c>
      <c r="T89" s="304">
        <f t="shared" ca="1" si="30"/>
        <v>86.644989899422853</v>
      </c>
      <c r="U89" s="311">
        <f t="shared" ca="1" si="31"/>
        <v>0</v>
      </c>
      <c r="V89" s="306">
        <f t="shared" ca="1" si="32"/>
        <v>1.2216270201783017</v>
      </c>
      <c r="W89" s="304">
        <f t="shared" ca="1" si="33"/>
        <v>17.704078018020091</v>
      </c>
      <c r="Y89" s="314" t="str">
        <f t="shared" ca="1" si="51"/>
        <v/>
      </c>
      <c r="Z89" s="315" t="str">
        <f t="shared" ca="1" si="52"/>
        <v/>
      </c>
      <c r="AA89" s="316" t="str">
        <f t="shared" ca="1" si="53"/>
        <v/>
      </c>
      <c r="AC89" s="310" t="e">
        <f t="shared" ca="1" si="54"/>
        <v>#N/A</v>
      </c>
      <c r="AD89" s="323" t="e">
        <f t="shared" ca="1" si="55"/>
        <v>#N/A</v>
      </c>
      <c r="AE89" s="324">
        <f t="shared" ca="1" si="34"/>
        <v>27.572488931741425</v>
      </c>
      <c r="AG89" s="306">
        <f t="shared" ca="1" si="56"/>
        <v>74.156803014536564</v>
      </c>
      <c r="AH89" s="304">
        <f t="shared" ca="1" si="57"/>
        <v>83.780886113114107</v>
      </c>
    </row>
    <row r="90" spans="1:34" x14ac:dyDescent="0.2">
      <c r="A90" s="347">
        <f t="shared" ca="1" si="35"/>
        <v>0.01</v>
      </c>
      <c r="B90" s="304">
        <f t="shared" ca="1" si="36"/>
        <v>0.86000000000000054</v>
      </c>
      <c r="D90" s="306">
        <f t="shared" ca="1" si="37"/>
        <v>16.229694568035896</v>
      </c>
      <c r="E90" s="307">
        <f t="shared" ca="1" si="38"/>
        <v>72.238957772939955</v>
      </c>
      <c r="F90" s="304">
        <f t="shared" ca="1" si="39"/>
        <v>74.039651578680022</v>
      </c>
      <c r="G90" s="306">
        <f t="shared" ca="1" si="40"/>
        <v>13.015267923679046</v>
      </c>
      <c r="H90" s="307">
        <f t="shared" ca="1" si="41"/>
        <v>65.700375984670174</v>
      </c>
      <c r="I90" s="304">
        <f t="shared" ca="1" si="42"/>
        <v>66.977134931647925</v>
      </c>
      <c r="J90" s="306">
        <f t="shared" ca="1" si="43"/>
        <v>5.3093729220158155</v>
      </c>
      <c r="K90" s="307">
        <f t="shared" ca="1" si="44"/>
        <v>28.225880743699481</v>
      </c>
      <c r="L90" s="304">
        <f t="shared" ca="1" si="29"/>
        <v>28.720894564455683</v>
      </c>
      <c r="M90" s="306">
        <f t="shared" ca="1" si="45"/>
        <v>1.3752280124455492</v>
      </c>
      <c r="N90" s="304">
        <f t="shared" ca="1" si="46"/>
        <v>78.794760981294615</v>
      </c>
      <c r="P90" s="310">
        <f t="shared" ca="1" si="47"/>
        <v>3</v>
      </c>
      <c r="Q90" s="304">
        <f t="shared" ca="1" si="48"/>
        <v>756.1099999999999</v>
      </c>
      <c r="R90" s="306">
        <f t="shared" ca="1" si="49"/>
        <v>0.37945638053411185</v>
      </c>
      <c r="S90" s="307">
        <f t="shared" ca="1" si="50"/>
        <v>8.8285183719156421</v>
      </c>
      <c r="T90" s="304">
        <f t="shared" ca="1" si="30"/>
        <v>86.607765228492454</v>
      </c>
      <c r="U90" s="311">
        <f t="shared" ca="1" si="31"/>
        <v>0</v>
      </c>
      <c r="V90" s="306">
        <f t="shared" ca="1" si="32"/>
        <v>1.2215472025213903</v>
      </c>
      <c r="W90" s="304">
        <f t="shared" ca="1" si="33"/>
        <v>18.100768660091454</v>
      </c>
      <c r="Y90" s="314" t="str">
        <f t="shared" ca="1" si="51"/>
        <v/>
      </c>
      <c r="Z90" s="315" t="str">
        <f t="shared" ca="1" si="52"/>
        <v/>
      </c>
      <c r="AA90" s="316" t="str">
        <f t="shared" ca="1" si="53"/>
        <v/>
      </c>
      <c r="AC90" s="310" t="e">
        <f t="shared" ca="1" si="54"/>
        <v>#N/A</v>
      </c>
      <c r="AD90" s="323" t="e">
        <f t="shared" ca="1" si="55"/>
        <v>#N/A</v>
      </c>
      <c r="AE90" s="324">
        <f t="shared" ca="1" si="34"/>
        <v>28.225880743699481</v>
      </c>
      <c r="AG90" s="306">
        <f t="shared" ca="1" si="56"/>
        <v>74.015176649622447</v>
      </c>
      <c r="AH90" s="304">
        <f t="shared" ca="1" si="57"/>
        <v>83.638713867427555</v>
      </c>
    </row>
    <row r="91" spans="1:34" x14ac:dyDescent="0.2">
      <c r="A91" s="347">
        <f t="shared" ca="1" si="35"/>
        <v>0.01</v>
      </c>
      <c r="B91" s="304">
        <f t="shared" ca="1" si="36"/>
        <v>0.87000000000000055</v>
      </c>
      <c r="D91" s="306">
        <f t="shared" ca="1" si="37"/>
        <v>16.225271780924317</v>
      </c>
      <c r="E91" s="307">
        <f t="shared" ca="1" si="38"/>
        <v>72.094303677127556</v>
      </c>
      <c r="F91" s="304">
        <f t="shared" ca="1" si="39"/>
        <v>73.897551157360724</v>
      </c>
      <c r="G91" s="306">
        <f t="shared" ca="1" si="40"/>
        <v>13.177520641488289</v>
      </c>
      <c r="H91" s="307">
        <f t="shared" ca="1" si="41"/>
        <v>66.421319021441448</v>
      </c>
      <c r="I91" s="304">
        <f t="shared" ca="1" si="42"/>
        <v>67.715867201158616</v>
      </c>
      <c r="J91" s="306">
        <f t="shared" ca="1" si="43"/>
        <v>5.4403368648416519</v>
      </c>
      <c r="K91" s="307">
        <f t="shared" ca="1" si="44"/>
        <v>28.886489218730038</v>
      </c>
      <c r="L91" s="304">
        <f t="shared" ca="1" si="29"/>
        <v>29.394328102318681</v>
      </c>
      <c r="M91" s="306">
        <f t="shared" ca="1" si="45"/>
        <v>1.3749464951282482</v>
      </c>
      <c r="N91" s="304">
        <f t="shared" ca="1" si="46"/>
        <v>78.778631227153426</v>
      </c>
      <c r="P91" s="310">
        <f t="shared" ca="1" si="47"/>
        <v>3</v>
      </c>
      <c r="Q91" s="304">
        <f t="shared" ca="1" si="48"/>
        <v>754.93</v>
      </c>
      <c r="R91" s="306">
        <f t="shared" ca="1" si="49"/>
        <v>0.37886419351234224</v>
      </c>
      <c r="S91" s="307">
        <f t="shared" ca="1" si="50"/>
        <v>8.8247297299805183</v>
      </c>
      <c r="T91" s="304">
        <f t="shared" ca="1" si="30"/>
        <v>86.570598651108895</v>
      </c>
      <c r="U91" s="311">
        <f t="shared" ca="1" si="31"/>
        <v>0</v>
      </c>
      <c r="V91" s="306">
        <f t="shared" ca="1" si="32"/>
        <v>1.2214665085787977</v>
      </c>
      <c r="W91" s="304">
        <f t="shared" ca="1" si="33"/>
        <v>18.501037584800262</v>
      </c>
      <c r="Y91" s="314" t="str">
        <f t="shared" ca="1" si="51"/>
        <v/>
      </c>
      <c r="Z91" s="315" t="str">
        <f t="shared" ca="1" si="52"/>
        <v/>
      </c>
      <c r="AA91" s="316" t="str">
        <f t="shared" ca="1" si="53"/>
        <v/>
      </c>
      <c r="AC91" s="310" t="e">
        <f t="shared" ca="1" si="54"/>
        <v>#N/A</v>
      </c>
      <c r="AD91" s="323" t="e">
        <f t="shared" ca="1" si="55"/>
        <v>#N/A</v>
      </c>
      <c r="AE91" s="324">
        <f t="shared" ca="1" si="34"/>
        <v>28.886489218730038</v>
      </c>
      <c r="AG91" s="306">
        <f t="shared" ca="1" si="56"/>
        <v>73.872958620175055</v>
      </c>
      <c r="AH91" s="304">
        <f t="shared" ca="1" si="57"/>
        <v>83.495954424151535</v>
      </c>
    </row>
    <row r="92" spans="1:34" x14ac:dyDescent="0.2">
      <c r="A92" s="347">
        <f t="shared" ca="1" si="35"/>
        <v>0.01</v>
      </c>
      <c r="B92" s="304">
        <f t="shared" ca="1" si="36"/>
        <v>0.88000000000000056</v>
      </c>
      <c r="D92" s="306">
        <f t="shared" ca="1" si="37"/>
        <v>16.220433907980279</v>
      </c>
      <c r="E92" s="307">
        <f t="shared" ca="1" si="38"/>
        <v>71.949129397689418</v>
      </c>
      <c r="F92" s="304">
        <f t="shared" ca="1" si="39"/>
        <v>73.754862193950387</v>
      </c>
      <c r="G92" s="306">
        <f t="shared" ca="1" si="40"/>
        <v>13.339724980568093</v>
      </c>
      <c r="H92" s="307">
        <f t="shared" ca="1" si="41"/>
        <v>67.140810315418349</v>
      </c>
      <c r="I92" s="304">
        <f t="shared" ca="1" si="42"/>
        <v>68.453171382837922</v>
      </c>
      <c r="J92" s="306">
        <f t="shared" ca="1" si="43"/>
        <v>5.5729230929519336</v>
      </c>
      <c r="K92" s="307">
        <f t="shared" ca="1" si="44"/>
        <v>29.554299865414336</v>
      </c>
      <c r="L92" s="304">
        <f t="shared" ca="1" si="29"/>
        <v>30.075141102491717</v>
      </c>
      <c r="M92" s="306">
        <f t="shared" ca="1" si="45"/>
        <v>1.3746676142739784</v>
      </c>
      <c r="N92" s="304">
        <f t="shared" ca="1" si="46"/>
        <v>78.762652531216773</v>
      </c>
      <c r="P92" s="310">
        <f t="shared" ca="1" si="47"/>
        <v>3</v>
      </c>
      <c r="Q92" s="304">
        <f t="shared" ca="1" si="48"/>
        <v>753.74999999999989</v>
      </c>
      <c r="R92" s="306">
        <f t="shared" ca="1" si="49"/>
        <v>0.37827200649057252</v>
      </c>
      <c r="S92" s="307">
        <f t="shared" ca="1" si="50"/>
        <v>8.8209470099156118</v>
      </c>
      <c r="T92" s="304">
        <f t="shared" ca="1" si="30"/>
        <v>86.533490167272163</v>
      </c>
      <c r="U92" s="311">
        <f t="shared" ca="1" si="31"/>
        <v>0</v>
      </c>
      <c r="V92" s="306">
        <f t="shared" ca="1" si="32"/>
        <v>1.2213849402944155</v>
      </c>
      <c r="W92" s="304">
        <f t="shared" ca="1" si="33"/>
        <v>18.90485455282986</v>
      </c>
      <c r="Y92" s="314" t="str">
        <f t="shared" ca="1" si="51"/>
        <v/>
      </c>
      <c r="Z92" s="315" t="str">
        <f t="shared" ca="1" si="52"/>
        <v/>
      </c>
      <c r="AA92" s="316" t="str">
        <f t="shared" ca="1" si="53"/>
        <v/>
      </c>
      <c r="AC92" s="310" t="e">
        <f t="shared" ca="1" si="54"/>
        <v>#N/A</v>
      </c>
      <c r="AD92" s="323" t="e">
        <f t="shared" ca="1" si="55"/>
        <v>#N/A</v>
      </c>
      <c r="AE92" s="324">
        <f t="shared" ca="1" si="34"/>
        <v>29.554299865414336</v>
      </c>
      <c r="AG92" s="306">
        <f t="shared" ca="1" si="56"/>
        <v>73.730151972266</v>
      </c>
      <c r="AH92" s="304">
        <f t="shared" ca="1" si="57"/>
        <v>83.352610733145482</v>
      </c>
    </row>
    <row r="93" spans="1:34" x14ac:dyDescent="0.2">
      <c r="A93" s="347">
        <f t="shared" ca="1" si="35"/>
        <v>0.01</v>
      </c>
      <c r="B93" s="304">
        <f t="shared" ca="1" si="36"/>
        <v>0.89000000000000057</v>
      </c>
      <c r="D93" s="306">
        <f t="shared" ca="1" si="37"/>
        <v>16.215187136278896</v>
      </c>
      <c r="E93" s="307">
        <f t="shared" ca="1" si="38"/>
        <v>71.803436958544324</v>
      </c>
      <c r="F93" s="304">
        <f t="shared" ca="1" si="39"/>
        <v>73.611587762554024</v>
      </c>
      <c r="G93" s="306">
        <f t="shared" ca="1" si="40"/>
        <v>13.501876851930882</v>
      </c>
      <c r="H93" s="307">
        <f t="shared" ca="1" si="41"/>
        <v>67.858844685003788</v>
      </c>
      <c r="I93" s="304">
        <f t="shared" ca="1" si="42"/>
        <v>69.189041621547076</v>
      </c>
      <c r="J93" s="306">
        <f t="shared" ca="1" si="43"/>
        <v>5.7071311021144284</v>
      </c>
      <c r="K93" s="307">
        <f t="shared" ca="1" si="44"/>
        <v>30.229298140416446</v>
      </c>
      <c r="L93" s="304">
        <f t="shared" ca="1" si="29"/>
        <v>30.763319253274787</v>
      </c>
      <c r="M93" s="306">
        <f t="shared" ca="1" si="45"/>
        <v>1.374391311655631</v>
      </c>
      <c r="N93" s="304">
        <f t="shared" ca="1" si="46"/>
        <v>78.746821557317048</v>
      </c>
      <c r="P93" s="310">
        <f t="shared" ca="1" si="47"/>
        <v>3</v>
      </c>
      <c r="Q93" s="304">
        <f t="shared" ca="1" si="48"/>
        <v>752.56999999999994</v>
      </c>
      <c r="R93" s="306">
        <f t="shared" ca="1" si="49"/>
        <v>0.37767981946880291</v>
      </c>
      <c r="S93" s="307">
        <f t="shared" ca="1" si="50"/>
        <v>8.8171702117209243</v>
      </c>
      <c r="T93" s="304">
        <f t="shared" ca="1" si="30"/>
        <v>86.496439776982271</v>
      </c>
      <c r="U93" s="311">
        <f t="shared" ca="1" si="31"/>
        <v>0</v>
      </c>
      <c r="V93" s="306">
        <f t="shared" ca="1" si="32"/>
        <v>1.2213024996198671</v>
      </c>
      <c r="W93" s="304">
        <f t="shared" ca="1" si="33"/>
        <v>19.31218924589685</v>
      </c>
      <c r="Y93" s="314" t="str">
        <f t="shared" ca="1" si="51"/>
        <v/>
      </c>
      <c r="Z93" s="315" t="str">
        <f t="shared" ca="1" si="52"/>
        <v/>
      </c>
      <c r="AA93" s="316" t="str">
        <f t="shared" ca="1" si="53"/>
        <v/>
      </c>
      <c r="AC93" s="310" t="e">
        <f t="shared" ca="1" si="54"/>
        <v>#N/A</v>
      </c>
      <c r="AD93" s="323" t="e">
        <f t="shared" ca="1" si="55"/>
        <v>#N/A</v>
      </c>
      <c r="AE93" s="324">
        <f t="shared" ca="1" si="34"/>
        <v>30.229298140416446</v>
      </c>
      <c r="AG93" s="306">
        <f t="shared" ca="1" si="56"/>
        <v>73.586759765494691</v>
      </c>
      <c r="AH93" s="304">
        <f t="shared" ca="1" si="57"/>
        <v>83.208685760867738</v>
      </c>
    </row>
    <row r="94" spans="1:34" x14ac:dyDescent="0.2">
      <c r="A94" s="347">
        <f t="shared" ca="1" si="35"/>
        <v>0.01</v>
      </c>
      <c r="B94" s="304">
        <f t="shared" ca="1" si="36"/>
        <v>0.90000000000000058</v>
      </c>
      <c r="D94" s="306">
        <f t="shared" ca="1" si="37"/>
        <v>16.209537471600182</v>
      </c>
      <c r="E94" s="307">
        <f t="shared" ca="1" si="38"/>
        <v>71.657228427858314</v>
      </c>
      <c r="F94" s="304">
        <f t="shared" ca="1" si="39"/>
        <v>73.467730950434799</v>
      </c>
      <c r="G94" s="306">
        <f t="shared" ca="1" si="40"/>
        <v>13.663972226646884</v>
      </c>
      <c r="H94" s="307">
        <f t="shared" ca="1" si="41"/>
        <v>68.575416969282372</v>
      </c>
      <c r="I94" s="304">
        <f t="shared" ca="1" si="42"/>
        <v>69.923472092863918</v>
      </c>
      <c r="J94" s="306">
        <f t="shared" ca="1" si="43"/>
        <v>5.8429603475073169</v>
      </c>
      <c r="K94" s="307">
        <f t="shared" ca="1" si="44"/>
        <v>30.911469448687878</v>
      </c>
      <c r="L94" s="304">
        <f t="shared" ca="1" si="29"/>
        <v>31.458848184568151</v>
      </c>
      <c r="M94" s="306">
        <f t="shared" ca="1" si="45"/>
        <v>1.3741175309395524</v>
      </c>
      <c r="N94" s="304">
        <f t="shared" ca="1" si="46"/>
        <v>78.731135077773672</v>
      </c>
      <c r="P94" s="310">
        <f t="shared" ca="1" si="47"/>
        <v>3</v>
      </c>
      <c r="Q94" s="304">
        <f t="shared" ca="1" si="48"/>
        <v>751.38999999999987</v>
      </c>
      <c r="R94" s="306">
        <f t="shared" ca="1" si="49"/>
        <v>0.37708763244703325</v>
      </c>
      <c r="S94" s="307">
        <f t="shared" ca="1" si="50"/>
        <v>8.8133993353964541</v>
      </c>
      <c r="T94" s="304">
        <f t="shared" ca="1" si="30"/>
        <v>86.45944748023922</v>
      </c>
      <c r="U94" s="311">
        <f t="shared" ca="1" si="31"/>
        <v>0</v>
      </c>
      <c r="V94" s="306">
        <f t="shared" ca="1" si="32"/>
        <v>1.2212191885144719</v>
      </c>
      <c r="W94" s="304">
        <f t="shared" ca="1" si="33"/>
        <v>19.723011268712934</v>
      </c>
      <c r="Y94" s="314" t="str">
        <f t="shared" ca="1" si="51"/>
        <v/>
      </c>
      <c r="Z94" s="315" t="str">
        <f t="shared" ca="1" si="52"/>
        <v/>
      </c>
      <c r="AA94" s="316" t="str">
        <f t="shared" ca="1" si="53"/>
        <v/>
      </c>
      <c r="AC94" s="310" t="e">
        <f t="shared" ca="1" si="54"/>
        <v>#N/A</v>
      </c>
      <c r="AD94" s="323" t="e">
        <f t="shared" ca="1" si="55"/>
        <v>#N/A</v>
      </c>
      <c r="AE94" s="324">
        <f t="shared" ca="1" si="34"/>
        <v>30.911469448687878</v>
      </c>
      <c r="AG94" s="306">
        <f t="shared" ca="1" si="56"/>
        <v>73.442785072913964</v>
      </c>
      <c r="AH94" s="304">
        <f t="shared" ca="1" si="57"/>
        <v>83.064182490168747</v>
      </c>
    </row>
    <row r="95" spans="1:34" x14ac:dyDescent="0.2">
      <c r="A95" s="347">
        <f t="shared" ca="1" si="35"/>
        <v>0.01</v>
      </c>
      <c r="B95" s="304">
        <f t="shared" ca="1" si="36"/>
        <v>0.91000000000000059</v>
      </c>
      <c r="D95" s="306">
        <f t="shared" ca="1" si="37"/>
        <v>16.203490746537135</v>
      </c>
      <c r="E95" s="307">
        <f t="shared" ca="1" si="38"/>
        <v>71.510505916629015</v>
      </c>
      <c r="F95" s="304">
        <f t="shared" ca="1" si="39"/>
        <v>73.323294857946394</v>
      </c>
      <c r="G95" s="306">
        <f t="shared" ca="1" si="40"/>
        <v>13.826007134112254</v>
      </c>
      <c r="H95" s="307">
        <f t="shared" ca="1" si="41"/>
        <v>69.290522028448663</v>
      </c>
      <c r="I95" s="304">
        <f t="shared" ca="1" si="42"/>
        <v>70.656457003217</v>
      </c>
      <c r="J95" s="306">
        <f t="shared" ca="1" si="43"/>
        <v>5.9804102443111127</v>
      </c>
      <c r="K95" s="307">
        <f t="shared" ca="1" si="44"/>
        <v>31.600799143676532</v>
      </c>
      <c r="L95" s="304">
        <f t="shared" ca="1" si="29"/>
        <v>32.161713468179038</v>
      </c>
      <c r="M95" s="306">
        <f t="shared" ca="1" si="45"/>
        <v>1.3738462176034139</v>
      </c>
      <c r="N95" s="304">
        <f t="shared" ca="1" si="46"/>
        <v>78.715589968687325</v>
      </c>
      <c r="P95" s="310">
        <f t="shared" ca="1" si="47"/>
        <v>3</v>
      </c>
      <c r="Q95" s="304">
        <f t="shared" ca="1" si="48"/>
        <v>750.20999999999992</v>
      </c>
      <c r="R95" s="306">
        <f t="shared" ca="1" si="49"/>
        <v>0.37649544542526359</v>
      </c>
      <c r="S95" s="307">
        <f t="shared" ca="1" si="50"/>
        <v>8.8096343809422013</v>
      </c>
      <c r="T95" s="304">
        <f t="shared" ca="1" si="30"/>
        <v>86.422513277042995</v>
      </c>
      <c r="U95" s="311">
        <f t="shared" ca="1" si="31"/>
        <v>0</v>
      </c>
      <c r="V95" s="306">
        <f t="shared" ca="1" si="32"/>
        <v>1.2211350089452002</v>
      </c>
      <c r="W95" s="304">
        <f t="shared" ca="1" si="33"/>
        <v>20.137290150947688</v>
      </c>
      <c r="Y95" s="314" t="str">
        <f t="shared" ca="1" si="51"/>
        <v/>
      </c>
      <c r="Z95" s="315" t="str">
        <f t="shared" ca="1" si="52"/>
        <v/>
      </c>
      <c r="AA95" s="316" t="str">
        <f t="shared" ca="1" si="53"/>
        <v/>
      </c>
      <c r="AC95" s="310" t="e">
        <f t="shared" ca="1" si="54"/>
        <v>#N/A</v>
      </c>
      <c r="AD95" s="323" t="e">
        <f t="shared" ca="1" si="55"/>
        <v>#N/A</v>
      </c>
      <c r="AE95" s="324">
        <f t="shared" ca="1" si="34"/>
        <v>31.600799143676532</v>
      </c>
      <c r="AG95" s="306">
        <f t="shared" ca="1" si="56"/>
        <v>73.298230980947594</v>
      </c>
      <c r="AH95" s="304">
        <f t="shared" ca="1" si="57"/>
        <v>82.919103920083515</v>
      </c>
    </row>
    <row r="96" spans="1:34" x14ac:dyDescent="0.2">
      <c r="A96" s="347">
        <f t="shared" ca="1" si="35"/>
        <v>0.01</v>
      </c>
      <c r="B96" s="304">
        <f t="shared" ca="1" si="36"/>
        <v>0.9200000000000006</v>
      </c>
      <c r="D96" s="306">
        <f t="shared" ca="1" si="37"/>
        <v>16.197052628159739</v>
      </c>
      <c r="E96" s="307">
        <f t="shared" ca="1" si="38"/>
        <v>71.363271577333478</v>
      </c>
      <c r="F96" s="304">
        <f t="shared" ca="1" si="39"/>
        <v>73.17828259845696</v>
      </c>
      <c r="G96" s="306">
        <f t="shared" ca="1" si="40"/>
        <v>13.987977660393852</v>
      </c>
      <c r="H96" s="307">
        <f t="shared" ca="1" si="41"/>
        <v>70.004154744221992</v>
      </c>
      <c r="I96" s="304">
        <f t="shared" ca="1" si="42"/>
        <v>71.387990590019101</v>
      </c>
      <c r="J96" s="306">
        <f t="shared" ca="1" si="43"/>
        <v>6.1194801682836433</v>
      </c>
      <c r="K96" s="307">
        <f t="shared" ca="1" si="44"/>
        <v>32.297272527539889</v>
      </c>
      <c r="L96" s="304">
        <f t="shared" ca="1" si="29"/>
        <v>32.871900618129757</v>
      </c>
      <c r="M96" s="306">
        <f t="shared" ca="1" si="45"/>
        <v>1.3735773188585099</v>
      </c>
      <c r="N96" s="304">
        <f t="shared" ca="1" si="46"/>
        <v>78.70018320548796</v>
      </c>
      <c r="P96" s="310">
        <f t="shared" ca="1" si="47"/>
        <v>3</v>
      </c>
      <c r="Q96" s="304">
        <f t="shared" ca="1" si="48"/>
        <v>749.03</v>
      </c>
      <c r="R96" s="306">
        <f t="shared" ca="1" si="49"/>
        <v>0.37590325840349398</v>
      </c>
      <c r="S96" s="307">
        <f t="shared" ca="1" si="50"/>
        <v>8.8058753483581658</v>
      </c>
      <c r="T96" s="304">
        <f t="shared" ca="1" si="30"/>
        <v>86.385637167393611</v>
      </c>
      <c r="U96" s="311">
        <f t="shared" ca="1" si="31"/>
        <v>0</v>
      </c>
      <c r="V96" s="306">
        <f t="shared" ca="1" si="32"/>
        <v>1.2210499628866336</v>
      </c>
      <c r="W96" s="304">
        <f t="shared" ca="1" si="33"/>
        <v>20.554995349192573</v>
      </c>
      <c r="Y96" s="314" t="str">
        <f t="shared" ca="1" si="51"/>
        <v/>
      </c>
      <c r="Z96" s="315" t="str">
        <f t="shared" ca="1" si="52"/>
        <v/>
      </c>
      <c r="AA96" s="316" t="str">
        <f t="shared" ca="1" si="53"/>
        <v/>
      </c>
      <c r="AC96" s="310" t="e">
        <f t="shared" ca="1" si="54"/>
        <v>#N/A</v>
      </c>
      <c r="AD96" s="323" t="e">
        <f t="shared" ca="1" si="55"/>
        <v>#N/A</v>
      </c>
      <c r="AE96" s="324">
        <f t="shared" ca="1" si="34"/>
        <v>32.297272527539889</v>
      </c>
      <c r="AG96" s="306">
        <f t="shared" ca="1" si="56"/>
        <v>73.153100589300493</v>
      </c>
      <c r="AH96" s="304">
        <f t="shared" ca="1" si="57"/>
        <v>82.773453065623116</v>
      </c>
    </row>
    <row r="97" spans="1:34" x14ac:dyDescent="0.2">
      <c r="A97" s="347">
        <f t="shared" ca="1" si="35"/>
        <v>0.01</v>
      </c>
      <c r="B97" s="304">
        <f t="shared" ca="1" si="36"/>
        <v>0.9300000000000006</v>
      </c>
      <c r="D97" s="306">
        <f t="shared" ca="1" si="37"/>
        <v>16.190228625263732</v>
      </c>
      <c r="E97" s="307">
        <f t="shared" ca="1" si="38"/>
        <v>71.21552760263576</v>
      </c>
      <c r="F97" s="304">
        <f t="shared" ca="1" si="39"/>
        <v>73.032697298265546</v>
      </c>
      <c r="G97" s="306">
        <f t="shared" ca="1" si="40"/>
        <v>14.14987994664649</v>
      </c>
      <c r="H97" s="307">
        <f t="shared" ca="1" si="41"/>
        <v>70.716310020248343</v>
      </c>
      <c r="I97" s="304">
        <f t="shared" ca="1" si="42"/>
        <v>72.118067121799541</v>
      </c>
      <c r="J97" s="306">
        <f t="shared" ca="1" si="43"/>
        <v>6.2601694563188452</v>
      </c>
      <c r="K97" s="307">
        <f t="shared" ca="1" si="44"/>
        <v>33.000874851362241</v>
      </c>
      <c r="L97" s="304">
        <f t="shared" ca="1" si="29"/>
        <v>33.589395090967329</v>
      </c>
      <c r="M97" s="306">
        <f t="shared" ca="1" si="45"/>
        <v>1.3733107835762011</v>
      </c>
      <c r="N97" s="304">
        <f t="shared" ca="1" si="46"/>
        <v>78.684911858720326</v>
      </c>
      <c r="P97" s="310">
        <f t="shared" ca="1" si="47"/>
        <v>3</v>
      </c>
      <c r="Q97" s="304">
        <f t="shared" ca="1" si="48"/>
        <v>747.84999999999991</v>
      </c>
      <c r="R97" s="306">
        <f t="shared" ca="1" si="49"/>
        <v>0.37531107138172431</v>
      </c>
      <c r="S97" s="307">
        <f t="shared" ca="1" si="50"/>
        <v>8.8021222376443493</v>
      </c>
      <c r="T97" s="304">
        <f t="shared" ca="1" si="30"/>
        <v>86.348819151291067</v>
      </c>
      <c r="U97" s="311">
        <f t="shared" ca="1" si="31"/>
        <v>0</v>
      </c>
      <c r="V97" s="306">
        <f t="shared" ca="1" si="32"/>
        <v>1.2209640523209215</v>
      </c>
      <c r="W97" s="304">
        <f t="shared" ca="1" si="33"/>
        <v>20.976096248925547</v>
      </c>
      <c r="Y97" s="314" t="str">
        <f t="shared" ca="1" si="51"/>
        <v/>
      </c>
      <c r="Z97" s="315" t="str">
        <f t="shared" ca="1" si="52"/>
        <v/>
      </c>
      <c r="AA97" s="316" t="str">
        <f t="shared" ca="1" si="53"/>
        <v/>
      </c>
      <c r="AC97" s="310" t="e">
        <f t="shared" ca="1" si="54"/>
        <v>#N/A</v>
      </c>
      <c r="AD97" s="323" t="e">
        <f t="shared" ca="1" si="55"/>
        <v>#N/A</v>
      </c>
      <c r="AE97" s="324">
        <f t="shared" ca="1" si="34"/>
        <v>33.000874851362241</v>
      </c>
      <c r="AG97" s="306">
        <f t="shared" ca="1" si="56"/>
        <v>73.007397010861709</v>
      </c>
      <c r="AH97" s="304">
        <f t="shared" ca="1" si="57"/>
        <v>82.627232957565496</v>
      </c>
    </row>
    <row r="98" spans="1:34" x14ac:dyDescent="0.2">
      <c r="A98" s="347">
        <f t="shared" ca="1" si="35"/>
        <v>0.01</v>
      </c>
      <c r="B98" s="304">
        <f t="shared" ca="1" si="36"/>
        <v>0.94000000000000061</v>
      </c>
      <c r="D98" s="306">
        <f t="shared" ca="1" si="37"/>
        <v>16.18302409523082</v>
      </c>
      <c r="E98" s="307">
        <f t="shared" ca="1" si="38"/>
        <v>71.067276224150177</v>
      </c>
      <c r="F98" s="304">
        <f t="shared" ca="1" si="39"/>
        <v>72.886542096511079</v>
      </c>
      <c r="G98" s="306">
        <f t="shared" ca="1" si="40"/>
        <v>14.311710187598798</v>
      </c>
      <c r="H98" s="307">
        <f t="shared" ca="1" si="41"/>
        <v>71.426982782489844</v>
      </c>
      <c r="I98" s="304">
        <f t="shared" ca="1" si="42"/>
        <v>72.846680898335507</v>
      </c>
      <c r="J98" s="306">
        <f t="shared" ca="1" si="43"/>
        <v>6.4024774069900721</v>
      </c>
      <c r="K98" s="307">
        <f t="shared" ca="1" si="44"/>
        <v>33.711591315375934</v>
      </c>
      <c r="L98" s="304">
        <f t="shared" ca="1" si="29"/>
        <v>34.314182286074491</v>
      </c>
      <c r="M98" s="306">
        <f t="shared" ca="1" si="45"/>
        <v>1.373046562218238</v>
      </c>
      <c r="N98" s="304">
        <f t="shared" ca="1" si="46"/>
        <v>78.669773090051834</v>
      </c>
      <c r="P98" s="310">
        <f t="shared" ca="1" si="47"/>
        <v>3</v>
      </c>
      <c r="Q98" s="304">
        <f t="shared" ca="1" si="48"/>
        <v>746.67</v>
      </c>
      <c r="R98" s="306">
        <f t="shared" ca="1" si="49"/>
        <v>0.37471888435995465</v>
      </c>
      <c r="S98" s="307">
        <f t="shared" ca="1" si="50"/>
        <v>8.7983750488007502</v>
      </c>
      <c r="T98" s="304">
        <f t="shared" ca="1" si="30"/>
        <v>86.312059228735365</v>
      </c>
      <c r="U98" s="311">
        <f t="shared" ca="1" si="31"/>
        <v>0</v>
      </c>
      <c r="V98" s="306">
        <f t="shared" ca="1" si="32"/>
        <v>1.2208772792377387</v>
      </c>
      <c r="W98" s="304">
        <f t="shared" ca="1" si="33"/>
        <v>21.400562166476362</v>
      </c>
      <c r="Y98" s="314" t="str">
        <f t="shared" ca="1" si="51"/>
        <v/>
      </c>
      <c r="Z98" s="315" t="str">
        <f t="shared" ca="1" si="52"/>
        <v/>
      </c>
      <c r="AA98" s="316" t="str">
        <f t="shared" ca="1" si="53"/>
        <v/>
      </c>
      <c r="AC98" s="310" t="e">
        <f t="shared" ca="1" si="54"/>
        <v>#N/A</v>
      </c>
      <c r="AD98" s="323" t="e">
        <f t="shared" ca="1" si="55"/>
        <v>#N/A</v>
      </c>
      <c r="AE98" s="324">
        <f t="shared" ca="1" si="34"/>
        <v>33.711591315375934</v>
      </c>
      <c r="AG98" s="306">
        <f t="shared" ca="1" si="56"/>
        <v>72.861123371600897</v>
      </c>
      <c r="AH98" s="304">
        <f t="shared" ca="1" si="57"/>
        <v>82.480446642245511</v>
      </c>
    </row>
    <row r="99" spans="1:34" x14ac:dyDescent="0.2">
      <c r="A99" s="347">
        <f t="shared" ca="1" si="35"/>
        <v>0.01</v>
      </c>
      <c r="B99" s="304">
        <f t="shared" ca="1" si="36"/>
        <v>0.95000000000000062</v>
      </c>
      <c r="D99" s="306">
        <f t="shared" ca="1" si="37"/>
        <v>16.175444250524894</v>
      </c>
      <c r="E99" s="307">
        <f t="shared" ca="1" si="38"/>
        <v>70.918519711256891</v>
      </c>
      <c r="F99" s="304">
        <f t="shared" ca="1" si="39"/>
        <v>72.73982014507439</v>
      </c>
      <c r="G99" s="306">
        <f t="shared" ca="1" si="40"/>
        <v>14.473464630104047</v>
      </c>
      <c r="H99" s="307">
        <f t="shared" ca="1" si="41"/>
        <v>72.136167979602419</v>
      </c>
      <c r="I99" s="304">
        <f t="shared" ca="1" si="42"/>
        <v>73.573826250782218</v>
      </c>
      <c r="J99" s="306">
        <f t="shared" ca="1" si="43"/>
        <v>6.5464032810785859</v>
      </c>
      <c r="K99" s="307">
        <f t="shared" ca="1" si="44"/>
        <v>34.429407069186396</v>
      </c>
      <c r="L99" s="304">
        <f t="shared" ca="1" si="29"/>
        <v>35.046247545982133</v>
      </c>
      <c r="M99" s="306">
        <f t="shared" ca="1" si="45"/>
        <v>1.3727846067707228</v>
      </c>
      <c r="N99" s="304">
        <f t="shared" ca="1" si="46"/>
        <v>78.654764148488752</v>
      </c>
      <c r="P99" s="310">
        <f t="shared" ca="1" si="47"/>
        <v>3</v>
      </c>
      <c r="Q99" s="304">
        <f t="shared" ca="1" si="48"/>
        <v>745.4899999999999</v>
      </c>
      <c r="R99" s="306">
        <f t="shared" ca="1" si="49"/>
        <v>0.37412669733818499</v>
      </c>
      <c r="S99" s="307">
        <f t="shared" ca="1" si="50"/>
        <v>8.7946337818273683</v>
      </c>
      <c r="T99" s="304">
        <f t="shared" ca="1" si="30"/>
        <v>86.275357399726488</v>
      </c>
      <c r="U99" s="311">
        <f t="shared" ca="1" si="31"/>
        <v>0</v>
      </c>
      <c r="V99" s="306">
        <f t="shared" ca="1" si="32"/>
        <v>1.2207896456342429</v>
      </c>
      <c r="W99" s="304">
        <f t="shared" ca="1" si="33"/>
        <v>21.828362350992187</v>
      </c>
      <c r="Y99" s="314" t="str">
        <f t="shared" ca="1" si="51"/>
        <v/>
      </c>
      <c r="Z99" s="315" t="str">
        <f t="shared" ca="1" si="52"/>
        <v/>
      </c>
      <c r="AA99" s="316" t="str">
        <f t="shared" ca="1" si="53"/>
        <v/>
      </c>
      <c r="AC99" s="310" t="e">
        <f t="shared" ca="1" si="54"/>
        <v>#N/A</v>
      </c>
      <c r="AD99" s="323" t="e">
        <f t="shared" ca="1" si="55"/>
        <v>#N/A</v>
      </c>
      <c r="AE99" s="324">
        <f t="shared" ca="1" si="34"/>
        <v>34.429407069186396</v>
      </c>
      <c r="AG99" s="306">
        <f t="shared" ca="1" si="56"/>
        <v>72.714282810458414</v>
      </c>
      <c r="AH99" s="304">
        <f t="shared" ca="1" si="57"/>
        <v>82.333097181343987</v>
      </c>
    </row>
    <row r="100" spans="1:34" x14ac:dyDescent="0.2">
      <c r="A100" s="347">
        <f t="shared" ca="1" si="35"/>
        <v>0.01</v>
      </c>
      <c r="B100" s="304">
        <f t="shared" ca="1" si="36"/>
        <v>0.96000000000000063</v>
      </c>
      <c r="D100" s="306">
        <f t="shared" ca="1" si="37"/>
        <v>16.167494164847191</v>
      </c>
      <c r="E100" s="307">
        <f t="shared" ca="1" si="38"/>
        <v>70.769260369966801</v>
      </c>
      <c r="F100" s="304">
        <f t="shared" ca="1" si="39"/>
        <v>72.592534608474182</v>
      </c>
      <c r="G100" s="306">
        <f t="shared" ca="1" si="40"/>
        <v>14.63513957175252</v>
      </c>
      <c r="H100" s="307">
        <f t="shared" ca="1" si="41"/>
        <v>72.843860583302089</v>
      </c>
      <c r="I100" s="304">
        <f t="shared" ca="1" si="42"/>
        <v>74.299497541801912</v>
      </c>
      <c r="J100" s="306">
        <f t="shared" ca="1" si="43"/>
        <v>6.6919463020878691</v>
      </c>
      <c r="K100" s="307">
        <f t="shared" ca="1" si="44"/>
        <v>35.154307212000916</v>
      </c>
      <c r="L100" s="304">
        <f t="shared" ca="1" si="29"/>
        <v>35.785576156683113</v>
      </c>
      <c r="M100" s="306">
        <f t="shared" ca="1" si="45"/>
        <v>1.3725248706814803</v>
      </c>
      <c r="N100" s="304">
        <f t="shared" ca="1" si="46"/>
        <v>78.63988236678793</v>
      </c>
      <c r="P100" s="310">
        <f t="shared" ca="1" si="47"/>
        <v>3</v>
      </c>
      <c r="Q100" s="304">
        <f t="shared" ca="1" si="48"/>
        <v>744.31</v>
      </c>
      <c r="R100" s="306">
        <f t="shared" ca="1" si="49"/>
        <v>0.37353451031641538</v>
      </c>
      <c r="S100" s="307">
        <f t="shared" ca="1" si="50"/>
        <v>8.7908984367242038</v>
      </c>
      <c r="T100" s="304">
        <f t="shared" ca="1" si="30"/>
        <v>86.238713664264438</v>
      </c>
      <c r="U100" s="311">
        <f t="shared" ca="1" si="31"/>
        <v>0</v>
      </c>
      <c r="V100" s="306">
        <f t="shared" ca="1" si="32"/>
        <v>1.2207011535150296</v>
      </c>
      <c r="W100" s="304">
        <f t="shared" ca="1" si="33"/>
        <v>22.25946598640337</v>
      </c>
      <c r="Y100" s="314" t="str">
        <f t="shared" ca="1" si="51"/>
        <v/>
      </c>
      <c r="Z100" s="315" t="str">
        <f t="shared" ca="1" si="52"/>
        <v/>
      </c>
      <c r="AA100" s="316" t="str">
        <f t="shared" ca="1" si="53"/>
        <v/>
      </c>
      <c r="AC100" s="310" t="e">
        <f t="shared" ca="1" si="54"/>
        <v>#N/A</v>
      </c>
      <c r="AD100" s="323" t="e">
        <f t="shared" ca="1" si="55"/>
        <v>#N/A</v>
      </c>
      <c r="AE100" s="324">
        <f t="shared" ca="1" si="34"/>
        <v>35.154307212000916</v>
      </c>
      <c r="AG100" s="306">
        <f t="shared" ca="1" si="56"/>
        <v>72.566878479229729</v>
      </c>
      <c r="AH100" s="304">
        <f t="shared" ca="1" si="57"/>
        <v>82.185187651676443</v>
      </c>
    </row>
    <row r="101" spans="1:34" x14ac:dyDescent="0.2">
      <c r="A101" s="347">
        <f t="shared" ca="1" si="35"/>
        <v>0.01</v>
      </c>
      <c r="B101" s="304">
        <f t="shared" ca="1" si="36"/>
        <v>0.97000000000000064</v>
      </c>
      <c r="D101" s="306">
        <f t="shared" ca="1" si="37"/>
        <v>16.15917877897153</v>
      </c>
      <c r="E101" s="307">
        <f t="shared" ca="1" si="38"/>
        <v>70.61950054183194</v>
      </c>
      <c r="F101" s="304">
        <f t="shared" ca="1" si="39"/>
        <v>72.444688663756196</v>
      </c>
      <c r="G101" s="306">
        <f t="shared" ca="1" si="40"/>
        <v>14.796731359542235</v>
      </c>
      <c r="H101" s="307">
        <f t="shared" ca="1" si="41"/>
        <v>73.550055588720411</v>
      </c>
      <c r="I101" s="304">
        <f t="shared" ca="1" si="42"/>
        <v>75.023689165691678</v>
      </c>
      <c r="J101" s="306">
        <f t="shared" ca="1" si="43"/>
        <v>6.8391056567443425</v>
      </c>
      <c r="K101" s="307">
        <f t="shared" ca="1" si="44"/>
        <v>35.886276792861025</v>
      </c>
      <c r="L101" s="304">
        <f t="shared" ca="1" si="29"/>
        <v>36.532153347947457</v>
      </c>
      <c r="M101" s="306">
        <f t="shared" ca="1" si="45"/>
        <v>1.3722673088006321</v>
      </c>
      <c r="N101" s="304">
        <f t="shared" ca="1" si="46"/>
        <v>78.625125158051873</v>
      </c>
      <c r="P101" s="310">
        <f t="shared" ca="1" si="47"/>
        <v>3</v>
      </c>
      <c r="Q101" s="304">
        <f t="shared" ca="1" si="48"/>
        <v>743.12999999999988</v>
      </c>
      <c r="R101" s="306">
        <f t="shared" ca="1" si="49"/>
        <v>0.37294232329464566</v>
      </c>
      <c r="S101" s="307">
        <f t="shared" ca="1" si="50"/>
        <v>8.7871690134912566</v>
      </c>
      <c r="T101" s="304">
        <f t="shared" ca="1" si="30"/>
        <v>86.202128022349228</v>
      </c>
      <c r="U101" s="311">
        <f t="shared" ca="1" si="31"/>
        <v>0</v>
      </c>
      <c r="V101" s="306">
        <f t="shared" ca="1" si="32"/>
        <v>1.2206118048920878</v>
      </c>
      <c r="W101" s="304">
        <f t="shared" ca="1" si="33"/>
        <v>22.693842193389262</v>
      </c>
      <c r="Y101" s="314" t="str">
        <f t="shared" ca="1" si="51"/>
        <v/>
      </c>
      <c r="Z101" s="315" t="str">
        <f t="shared" ca="1" si="52"/>
        <v/>
      </c>
      <c r="AA101" s="316" t="str">
        <f t="shared" ca="1" si="53"/>
        <v/>
      </c>
      <c r="AC101" s="310" t="e">
        <f t="shared" ca="1" si="54"/>
        <v>#N/A</v>
      </c>
      <c r="AD101" s="323" t="e">
        <f t="shared" ca="1" si="55"/>
        <v>#N/A</v>
      </c>
      <c r="AE101" s="324">
        <f t="shared" ca="1" si="34"/>
        <v>35.886276792861025</v>
      </c>
      <c r="AG101" s="306">
        <f t="shared" ca="1" si="56"/>
        <v>72.418913542443988</v>
      </c>
      <c r="AH101" s="304">
        <f t="shared" ca="1" si="57"/>
        <v>82.036721144980604</v>
      </c>
    </row>
    <row r="102" spans="1:34" x14ac:dyDescent="0.2">
      <c r="A102" s="347">
        <f t="shared" ca="1" si="35"/>
        <v>0.01</v>
      </c>
      <c r="B102" s="304">
        <f t="shared" ca="1" si="36"/>
        <v>0.98000000000000065</v>
      </c>
      <c r="D102" s="306">
        <f t="shared" ca="1" si="37"/>
        <v>16.150502906279211</v>
      </c>
      <c r="E102" s="307">
        <f t="shared" ca="1" si="38"/>
        <v>70.469242602899797</v>
      </c>
      <c r="F102" s="304">
        <f t="shared" ca="1" si="39"/>
        <v>72.296285500377408</v>
      </c>
      <c r="G102" s="306">
        <f t="shared" ca="1" si="40"/>
        <v>14.958236388605027</v>
      </c>
      <c r="H102" s="307">
        <f t="shared" ca="1" si="41"/>
        <v>74.25474801474941</v>
      </c>
      <c r="I102" s="304">
        <f t="shared" ca="1" si="42"/>
        <v>75.746395548509881</v>
      </c>
      <c r="J102" s="306">
        <f t="shared" ca="1" si="43"/>
        <v>6.9878804954850784</v>
      </c>
      <c r="K102" s="307">
        <f t="shared" ca="1" si="44"/>
        <v>36.625300810878372</v>
      </c>
      <c r="L102" s="304">
        <f t="shared" ca="1" si="29"/>
        <v>37.28596429363882</v>
      </c>
      <c r="M102" s="306">
        <f t="shared" ca="1" si="45"/>
        <v>1.3720118773241732</v>
      </c>
      <c r="N102" s="304">
        <f t="shared" ca="1" si="46"/>
        <v>78.610490012495973</v>
      </c>
      <c r="P102" s="310">
        <f t="shared" ca="1" si="47"/>
        <v>3</v>
      </c>
      <c r="Q102" s="304">
        <f t="shared" ca="1" si="48"/>
        <v>741.94999999999993</v>
      </c>
      <c r="R102" s="306">
        <f t="shared" ca="1" si="49"/>
        <v>0.37235013627287605</v>
      </c>
      <c r="S102" s="307">
        <f t="shared" ca="1" si="50"/>
        <v>8.7834455121285284</v>
      </c>
      <c r="T102" s="304">
        <f t="shared" ca="1" si="30"/>
        <v>86.165600473980874</v>
      </c>
      <c r="U102" s="311">
        <f t="shared" ca="1" si="31"/>
        <v>0</v>
      </c>
      <c r="V102" s="306">
        <f t="shared" ca="1" si="32"/>
        <v>1.2205216017847564</v>
      </c>
      <c r="W102" s="304">
        <f t="shared" ca="1" si="33"/>
        <v>23.131460031343778</v>
      </c>
      <c r="Y102" s="314" t="str">
        <f t="shared" ca="1" si="51"/>
        <v/>
      </c>
      <c r="Z102" s="315" t="str">
        <f t="shared" ca="1" si="52"/>
        <v/>
      </c>
      <c r="AA102" s="316" t="str">
        <f t="shared" ca="1" si="53"/>
        <v/>
      </c>
      <c r="AC102" s="310" t="e">
        <f t="shared" ca="1" si="54"/>
        <v>#N/A</v>
      </c>
      <c r="AD102" s="323" t="e">
        <f t="shared" ca="1" si="55"/>
        <v>#N/A</v>
      </c>
      <c r="AE102" s="324">
        <f t="shared" ca="1" si="34"/>
        <v>36.625300810878372</v>
      </c>
      <c r="AG102" s="306">
        <f t="shared" ca="1" si="56"/>
        <v>72.270391177237656</v>
      </c>
      <c r="AH102" s="304">
        <f t="shared" ca="1" si="57"/>
        <v>81.887700767703663</v>
      </c>
    </row>
    <row r="103" spans="1:34" x14ac:dyDescent="0.2">
      <c r="A103" s="347">
        <f t="shared" ca="1" si="35"/>
        <v>0.01</v>
      </c>
      <c r="B103" s="304">
        <f t="shared" ca="1" si="36"/>
        <v>0.99000000000000066</v>
      </c>
      <c r="D103" s="306">
        <f t="shared" ca="1" si="37"/>
        <v>16.141471238012102</v>
      </c>
      <c r="E103" s="307">
        <f t="shared" ca="1" si="38"/>
        <v>70.318488962707903</v>
      </c>
      <c r="F103" s="304">
        <f t="shared" ca="1" si="39"/>
        <v>72.147328320084355</v>
      </c>
      <c r="G103" s="306">
        <f t="shared" ca="1" si="40"/>
        <v>15.119651100985148</v>
      </c>
      <c r="H103" s="307">
        <f t="shared" ca="1" si="41"/>
        <v>74.957932904376491</v>
      </c>
      <c r="I103" s="304">
        <f t="shared" ca="1" si="42"/>
        <v>76.467611148201357</v>
      </c>
      <c r="J103" s="306">
        <f t="shared" ca="1" si="43"/>
        <v>7.1382699329330297</v>
      </c>
      <c r="K103" s="307">
        <f t="shared" ca="1" si="44"/>
        <v>37.371364215474003</v>
      </c>
      <c r="L103" s="304">
        <f t="shared" ca="1" si="29"/>
        <v>38.04699411203238</v>
      </c>
      <c r="M103" s="306">
        <f t="shared" ca="1" si="45"/>
        <v>1.3717585337403764</v>
      </c>
      <c r="N103" s="304">
        <f t="shared" ca="1" si="46"/>
        <v>78.5959744943777</v>
      </c>
      <c r="P103" s="310">
        <f t="shared" ca="1" si="47"/>
        <v>3</v>
      </c>
      <c r="Q103" s="304">
        <f t="shared" ca="1" si="48"/>
        <v>740.77</v>
      </c>
      <c r="R103" s="306">
        <f t="shared" ca="1" si="49"/>
        <v>0.37175794925110639</v>
      </c>
      <c r="S103" s="307">
        <f t="shared" ca="1" si="50"/>
        <v>8.7797279326360176</v>
      </c>
      <c r="T103" s="304">
        <f t="shared" ca="1" si="30"/>
        <v>86.129131019159331</v>
      </c>
      <c r="U103" s="311">
        <f t="shared" ca="1" si="31"/>
        <v>0</v>
      </c>
      <c r="V103" s="306">
        <f t="shared" ca="1" si="32"/>
        <v>1.2204305462196794</v>
      </c>
      <c r="W103" s="304">
        <f t="shared" ca="1" si="33"/>
        <v>23.572288500340488</v>
      </c>
      <c r="Y103" s="314" t="str">
        <f t="shared" ca="1" si="51"/>
        <v/>
      </c>
      <c r="Z103" s="315" t="str">
        <f t="shared" ca="1" si="52"/>
        <v/>
      </c>
      <c r="AA103" s="316" t="str">
        <f t="shared" ca="1" si="53"/>
        <v/>
      </c>
      <c r="AC103" s="310" t="e">
        <f t="shared" ca="1" si="54"/>
        <v>#N/A</v>
      </c>
      <c r="AD103" s="323" t="e">
        <f t="shared" ca="1" si="55"/>
        <v>#N/A</v>
      </c>
      <c r="AE103" s="324">
        <f t="shared" ca="1" si="34"/>
        <v>37.371364215474003</v>
      </c>
      <c r="AG103" s="306">
        <f t="shared" ca="1" si="56"/>
        <v>72.121314573223088</v>
      </c>
      <c r="AH103" s="304">
        <f t="shared" ca="1" si="57"/>
        <v>81.738129640788657</v>
      </c>
    </row>
    <row r="104" spans="1:34" x14ac:dyDescent="0.2">
      <c r="A104" s="347">
        <f t="shared" ca="1" si="35"/>
        <v>0.01</v>
      </c>
      <c r="B104" s="304">
        <f t="shared" ca="1" si="36"/>
        <v>1.0000000000000007</v>
      </c>
      <c r="D104" s="306">
        <f t="shared" ca="1" si="37"/>
        <v>16.132088348260471</v>
      </c>
      <c r="E104" s="307">
        <f t="shared" ca="1" si="38"/>
        <v>70.167242063316664</v>
      </c>
      <c r="F104" s="304">
        <f t="shared" ca="1" si="39"/>
        <v>71.99782033678629</v>
      </c>
      <c r="G104" s="306">
        <f t="shared" ca="1" si="40"/>
        <v>15.280971984467753</v>
      </c>
      <c r="H104" s="307">
        <f t="shared" ca="1" si="41"/>
        <v>75.659605325009665</v>
      </c>
      <c r="I104" s="304">
        <f t="shared" ca="1" si="42"/>
        <v>77.187330454721121</v>
      </c>
      <c r="J104" s="306">
        <f t="shared" ca="1" si="43"/>
        <v>7.2902730483602944</v>
      </c>
      <c r="K104" s="307">
        <f t="shared" ca="1" si="44"/>
        <v>38.124451906620934</v>
      </c>
      <c r="L104" s="304">
        <f t="shared" ca="1" si="29"/>
        <v>38.815227866133945</v>
      </c>
      <c r="M104" s="306">
        <f t="shared" ca="1" si="45"/>
        <v>1.3715072367788506</v>
      </c>
      <c r="N104" s="304">
        <f t="shared" ca="1" si="46"/>
        <v>78.581576239077819</v>
      </c>
      <c r="P104" s="310">
        <f t="shared" ca="1" si="47"/>
        <v>3</v>
      </c>
      <c r="Q104" s="304">
        <f t="shared" ca="1" si="48"/>
        <v>739.58999999999992</v>
      </c>
      <c r="R104" s="306">
        <f t="shared" ca="1" si="49"/>
        <v>0.37116576222933673</v>
      </c>
      <c r="S104" s="307">
        <f t="shared" ca="1" si="50"/>
        <v>8.7760162750137241</v>
      </c>
      <c r="T104" s="304">
        <f t="shared" ca="1" si="30"/>
        <v>86.092719657884643</v>
      </c>
      <c r="U104" s="311">
        <f t="shared" ca="1" si="31"/>
        <v>0</v>
      </c>
      <c r="V104" s="306">
        <f t="shared" ca="1" si="32"/>
        <v>1.2203386402307563</v>
      </c>
      <c r="W104" s="304">
        <f t="shared" ca="1" si="33"/>
        <v>24.016296543097031</v>
      </c>
      <c r="Y104" s="314" t="str">
        <f t="shared" ca="1" si="51"/>
        <v/>
      </c>
      <c r="Z104" s="315" t="str">
        <f t="shared" ca="1" si="52"/>
        <v/>
      </c>
      <c r="AA104" s="316" t="str">
        <f t="shared" ca="1" si="53"/>
        <v/>
      </c>
      <c r="AC104" s="310">
        <f t="shared" ca="1" si="54"/>
        <v>1.0000000000000007</v>
      </c>
      <c r="AD104" s="323">
        <f t="shared" ca="1" si="55"/>
        <v>7.2902730483602944</v>
      </c>
      <c r="AE104" s="324">
        <f t="shared" ca="1" si="34"/>
        <v>38.124451906620934</v>
      </c>
      <c r="AG104" s="306">
        <f t="shared" ca="1" si="56"/>
        <v>71.971686932352299</v>
      </c>
      <c r="AH104" s="304">
        <f t="shared" ca="1" si="57"/>
        <v>81.588010899460158</v>
      </c>
    </row>
    <row r="105" spans="1:34" x14ac:dyDescent="0.2">
      <c r="A105" s="347">
        <f t="shared" ca="1" si="35"/>
        <v>0.01</v>
      </c>
      <c r="B105" s="304">
        <f t="shared" ca="1" si="36"/>
        <v>1.0100000000000007</v>
      </c>
      <c r="D105" s="306">
        <f t="shared" ca="1" si="37"/>
        <v>16.11761750540186</v>
      </c>
      <c r="E105" s="307">
        <f t="shared" ca="1" si="38"/>
        <v>69.992029640370802</v>
      </c>
      <c r="F105" s="304">
        <f t="shared" ca="1" si="39"/>
        <v>71.823824788359616</v>
      </c>
      <c r="G105" s="306">
        <f t="shared" ca="1" si="40"/>
        <v>15.442148159521771</v>
      </c>
      <c r="H105" s="307">
        <f t="shared" ca="1" si="41"/>
        <v>76.359525621413368</v>
      </c>
      <c r="I105" s="304">
        <f t="shared" ca="1" si="42"/>
        <v>77.905308502745214</v>
      </c>
      <c r="J105" s="306">
        <f t="shared" ca="1" si="43"/>
        <v>7.4438886490802423</v>
      </c>
      <c r="K105" s="307">
        <f t="shared" ca="1" si="44"/>
        <v>38.884547561353045</v>
      </c>
      <c r="L105" s="304">
        <f t="shared" ca="1" si="29"/>
        <v>39.590649366624852</v>
      </c>
      <c r="M105" s="306">
        <f t="shared" ca="1" si="45"/>
        <v>1.3712579455957585</v>
      </c>
      <c r="N105" s="304">
        <f t="shared" ca="1" si="46"/>
        <v>78.56729290641681</v>
      </c>
      <c r="P105" s="310">
        <f t="shared" ca="1" si="47"/>
        <v>4</v>
      </c>
      <c r="Q105" s="304">
        <f t="shared" ca="1" si="48"/>
        <v>738.19999999999982</v>
      </c>
      <c r="R105" s="306">
        <f t="shared" ca="1" si="49"/>
        <v>0.37046818599182835</v>
      </c>
      <c r="S105" s="307">
        <f t="shared" ca="1" si="50"/>
        <v>8.7723115931538054</v>
      </c>
      <c r="T105" s="304">
        <f t="shared" ca="1" si="30"/>
        <v>86.056376728838842</v>
      </c>
      <c r="U105" s="311">
        <f t="shared" ca="1" si="31"/>
        <v>0</v>
      </c>
      <c r="V105" s="306">
        <f t="shared" ca="1" si="32"/>
        <v>1.2202458860023271</v>
      </c>
      <c r="W105" s="304">
        <f t="shared" ca="1" si="33"/>
        <v>24.46330264511651</v>
      </c>
      <c r="Y105" s="314" t="str">
        <f t="shared" ca="1" si="51"/>
        <v/>
      </c>
      <c r="Z105" s="315" t="str">
        <f t="shared" ca="1" si="52"/>
        <v/>
      </c>
      <c r="AA105" s="316" t="str">
        <f t="shared" ca="1" si="53"/>
        <v/>
      </c>
      <c r="AC105" s="310" t="e">
        <f t="shared" ca="1" si="54"/>
        <v>#N/A</v>
      </c>
      <c r="AD105" s="323" t="e">
        <f t="shared" ca="1" si="55"/>
        <v>#N/A</v>
      </c>
      <c r="AE105" s="324">
        <f t="shared" ca="1" si="34"/>
        <v>38.884547561353045</v>
      </c>
      <c r="AG105" s="306">
        <f t="shared" ca="1" si="56"/>
        <v>71.797562726879875</v>
      </c>
      <c r="AH105" s="304">
        <f t="shared" ca="1" si="57"/>
        <v>81.413398951112811</v>
      </c>
    </row>
    <row r="106" spans="1:34" x14ac:dyDescent="0.2">
      <c r="A106" s="347">
        <f t="shared" ca="1" si="35"/>
        <v>0.01</v>
      </c>
      <c r="B106" s="304">
        <f t="shared" ca="1" si="36"/>
        <v>1.0200000000000007</v>
      </c>
      <c r="D106" s="306">
        <f t="shared" ca="1" si="37"/>
        <v>16.098041038982227</v>
      </c>
      <c r="E106" s="307">
        <f t="shared" ca="1" si="38"/>
        <v>69.792835335624403</v>
      </c>
      <c r="F106" s="304">
        <f t="shared" ca="1" si="39"/>
        <v>71.625322264394313</v>
      </c>
      <c r="G106" s="306">
        <f t="shared" ca="1" si="40"/>
        <v>15.603128569911593</v>
      </c>
      <c r="H106" s="307">
        <f t="shared" ca="1" si="41"/>
        <v>77.057453974769615</v>
      </c>
      <c r="I106" s="304">
        <f t="shared" ca="1" si="42"/>
        <v>78.621300130708391</v>
      </c>
      <c r="J106" s="306">
        <f t="shared" ca="1" si="43"/>
        <v>7.5991150327274095</v>
      </c>
      <c r="K106" s="307">
        <f t="shared" ca="1" si="44"/>
        <v>39.65163245933396</v>
      </c>
      <c r="L106" s="304">
        <f t="shared" ca="1" si="29"/>
        <v>40.373239973659906</v>
      </c>
      <c r="M106" s="306">
        <f t="shared" ca="1" si="45"/>
        <v>1.3710106197779621</v>
      </c>
      <c r="N106" s="304">
        <f t="shared" ca="1" si="46"/>
        <v>78.553122180892458</v>
      </c>
      <c r="P106" s="310">
        <f t="shared" ca="1" si="47"/>
        <v>4</v>
      </c>
      <c r="Q106" s="304">
        <f t="shared" ca="1" si="48"/>
        <v>736.59999999999991</v>
      </c>
      <c r="R106" s="306">
        <f t="shared" ca="1" si="49"/>
        <v>0.36966522053858142</v>
      </c>
      <c r="S106" s="307">
        <f t="shared" ca="1" si="50"/>
        <v>8.7686149409484191</v>
      </c>
      <c r="T106" s="304">
        <f t="shared" ca="1" si="30"/>
        <v>86.020112570704001</v>
      </c>
      <c r="U106" s="311">
        <f t="shared" ca="1" si="31"/>
        <v>0</v>
      </c>
      <c r="V106" s="306">
        <f t="shared" ca="1" si="32"/>
        <v>1.220152286012397</v>
      </c>
      <c r="W106" s="304">
        <f t="shared" ca="1" si="33"/>
        <v>24.913119614331045</v>
      </c>
      <c r="Y106" s="314" t="str">
        <f t="shared" ca="1" si="51"/>
        <v/>
      </c>
      <c r="Z106" s="315" t="str">
        <f t="shared" ca="1" si="52"/>
        <v/>
      </c>
      <c r="AA106" s="316" t="str">
        <f t="shared" ca="1" si="53"/>
        <v/>
      </c>
      <c r="AC106" s="310" t="e">
        <f t="shared" ca="1" si="54"/>
        <v>#N/A</v>
      </c>
      <c r="AD106" s="323" t="e">
        <f t="shared" ca="1" si="55"/>
        <v>#N/A</v>
      </c>
      <c r="AE106" s="324">
        <f t="shared" ca="1" si="34"/>
        <v>39.65163245933396</v>
      </c>
      <c r="AG106" s="306">
        <f t="shared" ca="1" si="56"/>
        <v>71.598922332836494</v>
      </c>
      <c r="AH106" s="304">
        <f t="shared" ca="1" si="57"/>
        <v>81.214274107223844</v>
      </c>
    </row>
    <row r="107" spans="1:34" x14ac:dyDescent="0.2">
      <c r="A107" s="347">
        <f t="shared" ca="1" si="35"/>
        <v>0.01</v>
      </c>
      <c r="B107" s="304">
        <f t="shared" ca="1" si="36"/>
        <v>1.0300000000000007</v>
      </c>
      <c r="D107" s="306">
        <f t="shared" ca="1" si="37"/>
        <v>16.078098496361029</v>
      </c>
      <c r="E107" s="307">
        <f t="shared" ca="1" si="38"/>
        <v>69.593135681024037</v>
      </c>
      <c r="F107" s="304">
        <f t="shared" ca="1" si="39"/>
        <v>71.426254172930754</v>
      </c>
      <c r="G107" s="306">
        <f t="shared" ca="1" si="40"/>
        <v>15.763909554875204</v>
      </c>
      <c r="H107" s="307">
        <f t="shared" ca="1" si="41"/>
        <v>77.75338533157985</v>
      </c>
      <c r="I107" s="304">
        <f t="shared" ca="1" si="42"/>
        <v>79.335299677857279</v>
      </c>
      <c r="J107" s="306">
        <f t="shared" ca="1" si="43"/>
        <v>7.7559502233513431</v>
      </c>
      <c r="K107" s="307">
        <f t="shared" ca="1" si="44"/>
        <v>40.425686655865711</v>
      </c>
      <c r="L107" s="304">
        <f t="shared" ca="1" si="29"/>
        <v>41.162979793320879</v>
      </c>
      <c r="M107" s="306">
        <f t="shared" ca="1" si="45"/>
        <v>1.370765220087286</v>
      </c>
      <c r="N107" s="304">
        <f t="shared" ca="1" si="46"/>
        <v>78.539061814322906</v>
      </c>
      <c r="P107" s="310">
        <f t="shared" ca="1" si="47"/>
        <v>4</v>
      </c>
      <c r="Q107" s="304">
        <f t="shared" ca="1" si="48"/>
        <v>734.99999999999989</v>
      </c>
      <c r="R107" s="306">
        <f t="shared" ca="1" si="49"/>
        <v>0.36886225508533443</v>
      </c>
      <c r="S107" s="307">
        <f t="shared" ca="1" si="50"/>
        <v>8.7649263183975652</v>
      </c>
      <c r="T107" s="304">
        <f t="shared" ca="1" si="30"/>
        <v>85.98392718348012</v>
      </c>
      <c r="U107" s="311">
        <f t="shared" ca="1" si="31"/>
        <v>0</v>
      </c>
      <c r="V107" s="306">
        <f t="shared" ca="1" si="32"/>
        <v>1.2200578428893945</v>
      </c>
      <c r="W107" s="304">
        <f t="shared" ca="1" si="33"/>
        <v>25.365707888777919</v>
      </c>
      <c r="Y107" s="314" t="str">
        <f t="shared" ca="1" si="51"/>
        <v/>
      </c>
      <c r="Z107" s="315" t="str">
        <f t="shared" ca="1" si="52"/>
        <v/>
      </c>
      <c r="AA107" s="316" t="str">
        <f t="shared" ca="1" si="53"/>
        <v/>
      </c>
      <c r="AC107" s="310" t="e">
        <f t="shared" ca="1" si="54"/>
        <v>#N/A</v>
      </c>
      <c r="AD107" s="323" t="e">
        <f t="shared" ca="1" si="55"/>
        <v>#N/A</v>
      </c>
      <c r="AE107" s="324">
        <f t="shared" ca="1" si="34"/>
        <v>40.425686655865711</v>
      </c>
      <c r="AG107" s="306">
        <f t="shared" ca="1" si="56"/>
        <v>71.399715832303556</v>
      </c>
      <c r="AH107" s="304">
        <f t="shared" ca="1" si="57"/>
        <v>81.014586385649096</v>
      </c>
    </row>
    <row r="108" spans="1:34" x14ac:dyDescent="0.2">
      <c r="A108" s="347">
        <f t="shared" ca="1" si="35"/>
        <v>0.01</v>
      </c>
      <c r="B108" s="304">
        <f t="shared" ca="1" si="36"/>
        <v>1.0400000000000007</v>
      </c>
      <c r="D108" s="306">
        <f t="shared" ca="1" si="37"/>
        <v>16.057794624556525</v>
      </c>
      <c r="E108" s="307">
        <f t="shared" ca="1" si="38"/>
        <v>69.392934314754754</v>
      </c>
      <c r="F108" s="304">
        <f t="shared" ca="1" si="39"/>
        <v>71.226624944723483</v>
      </c>
      <c r="G108" s="306">
        <f t="shared" ca="1" si="40"/>
        <v>15.924487501120769</v>
      </c>
      <c r="H108" s="307">
        <f t="shared" ca="1" si="41"/>
        <v>78.447314674727394</v>
      </c>
      <c r="I108" s="304">
        <f t="shared" ca="1" si="42"/>
        <v>80.047301527590875</v>
      </c>
      <c r="J108" s="306">
        <f t="shared" ca="1" si="43"/>
        <v>7.9143922086313232</v>
      </c>
      <c r="K108" s="307">
        <f t="shared" ca="1" si="44"/>
        <v>41.206690155897249</v>
      </c>
      <c r="L108" s="304">
        <f t="shared" ca="1" si="29"/>
        <v>41.959848875277942</v>
      </c>
      <c r="M108" s="306">
        <f t="shared" ca="1" si="45"/>
        <v>1.3705217084147867</v>
      </c>
      <c r="N108" s="304">
        <f t="shared" ca="1" si="46"/>
        <v>78.525109623226527</v>
      </c>
      <c r="P108" s="310">
        <f t="shared" ca="1" si="47"/>
        <v>4</v>
      </c>
      <c r="Q108" s="304">
        <f t="shared" ca="1" si="48"/>
        <v>733.39999999999986</v>
      </c>
      <c r="R108" s="306">
        <f t="shared" ca="1" si="49"/>
        <v>0.36805928963208739</v>
      </c>
      <c r="S108" s="307">
        <f t="shared" ca="1" si="50"/>
        <v>8.7612457255012437</v>
      </c>
      <c r="T108" s="304">
        <f t="shared" ca="1" si="30"/>
        <v>85.947820567167199</v>
      </c>
      <c r="U108" s="311">
        <f t="shared" ca="1" si="31"/>
        <v>0</v>
      </c>
      <c r="V108" s="306">
        <f t="shared" ca="1" si="32"/>
        <v>1.2199625592688719</v>
      </c>
      <c r="W108" s="304">
        <f t="shared" ca="1" si="33"/>
        <v>25.821027904369398</v>
      </c>
      <c r="Y108" s="314" t="str">
        <f t="shared" ca="1" si="51"/>
        <v/>
      </c>
      <c r="Z108" s="315" t="str">
        <f t="shared" ca="1" si="52"/>
        <v/>
      </c>
      <c r="AA108" s="316" t="str">
        <f t="shared" ca="1" si="53"/>
        <v/>
      </c>
      <c r="AC108" s="310" t="e">
        <f t="shared" ca="1" si="54"/>
        <v>#N/A</v>
      </c>
      <c r="AD108" s="323" t="e">
        <f t="shared" ca="1" si="55"/>
        <v>#N/A</v>
      </c>
      <c r="AE108" s="324">
        <f t="shared" ca="1" si="34"/>
        <v>41.206690155897249</v>
      </c>
      <c r="AG108" s="306">
        <f t="shared" ca="1" si="56"/>
        <v>71.199947641377193</v>
      </c>
      <c r="AH108" s="304">
        <f t="shared" ca="1" si="57"/>
        <v>80.814340140050604</v>
      </c>
    </row>
    <row r="109" spans="1:34" x14ac:dyDescent="0.2">
      <c r="A109" s="347">
        <f t="shared" ca="1" si="35"/>
        <v>0.01</v>
      </c>
      <c r="B109" s="304">
        <f t="shared" ca="1" si="36"/>
        <v>1.0500000000000007</v>
      </c>
      <c r="D109" s="306">
        <f t="shared" ca="1" si="37"/>
        <v>16.037134062344034</v>
      </c>
      <c r="E109" s="307">
        <f t="shared" ca="1" si="38"/>
        <v>69.192234902752688</v>
      </c>
      <c r="F109" s="304">
        <f t="shared" ca="1" si="39"/>
        <v>71.026439019363082</v>
      </c>
      <c r="G109" s="306">
        <f t="shared" ca="1" si="40"/>
        <v>16.084858841744211</v>
      </c>
      <c r="H109" s="307">
        <f t="shared" ca="1" si="41"/>
        <v>79.139237023754916</v>
      </c>
      <c r="I109" s="304">
        <f t="shared" ca="1" si="42"/>
        <v>80.757300107550009</v>
      </c>
      <c r="J109" s="306">
        <f t="shared" ca="1" si="43"/>
        <v>8.0744389403456474</v>
      </c>
      <c r="K109" s="307">
        <f t="shared" ca="1" si="44"/>
        <v>41.994622914389659</v>
      </c>
      <c r="L109" s="304">
        <f t="shared" ca="1" si="29"/>
        <v>42.763827213231878</v>
      </c>
      <c r="M109" s="306">
        <f t="shared" ca="1" si="45"/>
        <v>1.3702800477372359</v>
      </c>
      <c r="N109" s="304">
        <f t="shared" ca="1" si="46"/>
        <v>78.511263486328588</v>
      </c>
      <c r="P109" s="310">
        <f t="shared" ca="1" si="47"/>
        <v>4</v>
      </c>
      <c r="Q109" s="304">
        <f t="shared" ca="1" si="48"/>
        <v>731.79999999999984</v>
      </c>
      <c r="R109" s="306">
        <f t="shared" ca="1" si="49"/>
        <v>0.36725632417884041</v>
      </c>
      <c r="S109" s="307">
        <f t="shared" ca="1" si="50"/>
        <v>8.7575731622594546</v>
      </c>
      <c r="T109" s="304">
        <f t="shared" ca="1" si="30"/>
        <v>85.911792721765252</v>
      </c>
      <c r="U109" s="311">
        <f t="shared" ca="1" si="31"/>
        <v>0</v>
      </c>
      <c r="V109" s="306">
        <f t="shared" ca="1" si="32"/>
        <v>1.2198664377934409</v>
      </c>
      <c r="W109" s="304">
        <f t="shared" ca="1" si="33"/>
        <v>26.27904009746203</v>
      </c>
      <c r="Y109" s="314" t="str">
        <f t="shared" ca="1" si="51"/>
        <v/>
      </c>
      <c r="Z109" s="315" t="str">
        <f t="shared" ca="1" si="52"/>
        <v/>
      </c>
      <c r="AA109" s="316" t="str">
        <f t="shared" ca="1" si="53"/>
        <v/>
      </c>
      <c r="AC109" s="310" t="e">
        <f t="shared" ca="1" si="54"/>
        <v>#N/A</v>
      </c>
      <c r="AD109" s="323" t="e">
        <f t="shared" ca="1" si="55"/>
        <v>#N/A</v>
      </c>
      <c r="AE109" s="324">
        <f t="shared" ca="1" si="34"/>
        <v>41.994622914389659</v>
      </c>
      <c r="AG109" s="306">
        <f t="shared" ca="1" si="56"/>
        <v>70.999622185072042</v>
      </c>
      <c r="AH109" s="304">
        <f t="shared" ca="1" si="57"/>
        <v>80.613539734732598</v>
      </c>
    </row>
    <row r="110" spans="1:34" x14ac:dyDescent="0.2">
      <c r="A110" s="347">
        <f t="shared" ca="1" si="35"/>
        <v>0.01</v>
      </c>
      <c r="B110" s="304">
        <f t="shared" ca="1" si="36"/>
        <v>1.0600000000000007</v>
      </c>
      <c r="D110" s="306">
        <f t="shared" ca="1" si="37"/>
        <v>16.016121344492692</v>
      </c>
      <c r="E110" s="307">
        <f t="shared" ca="1" si="38"/>
        <v>68.991041137740041</v>
      </c>
      <c r="F110" s="304">
        <f t="shared" ca="1" si="39"/>
        <v>70.825700845038256</v>
      </c>
      <c r="G110" s="306">
        <f t="shared" ca="1" si="40"/>
        <v>16.245020055189137</v>
      </c>
      <c r="H110" s="307">
        <f t="shared" ca="1" si="41"/>
        <v>79.829147435132313</v>
      </c>
      <c r="I110" s="304">
        <f t="shared" ca="1" si="42"/>
        <v>81.465289889704493</v>
      </c>
      <c r="J110" s="306">
        <f t="shared" ca="1" si="43"/>
        <v>8.2360883348303133</v>
      </c>
      <c r="K110" s="307">
        <f t="shared" ca="1" si="44"/>
        <v>42.789464836684097</v>
      </c>
      <c r="L110" s="304">
        <f t="shared" ca="1" si="29"/>
        <v>43.574894745357135</v>
      </c>
      <c r="M110" s="306">
        <f t="shared" ca="1" si="45"/>
        <v>1.3700402020756886</v>
      </c>
      <c r="N110" s="304">
        <f t="shared" ca="1" si="46"/>
        <v>78.497521342187397</v>
      </c>
      <c r="P110" s="310">
        <f t="shared" ca="1" si="47"/>
        <v>4</v>
      </c>
      <c r="Q110" s="304">
        <f t="shared" ca="1" si="48"/>
        <v>730.19999999999982</v>
      </c>
      <c r="R110" s="306">
        <f t="shared" ca="1" si="49"/>
        <v>0.36645335872559343</v>
      </c>
      <c r="S110" s="307">
        <f t="shared" ca="1" si="50"/>
        <v>8.7539086286721979</v>
      </c>
      <c r="T110" s="304">
        <f t="shared" ca="1" si="30"/>
        <v>85.875843647274266</v>
      </c>
      <c r="U110" s="311">
        <f t="shared" ca="1" si="31"/>
        <v>0</v>
      </c>
      <c r="V110" s="306">
        <f t="shared" ca="1" si="32"/>
        <v>1.2197694811127064</v>
      </c>
      <c r="W110" s="304">
        <f t="shared" ca="1" si="33"/>
        <v>26.739704907416737</v>
      </c>
      <c r="Y110" s="314" t="str">
        <f t="shared" ca="1" si="51"/>
        <v/>
      </c>
      <c r="Z110" s="315" t="str">
        <f t="shared" ca="1" si="52"/>
        <v/>
      </c>
      <c r="AA110" s="316" t="str">
        <f t="shared" ca="1" si="53"/>
        <v/>
      </c>
      <c r="AC110" s="310" t="e">
        <f t="shared" ca="1" si="54"/>
        <v>#N/A</v>
      </c>
      <c r="AD110" s="323" t="e">
        <f t="shared" ca="1" si="55"/>
        <v>#N/A</v>
      </c>
      <c r="AE110" s="324">
        <f t="shared" ca="1" si="34"/>
        <v>42.789464836684097</v>
      </c>
      <c r="AG110" s="306">
        <f t="shared" ca="1" si="56"/>
        <v>70.798743897074829</v>
      </c>
      <c r="AH110" s="304">
        <f t="shared" ca="1" si="57"/>
        <v>80.41218954433036</v>
      </c>
    </row>
    <row r="111" spans="1:34" x14ac:dyDescent="0.2">
      <c r="A111" s="347">
        <f t="shared" ca="1" si="35"/>
        <v>0.01</v>
      </c>
      <c r="B111" s="304">
        <f t="shared" ca="1" si="36"/>
        <v>1.0700000000000007</v>
      </c>
      <c r="D111" s="306">
        <f t="shared" ca="1" si="37"/>
        <v>15.994760905796316</v>
      </c>
      <c r="E111" s="307">
        <f t="shared" ca="1" si="38"/>
        <v>68.789356738291076</v>
      </c>
      <c r="F111" s="304">
        <f t="shared" ca="1" si="39"/>
        <v>70.624414878294473</v>
      </c>
      <c r="G111" s="306">
        <f t="shared" ca="1" si="40"/>
        <v>16.404967664247099</v>
      </c>
      <c r="H111" s="307">
        <f t="shared" ca="1" si="41"/>
        <v>80.517041002515228</v>
      </c>
      <c r="I111" s="304">
        <f t="shared" ca="1" si="42"/>
        <v>82.171265390437497</v>
      </c>
      <c r="J111" s="306">
        <f t="shared" ca="1" si="43"/>
        <v>8.3993382734274942</v>
      </c>
      <c r="K111" s="307">
        <f t="shared" ca="1" si="44"/>
        <v>43.591195778872333</v>
      </c>
      <c r="L111" s="304">
        <f t="shared" ca="1" si="29"/>
        <v>44.393031354745773</v>
      </c>
      <c r="M111" s="306">
        <f t="shared" ca="1" si="45"/>
        <v>1.3698021364560182</v>
      </c>
      <c r="N111" s="304">
        <f t="shared" ca="1" si="46"/>
        <v>78.483881186933132</v>
      </c>
      <c r="P111" s="310">
        <f t="shared" ca="1" si="47"/>
        <v>4</v>
      </c>
      <c r="Q111" s="304">
        <f t="shared" ca="1" si="48"/>
        <v>728.59999999999991</v>
      </c>
      <c r="R111" s="306">
        <f t="shared" ca="1" si="49"/>
        <v>0.3656503932723465</v>
      </c>
      <c r="S111" s="307">
        <f t="shared" ca="1" si="50"/>
        <v>8.7502521247394736</v>
      </c>
      <c r="T111" s="304">
        <f t="shared" ca="1" si="30"/>
        <v>85.83997334369424</v>
      </c>
      <c r="U111" s="311">
        <f t="shared" ca="1" si="31"/>
        <v>0</v>
      </c>
      <c r="V111" s="306">
        <f t="shared" ca="1" si="32"/>
        <v>1.2196716918832025</v>
      </c>
      <c r="W111" s="304">
        <f t="shared" ca="1" si="33"/>
        <v>27.202982779149348</v>
      </c>
      <c r="Y111" s="314" t="str">
        <f t="shared" ca="1" si="51"/>
        <v/>
      </c>
      <c r="Z111" s="315" t="str">
        <f t="shared" ca="1" si="52"/>
        <v/>
      </c>
      <c r="AA111" s="316" t="str">
        <f t="shared" ca="1" si="53"/>
        <v/>
      </c>
      <c r="AC111" s="310" t="e">
        <f t="shared" ca="1" si="54"/>
        <v>#N/A</v>
      </c>
      <c r="AD111" s="323" t="e">
        <f t="shared" ca="1" si="55"/>
        <v>#N/A</v>
      </c>
      <c r="AE111" s="324">
        <f t="shared" ca="1" si="34"/>
        <v>43.591195778872333</v>
      </c>
      <c r="AG111" s="306">
        <f t="shared" ca="1" si="56"/>
        <v>70.597317219494755</v>
      </c>
      <c r="AH111" s="304">
        <f t="shared" ca="1" si="57"/>
        <v>80.21029395349909</v>
      </c>
    </row>
    <row r="112" spans="1:34" x14ac:dyDescent="0.2">
      <c r="A112" s="347">
        <f t="shared" ca="1" si="35"/>
        <v>0.01</v>
      </c>
      <c r="B112" s="304">
        <f t="shared" ca="1" si="36"/>
        <v>1.0800000000000007</v>
      </c>
      <c r="D112" s="306">
        <f t="shared" ca="1" si="37"/>
        <v>15.973057084910264</v>
      </c>
      <c r="E112" s="307">
        <f t="shared" ca="1" si="38"/>
        <v>68.587185447927595</v>
      </c>
      <c r="F112" s="304">
        <f t="shared" ca="1" si="39"/>
        <v>70.422585583789896</v>
      </c>
      <c r="G112" s="306">
        <f t="shared" ca="1" si="40"/>
        <v>16.564698235096202</v>
      </c>
      <c r="H112" s="307">
        <f t="shared" ca="1" si="41"/>
        <v>81.202912856994502</v>
      </c>
      <c r="I112" s="304">
        <f t="shared" ca="1" si="42"/>
        <v>82.875221170627611</v>
      </c>
      <c r="J112" s="306">
        <f t="shared" ca="1" si="43"/>
        <v>8.5641866029242113</v>
      </c>
      <c r="K112" s="307">
        <f t="shared" ca="1" si="44"/>
        <v>44.399795548169884</v>
      </c>
      <c r="L112" s="304">
        <f t="shared" ca="1" si="29"/>
        <v>45.21821686985227</v>
      </c>
      <c r="M112" s="306">
        <f t="shared" ca="1" si="45"/>
        <v>1.3695658168713076</v>
      </c>
      <c r="N112" s="304">
        <f t="shared" ca="1" si="46"/>
        <v>78.47034107211293</v>
      </c>
      <c r="P112" s="310">
        <f t="shared" ca="1" si="47"/>
        <v>4</v>
      </c>
      <c r="Q112" s="304">
        <f t="shared" ca="1" si="48"/>
        <v>726.99999999999989</v>
      </c>
      <c r="R112" s="306">
        <f t="shared" ca="1" si="49"/>
        <v>0.36484742781909951</v>
      </c>
      <c r="S112" s="307">
        <f t="shared" ca="1" si="50"/>
        <v>8.7466036504612834</v>
      </c>
      <c r="T112" s="304">
        <f t="shared" ca="1" si="30"/>
        <v>85.804181811025188</v>
      </c>
      <c r="U112" s="311">
        <f t="shared" ca="1" si="31"/>
        <v>0</v>
      </c>
      <c r="V112" s="306">
        <f t="shared" ca="1" si="32"/>
        <v>1.2195730727683267</v>
      </c>
      <c r="W112" s="304">
        <f t="shared" ca="1" si="33"/>
        <v>27.668834165671448</v>
      </c>
      <c r="Y112" s="314" t="str">
        <f t="shared" ca="1" si="51"/>
        <v/>
      </c>
      <c r="Z112" s="315" t="str">
        <f t="shared" ca="1" si="52"/>
        <v/>
      </c>
      <c r="AA112" s="316" t="str">
        <f t="shared" ca="1" si="53"/>
        <v/>
      </c>
      <c r="AC112" s="310" t="e">
        <f t="shared" ca="1" si="54"/>
        <v>#N/A</v>
      </c>
      <c r="AD112" s="323" t="e">
        <f t="shared" ca="1" si="55"/>
        <v>#N/A</v>
      </c>
      <c r="AE112" s="324">
        <f t="shared" ca="1" si="34"/>
        <v>44.399795548169884</v>
      </c>
      <c r="AG112" s="306">
        <f t="shared" ca="1" si="56"/>
        <v>70.395346602611568</v>
      </c>
      <c r="AH112" s="304">
        <f t="shared" ca="1" si="57"/>
        <v>80.007857356603125</v>
      </c>
    </row>
    <row r="113" spans="1:34" x14ac:dyDescent="0.2">
      <c r="A113" s="347">
        <f t="shared" ca="1" si="35"/>
        <v>0.01</v>
      </c>
      <c r="B113" s="304">
        <f t="shared" ca="1" si="36"/>
        <v>1.0900000000000007</v>
      </c>
      <c r="D113" s="306">
        <f t="shared" ca="1" si="37"/>
        <v>15.951014128005095</v>
      </c>
      <c r="E113" s="307">
        <f t="shared" ca="1" si="38"/>
        <v>68.384531034242144</v>
      </c>
      <c r="F113" s="304">
        <f t="shared" ca="1" si="39"/>
        <v>70.220217434048465</v>
      </c>
      <c r="G113" s="306">
        <f t="shared" ca="1" si="40"/>
        <v>16.724208376376254</v>
      </c>
      <c r="H113" s="307">
        <f t="shared" ca="1" si="41"/>
        <v>81.886758167336922</v>
      </c>
      <c r="I113" s="304">
        <f t="shared" ca="1" si="42"/>
        <v>83.577151835728245</v>
      </c>
      <c r="J113" s="306">
        <f t="shared" ca="1" si="43"/>
        <v>8.7306311359815734</v>
      </c>
      <c r="K113" s="307">
        <f t="shared" ca="1" si="44"/>
        <v>45.215243903291544</v>
      </c>
      <c r="L113" s="304">
        <f t="shared" ca="1" si="29"/>
        <v>46.050431064939161</v>
      </c>
      <c r="M113" s="306">
        <f t="shared" ca="1" si="45"/>
        <v>1.36933121024599</v>
      </c>
      <c r="N113" s="304">
        <f t="shared" ca="1" si="46"/>
        <v>78.456899102636413</v>
      </c>
      <c r="P113" s="310">
        <f t="shared" ca="1" si="47"/>
        <v>4</v>
      </c>
      <c r="Q113" s="304">
        <f t="shared" ca="1" si="48"/>
        <v>725.39999999999986</v>
      </c>
      <c r="R113" s="306">
        <f t="shared" ca="1" si="49"/>
        <v>0.36404446236585247</v>
      </c>
      <c r="S113" s="307">
        <f t="shared" ca="1" si="50"/>
        <v>8.7429632058376257</v>
      </c>
      <c r="T113" s="304">
        <f t="shared" ca="1" si="30"/>
        <v>85.768469049267111</v>
      </c>
      <c r="U113" s="311">
        <f t="shared" ca="1" si="31"/>
        <v>0</v>
      </c>
      <c r="V113" s="306">
        <f t="shared" ca="1" si="32"/>
        <v>1.2194736264382717</v>
      </c>
      <c r="W113" s="304">
        <f t="shared" ca="1" si="33"/>
        <v>28.137219530621028</v>
      </c>
      <c r="Y113" s="314" t="str">
        <f t="shared" ca="1" si="51"/>
        <v/>
      </c>
      <c r="Z113" s="315" t="str">
        <f t="shared" ca="1" si="52"/>
        <v/>
      </c>
      <c r="AA113" s="316" t="str">
        <f t="shared" ca="1" si="53"/>
        <v/>
      </c>
      <c r="AC113" s="310" t="e">
        <f t="shared" ca="1" si="54"/>
        <v>#N/A</v>
      </c>
      <c r="AD113" s="323" t="e">
        <f t="shared" ca="1" si="55"/>
        <v>#N/A</v>
      </c>
      <c r="AE113" s="324">
        <f t="shared" ca="1" si="34"/>
        <v>45.215243903291544</v>
      </c>
      <c r="AG113" s="306">
        <f t="shared" ca="1" si="56"/>
        <v>70.192836504620914</v>
      </c>
      <c r="AH113" s="304">
        <f t="shared" ca="1" si="57"/>
        <v>79.804884157405283</v>
      </c>
    </row>
    <row r="114" spans="1:34" x14ac:dyDescent="0.2">
      <c r="A114" s="347">
        <f t="shared" ca="1" si="35"/>
        <v>0.01</v>
      </c>
      <c r="B114" s="304">
        <f t="shared" ca="1" si="36"/>
        <v>1.1000000000000008</v>
      </c>
      <c r="D114" s="306">
        <f t="shared" ca="1" si="37"/>
        <v>15.928636192247373</v>
      </c>
      <c r="E114" s="307">
        <f t="shared" ca="1" si="38"/>
        <v>68.181397288047407</v>
      </c>
      <c r="F114" s="304">
        <f t="shared" ca="1" si="39"/>
        <v>70.017314909210356</v>
      </c>
      <c r="G114" s="306">
        <f t="shared" ca="1" si="40"/>
        <v>16.883494738298726</v>
      </c>
      <c r="H114" s="307">
        <f t="shared" ca="1" si="41"/>
        <v>82.568572140217398</v>
      </c>
      <c r="I114" s="304">
        <f t="shared" ca="1" si="42"/>
        <v>84.27705203584452</v>
      </c>
      <c r="J114" s="306">
        <f t="shared" ca="1" si="43"/>
        <v>8.8986696515549486</v>
      </c>
      <c r="K114" s="307">
        <f t="shared" ca="1" si="44"/>
        <v>46.037520554829314</v>
      </c>
      <c r="L114" s="304">
        <f t="shared" ca="1" si="29"/>
        <v>46.889653660523415</v>
      </c>
      <c r="M114" s="306">
        <f t="shared" ca="1" si="45"/>
        <v>1.3690982844016462</v>
      </c>
      <c r="N114" s="304">
        <f t="shared" ca="1" si="46"/>
        <v>78.443553434815996</v>
      </c>
      <c r="P114" s="310">
        <f t="shared" ca="1" si="47"/>
        <v>4</v>
      </c>
      <c r="Q114" s="304">
        <f t="shared" ca="1" si="48"/>
        <v>723.79999999999984</v>
      </c>
      <c r="R114" s="306">
        <f t="shared" ca="1" si="49"/>
        <v>0.36324149691260549</v>
      </c>
      <c r="S114" s="307">
        <f t="shared" ca="1" si="50"/>
        <v>8.7393307908685003</v>
      </c>
      <c r="T114" s="304">
        <f t="shared" ca="1" si="30"/>
        <v>85.732835058419994</v>
      </c>
      <c r="U114" s="311">
        <f t="shared" ca="1" si="31"/>
        <v>0</v>
      </c>
      <c r="V114" s="306">
        <f t="shared" ca="1" si="32"/>
        <v>1.2193733555699635</v>
      </c>
      <c r="W114" s="304">
        <f t="shared" ca="1" si="33"/>
        <v>28.608099350783139</v>
      </c>
      <c r="Y114" s="314" t="str">
        <f t="shared" ca="1" si="51"/>
        <v/>
      </c>
      <c r="Z114" s="315" t="str">
        <f t="shared" ca="1" si="52"/>
        <v/>
      </c>
      <c r="AA114" s="316" t="str">
        <f t="shared" ca="1" si="53"/>
        <v/>
      </c>
      <c r="AC114" s="310" t="e">
        <f t="shared" ca="1" si="54"/>
        <v>#N/A</v>
      </c>
      <c r="AD114" s="323" t="e">
        <f t="shared" ca="1" si="55"/>
        <v>#N/A</v>
      </c>
      <c r="AE114" s="324">
        <f t="shared" ca="1" si="34"/>
        <v>46.037520554829314</v>
      </c>
      <c r="AG114" s="306">
        <f t="shared" ca="1" si="56"/>
        <v>69.989791391377366</v>
      </c>
      <c r="AH114" s="304">
        <f t="shared" ca="1" si="57"/>
        <v>79.601378768756391</v>
      </c>
    </row>
    <row r="115" spans="1:34" x14ac:dyDescent="0.2">
      <c r="A115" s="347">
        <f t="shared" ca="1" si="35"/>
        <v>0.01</v>
      </c>
      <c r="B115" s="304">
        <f t="shared" ca="1" si="36"/>
        <v>1.1100000000000008</v>
      </c>
      <c r="D115" s="306">
        <f t="shared" ca="1" si="37"/>
        <v>15.905927349117063</v>
      </c>
      <c r="E115" s="307">
        <f t="shared" ca="1" si="38"/>
        <v>67.977788022550584</v>
      </c>
      <c r="F115" s="304">
        <f t="shared" ca="1" si="39"/>
        <v>69.813882496780053</v>
      </c>
      <c r="G115" s="306">
        <f t="shared" ca="1" si="40"/>
        <v>17.042554011789896</v>
      </c>
      <c r="H115" s="307">
        <f t="shared" ca="1" si="41"/>
        <v>83.248350020442899</v>
      </c>
      <c r="I115" s="304">
        <f t="shared" ca="1" si="42"/>
        <v>84.974916465807439</v>
      </c>
      <c r="J115" s="306">
        <f t="shared" ca="1" si="43"/>
        <v>9.0682998953053922</v>
      </c>
      <c r="K115" s="307">
        <f t="shared" ca="1" si="44"/>
        <v>46.866605165632613</v>
      </c>
      <c r="L115" s="304">
        <f t="shared" ca="1" si="29"/>
        <v>47.735864323823627</v>
      </c>
      <c r="M115" s="306">
        <f t="shared" ca="1" si="45"/>
        <v>1.3688670080243612</v>
      </c>
      <c r="N115" s="304">
        <f t="shared" ca="1" si="46"/>
        <v>78.430302274496498</v>
      </c>
      <c r="P115" s="310">
        <f t="shared" ca="1" si="47"/>
        <v>4</v>
      </c>
      <c r="Q115" s="304">
        <f t="shared" ca="1" si="48"/>
        <v>722.19999999999982</v>
      </c>
      <c r="R115" s="306">
        <f t="shared" ca="1" si="49"/>
        <v>0.3624385314593585</v>
      </c>
      <c r="S115" s="307">
        <f t="shared" ca="1" si="50"/>
        <v>8.7357064055539073</v>
      </c>
      <c r="T115" s="304">
        <f t="shared" ca="1" si="30"/>
        <v>85.697279838483837</v>
      </c>
      <c r="U115" s="311">
        <f t="shared" ca="1" si="31"/>
        <v>0</v>
      </c>
      <c r="V115" s="306">
        <f t="shared" ca="1" si="32"/>
        <v>1.2192722628469923</v>
      </c>
      <c r="W115" s="304">
        <f t="shared" ca="1" si="33"/>
        <v>29.081434118599748</v>
      </c>
      <c r="Y115" s="314" t="str">
        <f t="shared" ca="1" si="51"/>
        <v/>
      </c>
      <c r="Z115" s="315" t="str">
        <f t="shared" ca="1" si="52"/>
        <v/>
      </c>
      <c r="AA115" s="316" t="str">
        <f t="shared" ca="1" si="53"/>
        <v/>
      </c>
      <c r="AC115" s="310" t="e">
        <f t="shared" ca="1" si="54"/>
        <v>#N/A</v>
      </c>
      <c r="AD115" s="323" t="e">
        <f t="shared" ca="1" si="55"/>
        <v>#N/A</v>
      </c>
      <c r="AE115" s="324">
        <f t="shared" ca="1" si="34"/>
        <v>46.866605165632613</v>
      </c>
      <c r="AG115" s="306">
        <f t="shared" ca="1" si="56"/>
        <v>69.786215736135375</v>
      </c>
      <c r="AH115" s="304">
        <f t="shared" ca="1" si="57"/>
        <v>79.397345612285136</v>
      </c>
    </row>
    <row r="116" spans="1:34" x14ac:dyDescent="0.2">
      <c r="A116" s="347">
        <f t="shared" ca="1" si="35"/>
        <v>0.01</v>
      </c>
      <c r="B116" s="304">
        <f t="shared" ca="1" si="36"/>
        <v>1.1200000000000008</v>
      </c>
      <c r="D116" s="306">
        <f t="shared" ca="1" si="37"/>
        <v>15.882891587570819</v>
      </c>
      <c r="E116" s="307">
        <f t="shared" ca="1" si="38"/>
        <v>67.773707072551446</v>
      </c>
      <c r="F116" s="304">
        <f t="shared" ca="1" si="39"/>
        <v>69.609924691372413</v>
      </c>
      <c r="G116" s="306">
        <f t="shared" ca="1" si="40"/>
        <v>17.201382927665605</v>
      </c>
      <c r="H116" s="307">
        <f t="shared" ca="1" si="41"/>
        <v>83.926087091168412</v>
      </c>
      <c r="I116" s="304">
        <f t="shared" ca="1" si="42"/>
        <v>85.670739865245537</v>
      </c>
      <c r="J116" s="306">
        <f t="shared" ca="1" si="43"/>
        <v>9.2395195800026695</v>
      </c>
      <c r="K116" s="307">
        <f t="shared" ca="1" si="44"/>
        <v>47.702477351190673</v>
      </c>
      <c r="L116" s="304">
        <f t="shared" ca="1" si="29"/>
        <v>48.589042669207963</v>
      </c>
      <c r="M116" s="306">
        <f t="shared" ca="1" si="45"/>
        <v>1.3686373506335625</v>
      </c>
      <c r="N116" s="304">
        <f t="shared" ca="1" si="46"/>
        <v>78.417143875269744</v>
      </c>
      <c r="P116" s="310">
        <f t="shared" ca="1" si="47"/>
        <v>4</v>
      </c>
      <c r="Q116" s="304">
        <f t="shared" ca="1" si="48"/>
        <v>720.59999999999991</v>
      </c>
      <c r="R116" s="306">
        <f t="shared" ca="1" si="49"/>
        <v>0.36163556600611158</v>
      </c>
      <c r="S116" s="307">
        <f t="shared" ca="1" si="50"/>
        <v>8.7320900498938467</v>
      </c>
      <c r="T116" s="304">
        <f t="shared" ca="1" si="30"/>
        <v>85.66180338945864</v>
      </c>
      <c r="U116" s="311">
        <f t="shared" ca="1" si="31"/>
        <v>0</v>
      </c>
      <c r="V116" s="306">
        <f t="shared" ca="1" si="32"/>
        <v>1.2191703509595451</v>
      </c>
      <c r="W116" s="304">
        <f t="shared" ca="1" si="33"/>
        <v>29.55718434466894</v>
      </c>
      <c r="Y116" s="314" t="str">
        <f t="shared" ca="1" si="51"/>
        <v/>
      </c>
      <c r="Z116" s="315" t="str">
        <f t="shared" ca="1" si="52"/>
        <v/>
      </c>
      <c r="AA116" s="316" t="str">
        <f t="shared" ca="1" si="53"/>
        <v/>
      </c>
      <c r="AC116" s="310" t="e">
        <f t="shared" ca="1" si="54"/>
        <v>#N/A</v>
      </c>
      <c r="AD116" s="323" t="e">
        <f t="shared" ca="1" si="55"/>
        <v>#N/A</v>
      </c>
      <c r="AE116" s="324">
        <f t="shared" ca="1" si="34"/>
        <v>47.702477351190673</v>
      </c>
      <c r="AG116" s="306">
        <f t="shared" ca="1" si="56"/>
        <v>69.582114019288269</v>
      </c>
      <c r="AH116" s="304">
        <f t="shared" ca="1" si="57"/>
        <v>79.192789118088257</v>
      </c>
    </row>
    <row r="117" spans="1:34" x14ac:dyDescent="0.2">
      <c r="A117" s="347">
        <f t="shared" ca="1" si="35"/>
        <v>0.01</v>
      </c>
      <c r="B117" s="304">
        <f t="shared" ca="1" si="36"/>
        <v>1.1300000000000008</v>
      </c>
      <c r="D117" s="306">
        <f t="shared" ca="1" si="37"/>
        <v>15.859532817059074</v>
      </c>
      <c r="E117" s="307">
        <f t="shared" ca="1" si="38"/>
        <v>67.569158293662682</v>
      </c>
      <c r="F117" s="304">
        <f t="shared" ca="1" si="39"/>
        <v>69.4054459944565</v>
      </c>
      <c r="G117" s="306">
        <f t="shared" ca="1" si="40"/>
        <v>17.359978255836197</v>
      </c>
      <c r="H117" s="307">
        <f t="shared" ca="1" si="41"/>
        <v>84.601778674105034</v>
      </c>
      <c r="I117" s="304">
        <f t="shared" ca="1" si="42"/>
        <v>86.364517018653899</v>
      </c>
      <c r="J117" s="306">
        <f t="shared" ca="1" si="43"/>
        <v>9.4123263859201778</v>
      </c>
      <c r="K117" s="307">
        <f t="shared" ca="1" si="44"/>
        <v>48.545116680017038</v>
      </c>
      <c r="L117" s="304">
        <f t="shared" ca="1" si="29"/>
        <v>49.449168258642707</v>
      </c>
      <c r="M117" s="306">
        <f t="shared" ca="1" si="45"/>
        <v>1.3684092825522527</v>
      </c>
      <c r="N117" s="304">
        <f t="shared" ca="1" si="46"/>
        <v>78.40407653676904</v>
      </c>
      <c r="P117" s="310">
        <f t="shared" ca="1" si="47"/>
        <v>4</v>
      </c>
      <c r="Q117" s="304">
        <f t="shared" ca="1" si="48"/>
        <v>718.99999999999989</v>
      </c>
      <c r="R117" s="306">
        <f t="shared" ca="1" si="49"/>
        <v>0.36083260055286454</v>
      </c>
      <c r="S117" s="307">
        <f t="shared" ca="1" si="50"/>
        <v>8.7284817238883186</v>
      </c>
      <c r="T117" s="304">
        <f t="shared" ca="1" si="30"/>
        <v>85.626405711344404</v>
      </c>
      <c r="U117" s="311">
        <f t="shared" ca="1" si="31"/>
        <v>0</v>
      </c>
      <c r="V117" s="306">
        <f t="shared" ca="1" si="32"/>
        <v>1.2190676226043413</v>
      </c>
      <c r="W117" s="304">
        <f t="shared" ca="1" si="33"/>
        <v>30.03531056023321</v>
      </c>
      <c r="Y117" s="314" t="str">
        <f t="shared" ca="1" si="51"/>
        <v/>
      </c>
      <c r="Z117" s="315" t="str">
        <f t="shared" ca="1" si="52"/>
        <v/>
      </c>
      <c r="AA117" s="316" t="str">
        <f t="shared" ca="1" si="53"/>
        <v/>
      </c>
      <c r="AC117" s="310" t="e">
        <f t="shared" ca="1" si="54"/>
        <v>#N/A</v>
      </c>
      <c r="AD117" s="323" t="e">
        <f t="shared" ca="1" si="55"/>
        <v>#N/A</v>
      </c>
      <c r="AE117" s="324">
        <f t="shared" ca="1" si="34"/>
        <v>48.545116680017038</v>
      </c>
      <c r="AG117" s="306">
        <f t="shared" ca="1" si="56"/>
        <v>69.377490728105286</v>
      </c>
      <c r="AH117" s="304">
        <f t="shared" ca="1" si="57"/>
        <v>78.987713724420971</v>
      </c>
    </row>
    <row r="118" spans="1:34" x14ac:dyDescent="0.2">
      <c r="A118" s="347">
        <f t="shared" ca="1" si="35"/>
        <v>0.01</v>
      </c>
      <c r="B118" s="304">
        <f t="shared" ca="1" si="36"/>
        <v>1.1400000000000008</v>
      </c>
      <c r="D118" s="306">
        <f t="shared" ca="1" si="37"/>
        <v>15.835854870405266</v>
      </c>
      <c r="E118" s="307">
        <f t="shared" ca="1" si="38"/>
        <v>67.364145561551638</v>
      </c>
      <c r="F118" s="304">
        <f t="shared" ca="1" si="39"/>
        <v>69.200450914097772</v>
      </c>
      <c r="G118" s="306">
        <f t="shared" ca="1" si="40"/>
        <v>17.518336804540251</v>
      </c>
      <c r="H118" s="307">
        <f t="shared" ca="1" si="41"/>
        <v>85.275420129720544</v>
      </c>
      <c r="I118" s="304">
        <f t="shared" ca="1" si="42"/>
        <v>87.056242755460431</v>
      </c>
      <c r="J118" s="306">
        <f t="shared" ca="1" si="43"/>
        <v>9.5867179612220603</v>
      </c>
      <c r="K118" s="307">
        <f t="shared" ca="1" si="44"/>
        <v>49.394502674036168</v>
      </c>
      <c r="L118" s="304">
        <f t="shared" ca="1" si="29"/>
        <v>50.316220602141655</v>
      </c>
      <c r="M118" s="306">
        <f t="shared" ca="1" si="45"/>
        <v>1.368182774878568</v>
      </c>
      <c r="N118" s="304">
        <f t="shared" ca="1" si="46"/>
        <v>78.39109860303958</v>
      </c>
      <c r="P118" s="310">
        <f t="shared" ca="1" si="47"/>
        <v>4</v>
      </c>
      <c r="Q118" s="304">
        <f t="shared" ca="1" si="48"/>
        <v>717.39999999999986</v>
      </c>
      <c r="R118" s="306">
        <f t="shared" ca="1" si="49"/>
        <v>0.36002963509961755</v>
      </c>
      <c r="S118" s="307">
        <f t="shared" ca="1" si="50"/>
        <v>8.7248814275373228</v>
      </c>
      <c r="T118" s="304">
        <f t="shared" ca="1" si="30"/>
        <v>85.591086804141142</v>
      </c>
      <c r="U118" s="311">
        <f t="shared" ca="1" si="31"/>
        <v>0</v>
      </c>
      <c r="V118" s="306">
        <f t="shared" ca="1" si="32"/>
        <v>1.2189640804845627</v>
      </c>
      <c r="W118" s="304">
        <f t="shared" ca="1" si="33"/>
        <v>30.515773319656294</v>
      </c>
      <c r="Y118" s="314" t="str">
        <f t="shared" ca="1" si="51"/>
        <v/>
      </c>
      <c r="Z118" s="315" t="str">
        <f t="shared" ca="1" si="52"/>
        <v/>
      </c>
      <c r="AA118" s="316" t="str">
        <f t="shared" ca="1" si="53"/>
        <v/>
      </c>
      <c r="AC118" s="310" t="e">
        <f t="shared" ca="1" si="54"/>
        <v>#N/A</v>
      </c>
      <c r="AD118" s="323" t="e">
        <f t="shared" ca="1" si="55"/>
        <v>#N/A</v>
      </c>
      <c r="AE118" s="324">
        <f t="shared" ca="1" si="34"/>
        <v>49.394502674036168</v>
      </c>
      <c r="AG118" s="306">
        <f t="shared" ca="1" si="56"/>
        <v>69.172350356467177</v>
      </c>
      <c r="AH118" s="304">
        <f t="shared" ca="1" si="57"/>
        <v>78.782123877387932</v>
      </c>
    </row>
    <row r="119" spans="1:34" x14ac:dyDescent="0.2">
      <c r="A119" s="347">
        <f t="shared" ca="1" si="35"/>
        <v>0.01</v>
      </c>
      <c r="B119" s="304">
        <f t="shared" ca="1" si="36"/>
        <v>1.1500000000000008</v>
      </c>
      <c r="D119" s="306">
        <f t="shared" ca="1" si="37"/>
        <v>15.811861506554211</v>
      </c>
      <c r="E119" s="307">
        <f t="shared" ca="1" si="38"/>
        <v>67.158672771202177</v>
      </c>
      <c r="F119" s="304">
        <f t="shared" ca="1" si="39"/>
        <v>68.994943964698336</v>
      </c>
      <c r="G119" s="306">
        <f t="shared" ca="1" si="40"/>
        <v>17.676455419605794</v>
      </c>
      <c r="H119" s="307">
        <f t="shared" ca="1" si="41"/>
        <v>85.947006857432569</v>
      </c>
      <c r="I119" s="304">
        <f t="shared" ca="1" si="42"/>
        <v>87.745911950089578</v>
      </c>
      <c r="J119" s="306">
        <f t="shared" ca="1" si="43"/>
        <v>9.7626919223427908</v>
      </c>
      <c r="K119" s="307">
        <f t="shared" ca="1" si="44"/>
        <v>50.250614808971932</v>
      </c>
      <c r="L119" s="304">
        <f t="shared" ca="1" si="29"/>
        <v>51.190179158215948</v>
      </c>
      <c r="M119" s="306">
        <f t="shared" ca="1" si="45"/>
        <v>1.3679577994585868</v>
      </c>
      <c r="N119" s="304">
        <f t="shared" ca="1" si="46"/>
        <v>78.378208460980474</v>
      </c>
      <c r="P119" s="310">
        <f t="shared" ca="1" si="47"/>
        <v>4</v>
      </c>
      <c r="Q119" s="304">
        <f t="shared" ca="1" si="48"/>
        <v>715.79999999999984</v>
      </c>
      <c r="R119" s="306">
        <f t="shared" ca="1" si="49"/>
        <v>0.35922666964637057</v>
      </c>
      <c r="S119" s="307">
        <f t="shared" ca="1" si="50"/>
        <v>8.7212891608408594</v>
      </c>
      <c r="T119" s="304">
        <f t="shared" ca="1" si="30"/>
        <v>85.55584666784884</v>
      </c>
      <c r="U119" s="311">
        <f t="shared" ca="1" si="31"/>
        <v>0</v>
      </c>
      <c r="V119" s="306">
        <f t="shared" ca="1" si="32"/>
        <v>1.2188597273097901</v>
      </c>
      <c r="W119" s="304">
        <f t="shared" ca="1" si="33"/>
        <v>30.998533202888737</v>
      </c>
      <c r="Y119" s="314" t="str">
        <f t="shared" ca="1" si="51"/>
        <v/>
      </c>
      <c r="Z119" s="315" t="str">
        <f t="shared" ca="1" si="52"/>
        <v/>
      </c>
      <c r="AA119" s="316" t="str">
        <f t="shared" ca="1" si="53"/>
        <v/>
      </c>
      <c r="AC119" s="310" t="e">
        <f t="shared" ca="1" si="54"/>
        <v>#N/A</v>
      </c>
      <c r="AD119" s="323" t="e">
        <f t="shared" ca="1" si="55"/>
        <v>#N/A</v>
      </c>
      <c r="AE119" s="324">
        <f t="shared" ca="1" si="34"/>
        <v>50.250614808971932</v>
      </c>
      <c r="AG119" s="306">
        <f t="shared" ca="1" si="56"/>
        <v>68.966697404600126</v>
      </c>
      <c r="AH119" s="304">
        <f t="shared" ca="1" si="57"/>
        <v>78.5760240306345</v>
      </c>
    </row>
    <row r="120" spans="1:34" x14ac:dyDescent="0.2">
      <c r="A120" s="347">
        <f t="shared" ca="1" si="35"/>
        <v>0.01</v>
      </c>
      <c r="B120" s="304">
        <f t="shared" ca="1" si="36"/>
        <v>1.1600000000000008</v>
      </c>
      <c r="D120" s="306">
        <f t="shared" ca="1" si="37"/>
        <v>15.78755641319688</v>
      </c>
      <c r="E120" s="307">
        <f t="shared" ca="1" si="38"/>
        <v>66.952743836195836</v>
      </c>
      <c r="F120" s="304">
        <f t="shared" ca="1" si="39"/>
        <v>68.788929666735868</v>
      </c>
      <c r="G120" s="306">
        <f t="shared" ca="1" si="40"/>
        <v>17.834330983737765</v>
      </c>
      <c r="H120" s="307">
        <f t="shared" ca="1" si="41"/>
        <v>86.616534295794523</v>
      </c>
      <c r="I120" s="304">
        <f t="shared" ca="1" si="42"/>
        <v>88.43351952202319</v>
      </c>
      <c r="J120" s="306">
        <f t="shared" ca="1" si="43"/>
        <v>9.9402458543595085</v>
      </c>
      <c r="K120" s="307">
        <f t="shared" ca="1" si="44"/>
        <v>51.113432514738065</v>
      </c>
      <c r="L120" s="304">
        <f t="shared" ca="1" si="29"/>
        <v>52.071023334324757</v>
      </c>
      <c r="M120" s="306">
        <f t="shared" ca="1" si="45"/>
        <v>1.3677343288603279</v>
      </c>
      <c r="N120" s="304">
        <f t="shared" ca="1" si="46"/>
        <v>78.365404538854975</v>
      </c>
      <c r="P120" s="310">
        <f t="shared" ca="1" si="47"/>
        <v>4</v>
      </c>
      <c r="Q120" s="304">
        <f t="shared" ca="1" si="48"/>
        <v>714.19999999999982</v>
      </c>
      <c r="R120" s="306">
        <f t="shared" ca="1" si="49"/>
        <v>0.35842370419312358</v>
      </c>
      <c r="S120" s="307">
        <f t="shared" ca="1" si="50"/>
        <v>8.7177049237989284</v>
      </c>
      <c r="T120" s="304">
        <f t="shared" ca="1" si="30"/>
        <v>85.520685302467498</v>
      </c>
      <c r="U120" s="311">
        <f t="shared" ca="1" si="31"/>
        <v>0</v>
      </c>
      <c r="V120" s="306">
        <f t="shared" ca="1" si="32"/>
        <v>1.2187545657959302</v>
      </c>
      <c r="W120" s="304">
        <f t="shared" ca="1" si="33"/>
        <v>31.483550817921458</v>
      </c>
      <c r="Y120" s="314" t="str">
        <f t="shared" ca="1" si="51"/>
        <v/>
      </c>
      <c r="Z120" s="315" t="str">
        <f t="shared" ca="1" si="52"/>
        <v/>
      </c>
      <c r="AA120" s="316" t="str">
        <f t="shared" ca="1" si="53"/>
        <v/>
      </c>
      <c r="AC120" s="310" t="e">
        <f t="shared" ca="1" si="54"/>
        <v>#N/A</v>
      </c>
      <c r="AD120" s="323" t="e">
        <f t="shared" ca="1" si="55"/>
        <v>#N/A</v>
      </c>
      <c r="AE120" s="324">
        <f t="shared" ca="1" si="34"/>
        <v>51.113432514738065</v>
      </c>
      <c r="AG120" s="306">
        <f t="shared" ca="1" si="56"/>
        <v>68.760536378808212</v>
      </c>
      <c r="AH120" s="304">
        <f t="shared" ca="1" si="57"/>
        <v>78.369418645038422</v>
      </c>
    </row>
    <row r="121" spans="1:34" x14ac:dyDescent="0.2">
      <c r="A121" s="347">
        <f t="shared" ca="1" si="35"/>
        <v>0.01</v>
      </c>
      <c r="B121" s="304">
        <f t="shared" ca="1" si="36"/>
        <v>1.1700000000000008</v>
      </c>
      <c r="D121" s="306">
        <f t="shared" ca="1" si="37"/>
        <v>15.762943209277726</v>
      </c>
      <c r="E121" s="307">
        <f t="shared" ca="1" si="38"/>
        <v>66.746362688011303</v>
      </c>
      <c r="F121" s="304">
        <f t="shared" ca="1" si="39"/>
        <v>68.582412546501033</v>
      </c>
      <c r="G121" s="306">
        <f t="shared" ca="1" si="40"/>
        <v>17.99196041583054</v>
      </c>
      <c r="H121" s="307">
        <f t="shared" ca="1" si="41"/>
        <v>87.283997922674629</v>
      </c>
      <c r="I121" s="304">
        <f t="shared" ca="1" si="42"/>
        <v>89.119060435858955</v>
      </c>
      <c r="J121" s="306">
        <f t="shared" ca="1" si="43"/>
        <v>10.119377311357351</v>
      </c>
      <c r="K121" s="307">
        <f t="shared" ca="1" si="44"/>
        <v>51.982935175830413</v>
      </c>
      <c r="L121" s="304">
        <f t="shared" ca="1" si="29"/>
        <v>52.958732487326401</v>
      </c>
      <c r="M121" s="306">
        <f t="shared" ca="1" si="45"/>
        <v>1.3675123363488715</v>
      </c>
      <c r="N121" s="304">
        <f t="shared" ca="1" si="46"/>
        <v>78.35268530486502</v>
      </c>
      <c r="P121" s="310">
        <f t="shared" ca="1" si="47"/>
        <v>4</v>
      </c>
      <c r="Q121" s="304">
        <f t="shared" ca="1" si="48"/>
        <v>712.59999999999991</v>
      </c>
      <c r="R121" s="306">
        <f t="shared" ca="1" si="49"/>
        <v>0.3576207387398766</v>
      </c>
      <c r="S121" s="307">
        <f t="shared" ca="1" si="50"/>
        <v>8.7141287164115298</v>
      </c>
      <c r="T121" s="304">
        <f t="shared" ca="1" si="30"/>
        <v>85.485602707997117</v>
      </c>
      <c r="U121" s="311">
        <f t="shared" ca="1" si="31"/>
        <v>0</v>
      </c>
      <c r="V121" s="306">
        <f t="shared" ca="1" si="32"/>
        <v>1.2186485986651541</v>
      </c>
      <c r="W121" s="304">
        <f t="shared" ca="1" si="33"/>
        <v>31.970786803227728</v>
      </c>
      <c r="Y121" s="314" t="str">
        <f t="shared" ca="1" si="51"/>
        <v/>
      </c>
      <c r="Z121" s="315" t="str">
        <f t="shared" ca="1" si="52"/>
        <v/>
      </c>
      <c r="AA121" s="316" t="str">
        <f t="shared" ca="1" si="53"/>
        <v/>
      </c>
      <c r="AC121" s="310" t="e">
        <f t="shared" ca="1" si="54"/>
        <v>#N/A</v>
      </c>
      <c r="AD121" s="323" t="e">
        <f t="shared" ca="1" si="55"/>
        <v>#N/A</v>
      </c>
      <c r="AE121" s="324">
        <f t="shared" ca="1" si="34"/>
        <v>51.982935175830413</v>
      </c>
      <c r="AG121" s="306">
        <f t="shared" ca="1" si="56"/>
        <v>68.55387179120487</v>
      </c>
      <c r="AH121" s="304">
        <f t="shared" ca="1" si="57"/>
        <v>78.162312188402183</v>
      </c>
    </row>
    <row r="122" spans="1:34" x14ac:dyDescent="0.2">
      <c r="A122" s="347">
        <f t="shared" ca="1" si="35"/>
        <v>0.01</v>
      </c>
      <c r="B122" s="304">
        <f t="shared" ca="1" si="36"/>
        <v>1.1800000000000008</v>
      </c>
      <c r="D122" s="306">
        <f t="shared" ca="1" si="37"/>
        <v>15.738025447390969</v>
      </c>
      <c r="E122" s="307">
        <f t="shared" ca="1" si="38"/>
        <v>66.539533275341128</v>
      </c>
      <c r="F122" s="304">
        <f t="shared" ca="1" si="39"/>
        <v>68.375397135833552</v>
      </c>
      <c r="G122" s="306">
        <f t="shared" ca="1" si="40"/>
        <v>18.149340670304451</v>
      </c>
      <c r="H122" s="307">
        <f t="shared" ca="1" si="41"/>
        <v>87.949393255428035</v>
      </c>
      <c r="I122" s="304">
        <f t="shared" ca="1" si="42"/>
        <v>89.802529701365856</v>
      </c>
      <c r="J122" s="306">
        <f t="shared" ca="1" si="43"/>
        <v>10.300083816788026</v>
      </c>
      <c r="K122" s="307">
        <f t="shared" ca="1" si="44"/>
        <v>52.859102131720924</v>
      </c>
      <c r="L122" s="304">
        <f t="shared" ca="1" si="29"/>
        <v>53.853285923930052</v>
      </c>
      <c r="M122" s="306">
        <f t="shared" ca="1" si="45"/>
        <v>1.3672917958625488</v>
      </c>
      <c r="N122" s="304">
        <f t="shared" ca="1" si="46"/>
        <v>78.340049265786959</v>
      </c>
      <c r="P122" s="310">
        <f t="shared" ca="1" si="47"/>
        <v>4</v>
      </c>
      <c r="Q122" s="304">
        <f t="shared" ca="1" si="48"/>
        <v>710.99999999999989</v>
      </c>
      <c r="R122" s="306">
        <f t="shared" ca="1" si="49"/>
        <v>0.35681777328662961</v>
      </c>
      <c r="S122" s="307">
        <f t="shared" ca="1" si="50"/>
        <v>8.7105605386786635</v>
      </c>
      <c r="T122" s="304">
        <f t="shared" ca="1" si="30"/>
        <v>85.450598884437696</v>
      </c>
      <c r="U122" s="311">
        <f t="shared" ca="1" si="31"/>
        <v>0</v>
      </c>
      <c r="V122" s="306">
        <f t="shared" ca="1" si="32"/>
        <v>1.2185418286458238</v>
      </c>
      <c r="W122" s="304">
        <f t="shared" ca="1" si="33"/>
        <v>32.460201830192588</v>
      </c>
      <c r="Y122" s="314" t="str">
        <f t="shared" ca="1" si="51"/>
        <v/>
      </c>
      <c r="Z122" s="315" t="str">
        <f t="shared" ca="1" si="52"/>
        <v/>
      </c>
      <c r="AA122" s="316" t="str">
        <f t="shared" ca="1" si="53"/>
        <v/>
      </c>
      <c r="AC122" s="310" t="e">
        <f t="shared" ca="1" si="54"/>
        <v>#N/A</v>
      </c>
      <c r="AD122" s="323" t="e">
        <f t="shared" ca="1" si="55"/>
        <v>#N/A</v>
      </c>
      <c r="AE122" s="324">
        <f t="shared" ca="1" si="34"/>
        <v>52.859102131720924</v>
      </c>
      <c r="AG122" s="306">
        <f t="shared" ca="1" si="56"/>
        <v>68.346708159442912</v>
      </c>
      <c r="AH122" s="304">
        <f t="shared" ca="1" si="57"/>
        <v>77.954709135145578</v>
      </c>
    </row>
    <row r="123" spans="1:34" x14ac:dyDescent="0.2">
      <c r="A123" s="347">
        <f t="shared" ca="1" si="35"/>
        <v>0.01</v>
      </c>
      <c r="B123" s="304">
        <f t="shared" ca="1" si="36"/>
        <v>1.1900000000000008</v>
      </c>
      <c r="D123" s="306">
        <f t="shared" ca="1" si="37"/>
        <v>15.712806616071369</v>
      </c>
      <c r="E123" s="307">
        <f t="shared" ca="1" si="38"/>
        <v>66.33225956342531</v>
      </c>
      <c r="F123" s="304">
        <f t="shared" ca="1" si="39"/>
        <v>68.167887971857283</v>
      </c>
      <c r="G123" s="306">
        <f t="shared" ca="1" si="40"/>
        <v>18.306468736465163</v>
      </c>
      <c r="H123" s="307">
        <f t="shared" ca="1" si="41"/>
        <v>88.612715851062291</v>
      </c>
      <c r="I123" s="304">
        <f t="shared" ca="1" si="42"/>
        <v>90.483922373537069</v>
      </c>
      <c r="J123" s="306">
        <f t="shared" ca="1" si="43"/>
        <v>10.482362863821875</v>
      </c>
      <c r="K123" s="307">
        <f t="shared" ca="1" si="44"/>
        <v>53.741912677253374</v>
      </c>
      <c r="L123" s="304">
        <f t="shared" ca="1" si="29"/>
        <v>54.754662901148052</v>
      </c>
      <c r="M123" s="306">
        <f t="shared" ca="1" si="45"/>
        <v>1.3670726819901431</v>
      </c>
      <c r="N123" s="304">
        <f t="shared" ca="1" si="46"/>
        <v>78.327494965665352</v>
      </c>
      <c r="P123" s="310">
        <f t="shared" ca="1" si="47"/>
        <v>4</v>
      </c>
      <c r="Q123" s="304">
        <f t="shared" ca="1" si="48"/>
        <v>709.39999999999986</v>
      </c>
      <c r="R123" s="306">
        <f t="shared" ca="1" si="49"/>
        <v>0.35601480783338263</v>
      </c>
      <c r="S123" s="307">
        <f t="shared" ca="1" si="50"/>
        <v>8.7070003906003297</v>
      </c>
      <c r="T123" s="304">
        <f t="shared" ca="1" si="30"/>
        <v>85.415673831789235</v>
      </c>
      <c r="U123" s="311">
        <f t="shared" ca="1" si="31"/>
        <v>0</v>
      </c>
      <c r="V123" s="306">
        <f t="shared" ca="1" si="32"/>
        <v>1.2184342584724281</v>
      </c>
      <c r="W123" s="304">
        <f t="shared" ca="1" si="33"/>
        <v>32.951756605530093</v>
      </c>
      <c r="Y123" s="314" t="str">
        <f t="shared" ca="1" si="51"/>
        <v/>
      </c>
      <c r="Z123" s="315" t="str">
        <f t="shared" ca="1" si="52"/>
        <v/>
      </c>
      <c r="AA123" s="316" t="str">
        <f t="shared" ca="1" si="53"/>
        <v/>
      </c>
      <c r="AC123" s="310" t="e">
        <f t="shared" ca="1" si="54"/>
        <v>#N/A</v>
      </c>
      <c r="AD123" s="323" t="e">
        <f t="shared" ca="1" si="55"/>
        <v>#N/A</v>
      </c>
      <c r="AE123" s="324">
        <f t="shared" ca="1" si="34"/>
        <v>53.741912677253374</v>
      </c>
      <c r="AG123" s="306">
        <f t="shared" ca="1" si="56"/>
        <v>68.139050006443682</v>
      </c>
      <c r="AH123" s="304">
        <f t="shared" ca="1" si="57"/>
        <v>77.746613965999117</v>
      </c>
    </row>
    <row r="124" spans="1:34" x14ac:dyDescent="0.2">
      <c r="A124" s="347">
        <f t="shared" ca="1" si="35"/>
        <v>0.01</v>
      </c>
      <c r="B124" s="304">
        <f t="shared" ca="1" si="36"/>
        <v>1.2000000000000008</v>
      </c>
      <c r="D124" s="306">
        <f t="shared" ca="1" si="37"/>
        <v>15.687290141984985</v>
      </c>
      <c r="E124" s="307">
        <f t="shared" ca="1" si="38"/>
        <v>66.124545533400436</v>
      </c>
      <c r="F124" s="304">
        <f t="shared" ca="1" si="39"/>
        <v>67.959889596714092</v>
      </c>
      <c r="G124" s="306">
        <f t="shared" ca="1" si="40"/>
        <v>18.463341637885012</v>
      </c>
      <c r="H124" s="307">
        <f t="shared" ca="1" si="41"/>
        <v>89.273961306396302</v>
      </c>
      <c r="I124" s="304">
        <f t="shared" ca="1" si="42"/>
        <v>91.163233552640079</v>
      </c>
      <c r="J124" s="306">
        <f t="shared" ca="1" si="43"/>
        <v>10.666211915693626</v>
      </c>
      <c r="K124" s="307">
        <f t="shared" ca="1" si="44"/>
        <v>54.631346063040667</v>
      </c>
      <c r="L124" s="304">
        <f t="shared" ca="1" si="29"/>
        <v>55.662842626748713</v>
      </c>
      <c r="M124" s="306">
        <f t="shared" ca="1" si="45"/>
        <v>1.3668549699490524</v>
      </c>
      <c r="N124" s="304">
        <f t="shared" ca="1" si="46"/>
        <v>78.31502098456167</v>
      </c>
      <c r="P124" s="310">
        <f t="shared" ca="1" si="47"/>
        <v>4</v>
      </c>
      <c r="Q124" s="304">
        <f t="shared" ca="1" si="48"/>
        <v>707.79999999999984</v>
      </c>
      <c r="R124" s="306">
        <f t="shared" ca="1" si="49"/>
        <v>0.35521184238013565</v>
      </c>
      <c r="S124" s="307">
        <f t="shared" ca="1" si="50"/>
        <v>8.7034482721765283</v>
      </c>
      <c r="T124" s="304">
        <f t="shared" ca="1" si="30"/>
        <v>85.380827550051748</v>
      </c>
      <c r="U124" s="311">
        <f t="shared" ca="1" si="31"/>
        <v>0</v>
      </c>
      <c r="V124" s="306">
        <f t="shared" ca="1" si="32"/>
        <v>1.2183258908855126</v>
      </c>
      <c r="W124" s="304">
        <f t="shared" ca="1" si="33"/>
        <v>33.445411873687824</v>
      </c>
      <c r="Y124" s="314" t="str">
        <f t="shared" ca="1" si="51"/>
        <v/>
      </c>
      <c r="Z124" s="315" t="str">
        <f t="shared" ca="1" si="52"/>
        <v/>
      </c>
      <c r="AA124" s="316" t="str">
        <f t="shared" ca="1" si="53"/>
        <v/>
      </c>
      <c r="AC124" s="310" t="e">
        <f t="shared" ca="1" si="54"/>
        <v>#N/A</v>
      </c>
      <c r="AD124" s="323" t="e">
        <f t="shared" ca="1" si="55"/>
        <v>#N/A</v>
      </c>
      <c r="AE124" s="324">
        <f t="shared" ca="1" si="34"/>
        <v>54.631346063040667</v>
      </c>
      <c r="AG124" s="306">
        <f t="shared" ca="1" si="56"/>
        <v>67.930901860125374</v>
      </c>
      <c r="AH124" s="304">
        <f t="shared" ca="1" si="57"/>
        <v>77.538031167697852</v>
      </c>
    </row>
    <row r="125" spans="1:34" x14ac:dyDescent="0.2">
      <c r="A125" s="347">
        <f t="shared" ca="1" si="35"/>
        <v>0.01</v>
      </c>
      <c r="B125" s="304">
        <f t="shared" ca="1" si="36"/>
        <v>1.2100000000000009</v>
      </c>
      <c r="D125" s="306">
        <f t="shared" ca="1" si="37"/>
        <v>15.66147939202493</v>
      </c>
      <c r="E125" s="307">
        <f t="shared" ca="1" si="38"/>
        <v>65.916395181664257</v>
      </c>
      <c r="F125" s="304">
        <f t="shared" ca="1" si="39"/>
        <v>67.751406557297045</v>
      </c>
      <c r="G125" s="306">
        <f t="shared" ca="1" si="40"/>
        <v>18.61995643180526</v>
      </c>
      <c r="H125" s="307">
        <f t="shared" ca="1" si="41"/>
        <v>89.933125258212939</v>
      </c>
      <c r="I125" s="304">
        <f t="shared" ca="1" si="42"/>
        <v>91.840458384264096</v>
      </c>
      <c r="J125" s="306">
        <f t="shared" ca="1" si="43"/>
        <v>10.851628406042078</v>
      </c>
      <c r="K125" s="307">
        <f t="shared" ca="1" si="44"/>
        <v>55.527381495863715</v>
      </c>
      <c r="L125" s="304">
        <f t="shared" ca="1" si="29"/>
        <v>56.577804259709538</v>
      </c>
      <c r="M125" s="306">
        <f t="shared" ca="1" si="45"/>
        <v>1.3666386355643632</v>
      </c>
      <c r="N125" s="304">
        <f t="shared" ca="1" si="46"/>
        <v>78.302625937355415</v>
      </c>
      <c r="P125" s="310">
        <f t="shared" ca="1" si="47"/>
        <v>4</v>
      </c>
      <c r="Q125" s="304">
        <f t="shared" ca="1" si="48"/>
        <v>706.19999999999982</v>
      </c>
      <c r="R125" s="306">
        <f t="shared" ca="1" si="49"/>
        <v>0.35440887692688861</v>
      </c>
      <c r="S125" s="307">
        <f t="shared" ca="1" si="50"/>
        <v>8.6999041834072592</v>
      </c>
      <c r="T125" s="304">
        <f t="shared" ca="1" si="30"/>
        <v>85.346060039225222</v>
      </c>
      <c r="U125" s="311">
        <f t="shared" ca="1" si="31"/>
        <v>0</v>
      </c>
      <c r="V125" s="306">
        <f t="shared" ca="1" si="32"/>
        <v>1.2182167286316099</v>
      </c>
      <c r="W125" s="304">
        <f t="shared" ca="1" si="33"/>
        <v>33.941128419238524</v>
      </c>
      <c r="Y125" s="314" t="str">
        <f t="shared" ca="1" si="51"/>
        <v/>
      </c>
      <c r="Z125" s="315" t="str">
        <f t="shared" ca="1" si="52"/>
        <v/>
      </c>
      <c r="AA125" s="316" t="str">
        <f t="shared" ca="1" si="53"/>
        <v/>
      </c>
      <c r="AC125" s="310" t="e">
        <f t="shared" ca="1" si="54"/>
        <v>#N/A</v>
      </c>
      <c r="AD125" s="323" t="e">
        <f t="shared" ca="1" si="55"/>
        <v>#N/A</v>
      </c>
      <c r="AE125" s="324">
        <f t="shared" ca="1" si="34"/>
        <v>55.527381495863715</v>
      </c>
      <c r="AG125" s="306">
        <f t="shared" ca="1" si="56"/>
        <v>67.722268253130466</v>
      </c>
      <c r="AH125" s="304">
        <f t="shared" ca="1" si="57"/>
        <v>77.328965232675955</v>
      </c>
    </row>
    <row r="126" spans="1:34" x14ac:dyDescent="0.2">
      <c r="A126" s="347">
        <f t="shared" ca="1" si="35"/>
        <v>0.01</v>
      </c>
      <c r="B126" s="304">
        <f t="shared" ca="1" si="36"/>
        <v>1.2200000000000009</v>
      </c>
      <c r="D126" s="306">
        <f t="shared" ca="1" si="37"/>
        <v>15.635377675317022</v>
      </c>
      <c r="E126" s="307">
        <f t="shared" ca="1" si="38"/>
        <v>65.707812519254247</v>
      </c>
      <c r="F126" s="304">
        <f t="shared" ca="1" si="39"/>
        <v>67.542443404982521</v>
      </c>
      <c r="G126" s="306">
        <f t="shared" ca="1" si="40"/>
        <v>18.776310208558431</v>
      </c>
      <c r="H126" s="307">
        <f t="shared" ca="1" si="41"/>
        <v>90.590203383405481</v>
      </c>
      <c r="I126" s="304">
        <f t="shared" ca="1" si="42"/>
        <v>92.515592059364707</v>
      </c>
      <c r="J126" s="306">
        <f t="shared" ca="1" si="43"/>
        <v>11.038609739243897</v>
      </c>
      <c r="K126" s="307">
        <f t="shared" ca="1" si="44"/>
        <v>56.429998139071806</v>
      </c>
      <c r="L126" s="304">
        <f t="shared" ca="1" si="29"/>
        <v>57.499526910670994</v>
      </c>
      <c r="M126" s="306">
        <f t="shared" ca="1" si="45"/>
        <v>1.3664236552487929</v>
      </c>
      <c r="N126" s="304">
        <f t="shared" ca="1" si="46"/>
        <v>78.290308472594859</v>
      </c>
      <c r="P126" s="310">
        <f t="shared" ca="1" si="47"/>
        <v>4</v>
      </c>
      <c r="Q126" s="304">
        <f t="shared" ca="1" si="48"/>
        <v>704.5999999999998</v>
      </c>
      <c r="R126" s="306">
        <f t="shared" ca="1" si="49"/>
        <v>0.35360591147364162</v>
      </c>
      <c r="S126" s="307">
        <f t="shared" ca="1" si="50"/>
        <v>8.6963681242925226</v>
      </c>
      <c r="T126" s="304">
        <f t="shared" ca="1" si="30"/>
        <v>85.311371299309656</v>
      </c>
      <c r="U126" s="311">
        <f t="shared" ca="1" si="31"/>
        <v>0</v>
      </c>
      <c r="V126" s="306">
        <f t="shared" ca="1" si="32"/>
        <v>1.2181067744631744</v>
      </c>
      <c r="W126" s="304">
        <f t="shared" ca="1" si="33"/>
        <v>34.438867069258748</v>
      </c>
      <c r="Y126" s="314" t="str">
        <f t="shared" ca="1" si="51"/>
        <v/>
      </c>
      <c r="Z126" s="315" t="str">
        <f t="shared" ca="1" si="52"/>
        <v/>
      </c>
      <c r="AA126" s="316" t="str">
        <f t="shared" ca="1" si="53"/>
        <v/>
      </c>
      <c r="AC126" s="310" t="e">
        <f t="shared" ca="1" si="54"/>
        <v>#N/A</v>
      </c>
      <c r="AD126" s="323" t="e">
        <f t="shared" ca="1" si="55"/>
        <v>#N/A</v>
      </c>
      <c r="AE126" s="324">
        <f t="shared" ca="1" si="34"/>
        <v>56.429998139071806</v>
      </c>
      <c r="AG126" s="306">
        <f t="shared" ca="1" si="56"/>
        <v>67.513153722552289</v>
      </c>
      <c r="AH126" s="304">
        <f t="shared" ca="1" si="57"/>
        <v>77.119420658761669</v>
      </c>
    </row>
    <row r="127" spans="1:34" x14ac:dyDescent="0.2">
      <c r="A127" s="347">
        <f t="shared" ca="1" si="35"/>
        <v>0.01</v>
      </c>
      <c r="B127" s="304">
        <f t="shared" ca="1" si="36"/>
        <v>1.2300000000000009</v>
      </c>
      <c r="D127" s="306">
        <f t="shared" ca="1" si="37"/>
        <v>15.608988245139608</v>
      </c>
      <c r="E127" s="307">
        <f t="shared" ca="1" si="38"/>
        <v>65.498801571240378</v>
      </c>
      <c r="F127" s="304">
        <f t="shared" ca="1" si="39"/>
        <v>67.333004695361893</v>
      </c>
      <c r="G127" s="306">
        <f t="shared" ca="1" si="40"/>
        <v>18.932400091009828</v>
      </c>
      <c r="H127" s="307">
        <f t="shared" ca="1" si="41"/>
        <v>91.245191399117886</v>
      </c>
      <c r="I127" s="304">
        <f t="shared" ca="1" si="42"/>
        <v>93.188629814305799</v>
      </c>
      <c r="J127" s="306">
        <f t="shared" ca="1" si="43"/>
        <v>11.22715329074174</v>
      </c>
      <c r="K127" s="307">
        <f t="shared" ca="1" si="44"/>
        <v>57.339175112984421</v>
      </c>
      <c r="L127" s="304">
        <f t="shared" ca="1" si="29"/>
        <v>58.427989642390614</v>
      </c>
      <c r="M127" s="306">
        <f t="shared" ca="1" si="45"/>
        <v>1.3662100059834563</v>
      </c>
      <c r="N127" s="304">
        <f t="shared" ca="1" si="46"/>
        <v>78.278067271394988</v>
      </c>
      <c r="P127" s="310">
        <f t="shared" ca="1" si="47"/>
        <v>4</v>
      </c>
      <c r="Q127" s="304">
        <f t="shared" ca="1" si="48"/>
        <v>702.99999999999989</v>
      </c>
      <c r="R127" s="306">
        <f t="shared" ca="1" si="49"/>
        <v>0.35280294602039469</v>
      </c>
      <c r="S127" s="307">
        <f t="shared" ca="1" si="50"/>
        <v>8.6928400948323183</v>
      </c>
      <c r="T127" s="304">
        <f t="shared" ca="1" si="30"/>
        <v>85.27676133030505</v>
      </c>
      <c r="U127" s="311">
        <f t="shared" ca="1" si="31"/>
        <v>0</v>
      </c>
      <c r="V127" s="306">
        <f t="shared" ca="1" si="32"/>
        <v>1.2179960311385112</v>
      </c>
      <c r="W127" s="304">
        <f t="shared" ca="1" si="33"/>
        <v>34.938588695694087</v>
      </c>
      <c r="Y127" s="314" t="str">
        <f t="shared" ca="1" si="51"/>
        <v/>
      </c>
      <c r="Z127" s="315" t="str">
        <f t="shared" ca="1" si="52"/>
        <v/>
      </c>
      <c r="AA127" s="316" t="str">
        <f t="shared" ca="1" si="53"/>
        <v/>
      </c>
      <c r="AC127" s="310" t="e">
        <f t="shared" ca="1" si="54"/>
        <v>#N/A</v>
      </c>
      <c r="AD127" s="323" t="e">
        <f t="shared" ca="1" si="55"/>
        <v>#N/A</v>
      </c>
      <c r="AE127" s="324">
        <f t="shared" ca="1" si="34"/>
        <v>57.339175112984421</v>
      </c>
      <c r="AG127" s="306">
        <f t="shared" ca="1" si="56"/>
        <v>67.303562809661443</v>
      </c>
      <c r="AH127" s="304">
        <f t="shared" ca="1" si="57"/>
        <v>76.909401948873352</v>
      </c>
    </row>
    <row r="128" spans="1:34" x14ac:dyDescent="0.2">
      <c r="A128" s="347">
        <f t="shared" ca="1" si="35"/>
        <v>0.01</v>
      </c>
      <c r="B128" s="304">
        <f t="shared" ca="1" si="36"/>
        <v>1.2400000000000009</v>
      </c>
      <c r="D128" s="306">
        <f t="shared" ca="1" si="37"/>
        <v>15.582314300761974</v>
      </c>
      <c r="E128" s="307">
        <f t="shared" ca="1" si="38"/>
        <v>65.289366376130744</v>
      </c>
      <c r="F128" s="304">
        <f t="shared" ca="1" si="39"/>
        <v>67.123094987972379</v>
      </c>
      <c r="G128" s="306">
        <f t="shared" ca="1" si="40"/>
        <v>19.088223234017448</v>
      </c>
      <c r="H128" s="307">
        <f t="shared" ca="1" si="41"/>
        <v>91.89808506287919</v>
      </c>
      <c r="I128" s="304">
        <f t="shared" ca="1" si="42"/>
        <v>93.859566930898765</v>
      </c>
      <c r="J128" s="306">
        <f t="shared" ca="1" si="43"/>
        <v>11.417256407366876</v>
      </c>
      <c r="K128" s="307">
        <f t="shared" ca="1" si="44"/>
        <v>58.254891495294409</v>
      </c>
      <c r="L128" s="304">
        <f t="shared" ca="1" si="29"/>
        <v>59.363171470197621</v>
      </c>
      <c r="M128" s="306">
        <f t="shared" ca="1" si="45"/>
        <v>1.3659976652994137</v>
      </c>
      <c r="N128" s="304">
        <f t="shared" ca="1" si="46"/>
        <v>78.265901046380435</v>
      </c>
      <c r="P128" s="310">
        <f t="shared" ca="1" si="47"/>
        <v>4</v>
      </c>
      <c r="Q128" s="304">
        <f t="shared" ca="1" si="48"/>
        <v>701.39999999999986</v>
      </c>
      <c r="R128" s="306">
        <f t="shared" ca="1" si="49"/>
        <v>0.35199998056714771</v>
      </c>
      <c r="S128" s="307">
        <f t="shared" ca="1" si="50"/>
        <v>8.6893200950266465</v>
      </c>
      <c r="T128" s="304">
        <f t="shared" ca="1" si="30"/>
        <v>85.242230132211404</v>
      </c>
      <c r="U128" s="311">
        <f t="shared" ca="1" si="31"/>
        <v>0</v>
      </c>
      <c r="V128" s="306">
        <f t="shared" ca="1" si="32"/>
        <v>1.2178845014217072</v>
      </c>
      <c r="W128" s="304">
        <f t="shared" ca="1" si="33"/>
        <v>35.44025421771105</v>
      </c>
      <c r="Y128" s="314" t="str">
        <f t="shared" ca="1" si="51"/>
        <v/>
      </c>
      <c r="Z128" s="315" t="str">
        <f t="shared" ca="1" si="52"/>
        <v/>
      </c>
      <c r="AA128" s="316" t="str">
        <f t="shared" ca="1" si="53"/>
        <v/>
      </c>
      <c r="AC128" s="310" t="e">
        <f t="shared" ca="1" si="54"/>
        <v>#N/A</v>
      </c>
      <c r="AD128" s="323" t="e">
        <f t="shared" ca="1" si="55"/>
        <v>#N/A</v>
      </c>
      <c r="AE128" s="324">
        <f t="shared" ca="1" si="34"/>
        <v>58.254891495294409</v>
      </c>
      <c r="AG128" s="306">
        <f t="shared" ca="1" si="56"/>
        <v>67.09350005963114</v>
      </c>
      <c r="AH128" s="304">
        <f t="shared" ca="1" si="57"/>
        <v>76.69891361071582</v>
      </c>
    </row>
    <row r="129" spans="1:34" x14ac:dyDescent="0.2">
      <c r="A129" s="347">
        <f t="shared" ca="1" si="35"/>
        <v>0.01</v>
      </c>
      <c r="B129" s="304">
        <f t="shared" ca="1" si="36"/>
        <v>1.2500000000000009</v>
      </c>
      <c r="D129" s="306">
        <f t="shared" ca="1" si="37"/>
        <v>15.555358989205374</v>
      </c>
      <c r="E129" s="307">
        <f t="shared" ca="1" si="38"/>
        <v>65.079510985290057</v>
      </c>
      <c r="F129" s="304">
        <f t="shared" ca="1" si="39"/>
        <v>66.91271884602763</v>
      </c>
      <c r="G129" s="306">
        <f t="shared" ca="1" si="40"/>
        <v>19.243776823909503</v>
      </c>
      <c r="H129" s="307">
        <f t="shared" ca="1" si="41"/>
        <v>92.548880172732083</v>
      </c>
      <c r="I129" s="304">
        <f t="shared" ca="1" si="42"/>
        <v>94.52839873643876</v>
      </c>
      <c r="J129" s="306">
        <f t="shared" ca="1" si="43"/>
        <v>11.608916407656512</v>
      </c>
      <c r="K129" s="307">
        <f t="shared" ca="1" si="44"/>
        <v>59.177126321472464</v>
      </c>
      <c r="L129" s="304">
        <f t="shared" ca="1" si="29"/>
        <v>60.305051362447784</v>
      </c>
      <c r="M129" s="306">
        <f t="shared" ca="1" si="45"/>
        <v>1.3657866112599666</v>
      </c>
      <c r="N129" s="304">
        <f t="shared" ca="1" si="46"/>
        <v>78.253808540670917</v>
      </c>
      <c r="P129" s="310">
        <f t="shared" ca="1" si="47"/>
        <v>4</v>
      </c>
      <c r="Q129" s="304">
        <f t="shared" ca="1" si="48"/>
        <v>699.79999999999984</v>
      </c>
      <c r="R129" s="306">
        <f t="shared" ca="1" si="49"/>
        <v>0.35119701511390067</v>
      </c>
      <c r="S129" s="307">
        <f t="shared" ca="1" si="50"/>
        <v>8.685808124875507</v>
      </c>
      <c r="T129" s="304">
        <f t="shared" ca="1" si="30"/>
        <v>85.207777705028732</v>
      </c>
      <c r="U129" s="311">
        <f t="shared" ca="1" si="31"/>
        <v>0</v>
      </c>
      <c r="V129" s="306">
        <f t="shared" ca="1" si="32"/>
        <v>1.2177721880825632</v>
      </c>
      <c r="W129" s="304">
        <f t="shared" ca="1" si="33"/>
        <v>35.943824604034887</v>
      </c>
      <c r="Y129" s="314" t="str">
        <f t="shared" ca="1" si="51"/>
        <v/>
      </c>
      <c r="Z129" s="315" t="str">
        <f t="shared" ca="1" si="52"/>
        <v/>
      </c>
      <c r="AA129" s="316" t="str">
        <f t="shared" ca="1" si="53"/>
        <v/>
      </c>
      <c r="AC129" s="310" t="e">
        <f t="shared" ca="1" si="54"/>
        <v>#N/A</v>
      </c>
      <c r="AD129" s="323" t="e">
        <f t="shared" ca="1" si="55"/>
        <v>#N/A</v>
      </c>
      <c r="AE129" s="324">
        <f t="shared" ca="1" si="34"/>
        <v>59.177126321472464</v>
      </c>
      <c r="AG129" s="306">
        <f t="shared" ca="1" si="56"/>
        <v>66.882970021262679</v>
      </c>
      <c r="AH129" s="304">
        <f t="shared" ca="1" si="57"/>
        <v>76.487960156477783</v>
      </c>
    </row>
    <row r="130" spans="1:34" x14ac:dyDescent="0.2">
      <c r="A130" s="347">
        <f t="shared" ca="1" si="35"/>
        <v>0.01</v>
      </c>
      <c r="B130" s="304">
        <f t="shared" ca="1" si="36"/>
        <v>1.2600000000000009</v>
      </c>
      <c r="D130" s="306">
        <f t="shared" ca="1" si="37"/>
        <v>15.528125406930256</v>
      </c>
      <c r="E130" s="307">
        <f t="shared" ca="1" si="38"/>
        <v>64.869239462370032</v>
      </c>
      <c r="F130" s="304">
        <f t="shared" ca="1" si="39"/>
        <v>66.70188083614778</v>
      </c>
      <c r="G130" s="306">
        <f t="shared" ca="1" si="40"/>
        <v>19.399058077978804</v>
      </c>
      <c r="H130" s="307">
        <f t="shared" ca="1" si="41"/>
        <v>93.197572567355778</v>
      </c>
      <c r="I130" s="304">
        <f t="shared" ca="1" si="42"/>
        <v>95.195120603738616</v>
      </c>
      <c r="J130" s="306">
        <f t="shared" ca="1" si="43"/>
        <v>11.802130582165953</v>
      </c>
      <c r="K130" s="307">
        <f t="shared" ca="1" si="44"/>
        <v>60.105858585172903</v>
      </c>
      <c r="L130" s="304">
        <f t="shared" ca="1" si="29"/>
        <v>61.25360824097875</v>
      </c>
      <c r="M130" s="306">
        <f t="shared" ca="1" si="45"/>
        <v>1.3655768224436631</v>
      </c>
      <c r="N130" s="304">
        <f t="shared" ca="1" si="46"/>
        <v>78.241788526907683</v>
      </c>
      <c r="P130" s="310">
        <f t="shared" ca="1" si="47"/>
        <v>4</v>
      </c>
      <c r="Q130" s="304">
        <f t="shared" ca="1" si="48"/>
        <v>698.19999999999982</v>
      </c>
      <c r="R130" s="306">
        <f t="shared" ca="1" si="49"/>
        <v>0.35039404966065368</v>
      </c>
      <c r="S130" s="307">
        <f t="shared" ca="1" si="50"/>
        <v>8.6823041843788999</v>
      </c>
      <c r="T130" s="304">
        <f t="shared" ca="1" si="30"/>
        <v>85.173404048757007</v>
      </c>
      <c r="U130" s="311">
        <f t="shared" ca="1" si="31"/>
        <v>0</v>
      </c>
      <c r="V130" s="306">
        <f t="shared" ca="1" si="32"/>
        <v>1.2176590938965237</v>
      </c>
      <c r="W130" s="304">
        <f t="shared" ca="1" si="33"/>
        <v>36.449260875274078</v>
      </c>
      <c r="Y130" s="314" t="str">
        <f t="shared" ca="1" si="51"/>
        <v/>
      </c>
      <c r="Z130" s="315" t="str">
        <f t="shared" ca="1" si="52"/>
        <v/>
      </c>
      <c r="AA130" s="316" t="str">
        <f t="shared" ca="1" si="53"/>
        <v/>
      </c>
      <c r="AC130" s="310" t="e">
        <f t="shared" ca="1" si="54"/>
        <v>#N/A</v>
      </c>
      <c r="AD130" s="323" t="e">
        <f t="shared" ca="1" si="55"/>
        <v>#N/A</v>
      </c>
      <c r="AE130" s="324">
        <f t="shared" ca="1" si="34"/>
        <v>60.105858585172903</v>
      </c>
      <c r="AG130" s="306">
        <f t="shared" ca="1" si="56"/>
        <v>66.671977246710185</v>
      </c>
      <c r="AH130" s="304">
        <f t="shared" ca="1" si="57"/>
        <v>76.276546102529835</v>
      </c>
    </row>
    <row r="131" spans="1:34" x14ac:dyDescent="0.2">
      <c r="A131" s="347">
        <f t="shared" ca="1" si="35"/>
        <v>0.01</v>
      </c>
      <c r="B131" s="304">
        <f t="shared" ca="1" si="36"/>
        <v>1.2700000000000009</v>
      </c>
      <c r="D131" s="306">
        <f t="shared" ca="1" si="37"/>
        <v>15.500616601453334</v>
      </c>
      <c r="E131" s="307">
        <f t="shared" ca="1" si="38"/>
        <v>64.658555882751514</v>
      </c>
      <c r="F131" s="304">
        <f t="shared" ca="1" si="39"/>
        <v>66.490585528089241</v>
      </c>
      <c r="G131" s="306">
        <f t="shared" ca="1" si="40"/>
        <v>19.554064243993338</v>
      </c>
      <c r="H131" s="307">
        <f t="shared" ca="1" si="41"/>
        <v>93.844158126183288</v>
      </c>
      <c r="I131" s="304">
        <f t="shared" ca="1" si="42"/>
        <v>95.859727951159513</v>
      </c>
      <c r="J131" s="306">
        <f t="shared" ca="1" si="43"/>
        <v>11.996896193775813</v>
      </c>
      <c r="K131" s="307">
        <f t="shared" ca="1" si="44"/>
        <v>61.041067238640601</v>
      </c>
      <c r="L131" s="304">
        <f t="shared" ca="1" si="29"/>
        <v>62.208820981565594</v>
      </c>
      <c r="M131" s="306">
        <f t="shared" ca="1" si="45"/>
        <v>1.3653682779279763</v>
      </c>
      <c r="N131" s="304">
        <f t="shared" ca="1" si="46"/>
        <v>78.229839806318239</v>
      </c>
      <c r="P131" s="310">
        <f t="shared" ca="1" si="47"/>
        <v>4</v>
      </c>
      <c r="Q131" s="304">
        <f t="shared" ca="1" si="48"/>
        <v>696.5999999999998</v>
      </c>
      <c r="R131" s="306">
        <f t="shared" ca="1" si="49"/>
        <v>0.3495910842074067</v>
      </c>
      <c r="S131" s="307">
        <f t="shared" ca="1" si="50"/>
        <v>8.6788082735368253</v>
      </c>
      <c r="T131" s="304">
        <f t="shared" ca="1" si="30"/>
        <v>85.139109163396256</v>
      </c>
      <c r="U131" s="311">
        <f t="shared" ca="1" si="31"/>
        <v>0</v>
      </c>
      <c r="V131" s="306">
        <f t="shared" ca="1" si="32"/>
        <v>1.217545221644609</v>
      </c>
      <c r="W131" s="304">
        <f t="shared" ca="1" si="33"/>
        <v>36.95652410623002</v>
      </c>
      <c r="Y131" s="314" t="str">
        <f t="shared" ca="1" si="51"/>
        <v/>
      </c>
      <c r="Z131" s="315" t="str">
        <f t="shared" ca="1" si="52"/>
        <v/>
      </c>
      <c r="AA131" s="316" t="str">
        <f t="shared" ca="1" si="53"/>
        <v/>
      </c>
      <c r="AC131" s="310" t="e">
        <f t="shared" ca="1" si="54"/>
        <v>#N/A</v>
      </c>
      <c r="AD131" s="323" t="e">
        <f t="shared" ca="1" si="55"/>
        <v>#N/A</v>
      </c>
      <c r="AE131" s="324">
        <f t="shared" ca="1" si="34"/>
        <v>61.041067238640601</v>
      </c>
      <c r="AG131" s="306">
        <f t="shared" ca="1" si="56"/>
        <v>66.460526291205397</v>
      </c>
      <c r="AH131" s="304">
        <f t="shared" ca="1" si="57"/>
        <v>76.064675969123385</v>
      </c>
    </row>
    <row r="132" spans="1:34" x14ac:dyDescent="0.2">
      <c r="A132" s="347">
        <f t="shared" ca="1" si="35"/>
        <v>0.01</v>
      </c>
      <c r="B132" s="304">
        <f t="shared" ca="1" si="36"/>
        <v>1.2800000000000009</v>
      </c>
      <c r="D132" s="306">
        <f t="shared" ca="1" si="37"/>
        <v>15.472835572898033</v>
      </c>
      <c r="E132" s="307">
        <f t="shared" ca="1" si="38"/>
        <v>64.447464332997498</v>
      </c>
      <c r="F132" s="304">
        <f t="shared" ca="1" si="39"/>
        <v>66.278837494474232</v>
      </c>
      <c r="G132" s="306">
        <f t="shared" ca="1" si="40"/>
        <v>19.708792599722319</v>
      </c>
      <c r="H132" s="307">
        <f t="shared" ca="1" si="41"/>
        <v>94.488632769513259</v>
      </c>
      <c r="I132" s="304">
        <f t="shared" ca="1" si="42"/>
        <v>96.522216242639203</v>
      </c>
      <c r="J132" s="306">
        <f t="shared" ca="1" si="43"/>
        <v>12.193210477994391</v>
      </c>
      <c r="K132" s="307">
        <f t="shared" ca="1" si="44"/>
        <v>61.982731193119086</v>
      </c>
      <c r="L132" s="304">
        <f t="shared" ref="L132:L195" ca="1" si="58">SQRT(pos_x^2+pos_z^2)</f>
        <v>63.170668414376699</v>
      </c>
      <c r="M132" s="306">
        <f t="shared" ca="1" si="45"/>
        <v>1.3651609572736292</v>
      </c>
      <c r="N132" s="304">
        <f t="shared" ca="1" si="46"/>
        <v>78.217961207818249</v>
      </c>
      <c r="P132" s="310">
        <f t="shared" ca="1" si="47"/>
        <v>4</v>
      </c>
      <c r="Q132" s="304">
        <f t="shared" ca="1" si="48"/>
        <v>694.99999999999989</v>
      </c>
      <c r="R132" s="306">
        <f t="shared" ca="1" si="49"/>
        <v>0.34878811875415977</v>
      </c>
      <c r="S132" s="307">
        <f t="shared" ca="1" si="50"/>
        <v>8.675320392349283</v>
      </c>
      <c r="T132" s="304">
        <f t="shared" ref="T132:T195" ca="1" si="59">m*g</f>
        <v>85.104893048946465</v>
      </c>
      <c r="U132" s="311">
        <f t="shared" ref="U132:U195" ca="1" si="60">IF(pos_xz&lt;L_rampe,Poids*COS(Beta),0)</f>
        <v>0</v>
      </c>
      <c r="V132" s="306">
        <f t="shared" ref="V132:V195" ca="1" si="61">Rho_moyen*(20000-Alt_rampe-pos_z)/(20000+Alt_rampe+pos_z)</f>
        <v>1.217430574113344</v>
      </c>
      <c r="W132" s="304">
        <f t="shared" ref="W132:W195" ca="1" si="62">1/2*Rho*Sref*Cx*vit_xz^2</f>
        <v>37.465575428192857</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61.982731193119086</v>
      </c>
      <c r="AG132" s="306">
        <f t="shared" ca="1" si="56"/>
        <v>66.248621712782068</v>
      </c>
      <c r="AH132" s="304">
        <f t="shared" ca="1" si="57"/>
        <v>75.85235428009031</v>
      </c>
    </row>
    <row r="133" spans="1:34" x14ac:dyDescent="0.2">
      <c r="A133" s="347">
        <f t="shared" ref="A133:A196" ca="1" si="64">IF(B132+0.01&lt;=T_ini+ROUNDUP(Temps_fin_propu,0), 0.01, IF(K132&gt;0, 0.1, 0.0001))</f>
        <v>0.01</v>
      </c>
      <c r="B133" s="304">
        <f t="shared" ref="B133:B196" ca="1" si="65">B132+pas</f>
        <v>1.2900000000000009</v>
      </c>
      <c r="D133" s="306">
        <f t="shared" ref="D133:D196" ca="1" si="66">IF(AND(L132&lt;L_rampe,Poussee&lt;Poids*SIN(M132)),0,(-W132+Poussee)/m*COS(M132)-U132/m*SIN(M132))</f>
        <v>15.444785275481157</v>
      </c>
      <c r="E133" s="307">
        <f t="shared" ref="E133:E196" ca="1" si="67">IF(AND(L132&lt;L_rampe,Poussee&lt;Poids*SIN(M132)),0,(-W132+Poussee)/m*SIN(M132)+U132/m*COS(M132)-Poids/m)</f>
        <v>64.235968910317027</v>
      </c>
      <c r="F133" s="304">
        <f t="shared" ref="F133:F196" ca="1" si="68">SQRT(acc_x^2+acc_z^2)</f>
        <v>66.066641310520211</v>
      </c>
      <c r="G133" s="306">
        <f t="shared" ref="G133:G196" ca="1" si="69">G132+acc_x*pas</f>
        <v>19.863240452477129</v>
      </c>
      <c r="H133" s="307">
        <f t="shared" ref="H133:H196" ca="1" si="70">H132+acc_z*pas</f>
        <v>95.130992458616433</v>
      </c>
      <c r="I133" s="304">
        <f t="shared" ref="I133:I196" ca="1" si="71">SQRT(vit_x^2+vit_z^2)</f>
        <v>97.182580987717444</v>
      </c>
      <c r="J133" s="306">
        <f t="shared" ref="J133:J196" ca="1" si="72">J132+0.5*(vit_x+G132)*pas*(K132&gt;=0)</f>
        <v>12.391070643255388</v>
      </c>
      <c r="K133" s="307">
        <f t="shared" ref="K133:K196" ca="1" si="73">K132+0.5*(vit_z+H132)*pas</f>
        <v>62.930829319259736</v>
      </c>
      <c r="L133" s="304">
        <f t="shared" ca="1" si="58"/>
        <v>64.139129324429916</v>
      </c>
      <c r="M133" s="306">
        <f t="shared" ref="M133:M196" ca="1" si="74">IF(AND(L132&gt;L_rampe,G133&gt;0),ATAN2(G133,H133),$M$4)</f>
        <v>1.3649548405095304</v>
      </c>
      <c r="N133" s="304">
        <f t="shared" ref="N133:N196" ca="1" si="75">DEGREES(Beta)</f>
        <v>78.206151587148497</v>
      </c>
      <c r="P133" s="310">
        <f t="shared" ref="P133:P196" ca="1" si="76">MATCH(t-pas/2-T_ini,CdP_t)</f>
        <v>4</v>
      </c>
      <c r="Q133" s="304">
        <f t="shared" ref="Q133:Q196" ca="1" si="77">(INDEX(CdP,2,i_P+1)-INDEX(CdP,2,i_P+0))/(INDEX(CdP,1,i_P+1)-INDEX(CdP,1,i_P+0))*(t-pas/2-T_ini-INDEX(CdP,1,i_P+0))+INDEX(CdP,2,i_P+0)</f>
        <v>693.39999999999986</v>
      </c>
      <c r="R133" s="306">
        <f t="shared" ref="R133:R196" ca="1" si="78">Poussee/(g*ISP)</f>
        <v>0.34798515330091273</v>
      </c>
      <c r="S133" s="307">
        <f t="shared" ref="S133:S196" ca="1" si="79">S132-Débit*pas</f>
        <v>8.6718405408162731</v>
      </c>
      <c r="T133" s="304">
        <f t="shared" ca="1" si="59"/>
        <v>85.070755705407649</v>
      </c>
      <c r="U133" s="311">
        <f t="shared" ca="1" si="60"/>
        <v>0</v>
      </c>
      <c r="V133" s="306">
        <f t="shared" ca="1" si="61"/>
        <v>1.2173151540946916</v>
      </c>
      <c r="W133" s="304">
        <f t="shared" ca="1" si="62"/>
        <v>37.976376031222635</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62.930829319259736</v>
      </c>
      <c r="AG133" s="306">
        <f t="shared" ref="AG133:AG196" ca="1" si="85">IF(AND(L132&lt;L_rampe,Poussee&lt;Poids*SIN(M132)),0,(-W132+Poussee)/m-Poids*SIN(M132)/m)</f>
        <v>66.036268072000468</v>
      </c>
      <c r="AH133" s="304">
        <f t="shared" ref="AH133:AH196" ca="1" si="86">IF(AND(L132&lt;L_rampe,Poussee&lt;Poids*SIN(M132)), g*SIN(M132), (-W132+Poussee)/m)</f>
        <v>75.639585562543616</v>
      </c>
    </row>
    <row r="134" spans="1:34" x14ac:dyDescent="0.2">
      <c r="A134" s="347">
        <f t="shared" ca="1" si="64"/>
        <v>0.01</v>
      </c>
      <c r="B134" s="304">
        <f t="shared" ca="1" si="65"/>
        <v>1.3000000000000009</v>
      </c>
      <c r="D134" s="306">
        <f t="shared" ca="1" si="66"/>
        <v>15.416468618939069</v>
      </c>
      <c r="E134" s="307">
        <f t="shared" ca="1" si="67"/>
        <v>64.024073722039276</v>
      </c>
      <c r="F134" s="304">
        <f t="shared" ca="1" si="68"/>
        <v>65.854001553769336</v>
      </c>
      <c r="G134" s="306">
        <f t="shared" ca="1" si="69"/>
        <v>20.017405138666518</v>
      </c>
      <c r="H134" s="307">
        <f t="shared" ca="1" si="70"/>
        <v>95.771233195836828</v>
      </c>
      <c r="I134" s="304">
        <f t="shared" ca="1" si="71"/>
        <v>97.84081774155851</v>
      </c>
      <c r="J134" s="306">
        <f t="shared" ca="1" si="72"/>
        <v>12.590473871211106</v>
      </c>
      <c r="K134" s="307">
        <f t="shared" ca="1" si="73"/>
        <v>63.885340447532002</v>
      </c>
      <c r="L134" s="304">
        <f t="shared" ca="1" si="58"/>
        <v>65.114182452048937</v>
      </c>
      <c r="M134" s="306">
        <f t="shared" ca="1" si="74"/>
        <v>1.3647499081182963</v>
      </c>
      <c r="N134" s="304">
        <f t="shared" ca="1" si="75"/>
        <v>78.194409826045259</v>
      </c>
      <c r="P134" s="310">
        <f t="shared" ca="1" si="76"/>
        <v>4</v>
      </c>
      <c r="Q134" s="304">
        <f t="shared" ca="1" si="77"/>
        <v>691.79999999999984</v>
      </c>
      <c r="R134" s="306">
        <f t="shared" ca="1" si="78"/>
        <v>0.34718218784766575</v>
      </c>
      <c r="S134" s="307">
        <f t="shared" ca="1" si="79"/>
        <v>8.6683687189377956</v>
      </c>
      <c r="T134" s="304">
        <f t="shared" ca="1" si="59"/>
        <v>85.036697132779778</v>
      </c>
      <c r="U134" s="311">
        <f t="shared" ca="1" si="60"/>
        <v>0</v>
      </c>
      <c r="V134" s="306">
        <f t="shared" ca="1" si="61"/>
        <v>1.21719896438598</v>
      </c>
      <c r="W134" s="304">
        <f t="shared" ca="1" si="62"/>
        <v>38.488887166415608</v>
      </c>
      <c r="Y134" s="314" t="str">
        <f t="shared" ca="1" si="80"/>
        <v/>
      </c>
      <c r="Z134" s="315" t="str">
        <f t="shared" ca="1" si="81"/>
        <v/>
      </c>
      <c r="AA134" s="316" t="str">
        <f t="shared" ca="1" si="82"/>
        <v/>
      </c>
      <c r="AC134" s="310" t="e">
        <f t="shared" ca="1" si="83"/>
        <v>#N/A</v>
      </c>
      <c r="AD134" s="323" t="e">
        <f t="shared" ca="1" si="84"/>
        <v>#N/A</v>
      </c>
      <c r="AE134" s="324">
        <f t="shared" ca="1" si="63"/>
        <v>63.885340447532002</v>
      </c>
      <c r="AG134" s="306">
        <f t="shared" ca="1" si="85"/>
        <v>65.823469931671767</v>
      </c>
      <c r="AH134" s="304">
        <f t="shared" ca="1" si="86"/>
        <v>75.426374346578953</v>
      </c>
    </row>
    <row r="135" spans="1:34" x14ac:dyDescent="0.2">
      <c r="A135" s="347">
        <f t="shared" ca="1" si="64"/>
        <v>0.01</v>
      </c>
      <c r="B135" s="304">
        <f t="shared" ca="1" si="65"/>
        <v>1.3100000000000009</v>
      </c>
      <c r="D135" s="306">
        <f t="shared" ca="1" si="66"/>
        <v>15.387888469895996</v>
      </c>
      <c r="E135" s="307">
        <f t="shared" ca="1" si="67"/>
        <v>63.811782885097315</v>
      </c>
      <c r="F135" s="304">
        <f t="shared" ca="1" si="68"/>
        <v>65.640922803817716</v>
      </c>
      <c r="G135" s="306">
        <f t="shared" ca="1" si="69"/>
        <v>20.171284023365477</v>
      </c>
      <c r="H135" s="307">
        <f t="shared" ca="1" si="70"/>
        <v>96.409351024687808</v>
      </c>
      <c r="I135" s="304">
        <f t="shared" ca="1" si="71"/>
        <v>98.496922104971134</v>
      </c>
      <c r="J135" s="306">
        <f t="shared" ca="1" si="72"/>
        <v>12.791417317021265</v>
      </c>
      <c r="K135" s="307">
        <f t="shared" ca="1" si="73"/>
        <v>64.846243368634632</v>
      </c>
      <c r="L135" s="304">
        <f t="shared" ca="1" si="58"/>
        <v>66.095806493319856</v>
      </c>
      <c r="M135" s="306">
        <f t="shared" ca="1" si="74"/>
        <v>1.3645461410223287</v>
      </c>
      <c r="N135" s="304">
        <f t="shared" ca="1" si="75"/>
        <v>78.182734831442687</v>
      </c>
      <c r="P135" s="310">
        <f t="shared" ca="1" si="76"/>
        <v>4</v>
      </c>
      <c r="Q135" s="304">
        <f t="shared" ca="1" si="77"/>
        <v>690.19999999999982</v>
      </c>
      <c r="R135" s="306">
        <f t="shared" ca="1" si="78"/>
        <v>0.34637922239441876</v>
      </c>
      <c r="S135" s="307">
        <f t="shared" ca="1" si="79"/>
        <v>8.6649049267138523</v>
      </c>
      <c r="T135" s="304">
        <f t="shared" ca="1" si="59"/>
        <v>85.002717331062897</v>
      </c>
      <c r="U135" s="311">
        <f t="shared" ca="1" si="60"/>
        <v>0</v>
      </c>
      <c r="V135" s="306">
        <f t="shared" ca="1" si="61"/>
        <v>1.2170820077898346</v>
      </c>
      <c r="W135" s="304">
        <f t="shared" ca="1" si="62"/>
        <v>39.003070148155864</v>
      </c>
      <c r="Y135" s="314" t="str">
        <f t="shared" ca="1" si="80"/>
        <v/>
      </c>
      <c r="Z135" s="315" t="str">
        <f t="shared" ca="1" si="81"/>
        <v/>
      </c>
      <c r="AA135" s="316" t="str">
        <f t="shared" ca="1" si="82"/>
        <v/>
      </c>
      <c r="AC135" s="310" t="e">
        <f t="shared" ca="1" si="83"/>
        <v>#N/A</v>
      </c>
      <c r="AD135" s="323" t="e">
        <f t="shared" ca="1" si="84"/>
        <v>#N/A</v>
      </c>
      <c r="AE135" s="324">
        <f t="shared" ca="1" si="63"/>
        <v>64.846243368634632</v>
      </c>
      <c r="AG135" s="306">
        <f t="shared" ca="1" si="85"/>
        <v>65.610231856582544</v>
      </c>
      <c r="AH135" s="304">
        <f t="shared" ca="1" si="86"/>
        <v>75.212725164977016</v>
      </c>
    </row>
    <row r="136" spans="1:34" x14ac:dyDescent="0.2">
      <c r="A136" s="347">
        <f t="shared" ca="1" si="64"/>
        <v>0.01</v>
      </c>
      <c r="B136" s="304">
        <f t="shared" ca="1" si="65"/>
        <v>1.320000000000001</v>
      </c>
      <c r="D136" s="306">
        <f t="shared" ca="1" si="66"/>
        <v>15.359047653177361</v>
      </c>
      <c r="E136" s="307">
        <f t="shared" ca="1" si="67"/>
        <v>63.599100525521621</v>
      </c>
      <c r="F136" s="304">
        <f t="shared" ca="1" si="68"/>
        <v>65.427409642045106</v>
      </c>
      <c r="G136" s="306">
        <f t="shared" ca="1" si="69"/>
        <v>20.324874499897252</v>
      </c>
      <c r="H136" s="307">
        <f t="shared" ca="1" si="70"/>
        <v>97.045342029943029</v>
      </c>
      <c r="I136" s="304">
        <f t="shared" ca="1" si="71"/>
        <v>99.150889724425568</v>
      </c>
      <c r="J136" s="306">
        <f t="shared" ca="1" si="72"/>
        <v>12.993898109637579</v>
      </c>
      <c r="K136" s="307">
        <f t="shared" ca="1" si="73"/>
        <v>65.813516833907784</v>
      </c>
      <c r="L136" s="304">
        <f t="shared" ca="1" si="58"/>
        <v>67.08398010054789</v>
      </c>
      <c r="M136" s="306">
        <f t="shared" ca="1" si="74"/>
        <v>1.3643435205704251</v>
      </c>
      <c r="N136" s="304">
        <f t="shared" ca="1" si="75"/>
        <v>78.171125534705567</v>
      </c>
      <c r="P136" s="310">
        <f t="shared" ca="1" si="76"/>
        <v>4</v>
      </c>
      <c r="Q136" s="304">
        <f t="shared" ca="1" si="77"/>
        <v>688.5999999999998</v>
      </c>
      <c r="R136" s="306">
        <f t="shared" ca="1" si="78"/>
        <v>0.34557625694117178</v>
      </c>
      <c r="S136" s="307">
        <f t="shared" ca="1" si="79"/>
        <v>8.6614491641444413</v>
      </c>
      <c r="T136" s="304">
        <f t="shared" ca="1" si="59"/>
        <v>84.968816300256975</v>
      </c>
      <c r="U136" s="311">
        <f t="shared" ca="1" si="60"/>
        <v>0</v>
      </c>
      <c r="V136" s="306">
        <f t="shared" ca="1" si="61"/>
        <v>1.2169642871141109</v>
      </c>
      <c r="W136" s="304">
        <f t="shared" ca="1" si="62"/>
        <v>39.518886356351707</v>
      </c>
      <c r="Y136" s="314" t="str">
        <f t="shared" ca="1" si="80"/>
        <v/>
      </c>
      <c r="Z136" s="315" t="str">
        <f t="shared" ca="1" si="81"/>
        <v/>
      </c>
      <c r="AA136" s="316" t="str">
        <f t="shared" ca="1" si="82"/>
        <v/>
      </c>
      <c r="AC136" s="310" t="e">
        <f t="shared" ca="1" si="83"/>
        <v>#N/A</v>
      </c>
      <c r="AD136" s="323" t="e">
        <f t="shared" ca="1" si="84"/>
        <v>#N/A</v>
      </c>
      <c r="AE136" s="324">
        <f t="shared" ca="1" si="63"/>
        <v>65.813516833907784</v>
      </c>
      <c r="AG136" s="306">
        <f t="shared" ca="1" si="85"/>
        <v>65.396558413219395</v>
      </c>
      <c r="AH136" s="304">
        <f t="shared" ca="1" si="86"/>
        <v>74.998642552906986</v>
      </c>
    </row>
    <row r="137" spans="1:34" x14ac:dyDescent="0.2">
      <c r="A137" s="347">
        <f t="shared" ca="1" si="64"/>
        <v>0.01</v>
      </c>
      <c r="B137" s="304">
        <f t="shared" ca="1" si="65"/>
        <v>1.330000000000001</v>
      </c>
      <c r="D137" s="306">
        <f t="shared" ca="1" si="66"/>
        <v>15.329948953070522</v>
      </c>
      <c r="E137" s="307">
        <f t="shared" ca="1" si="67"/>
        <v>63.386030777942423</v>
      </c>
      <c r="F137" s="304">
        <f t="shared" ca="1" si="68"/>
        <v>65.213466651344433</v>
      </c>
      <c r="G137" s="306">
        <f t="shared" ca="1" si="69"/>
        <v>20.478173989427958</v>
      </c>
      <c r="H137" s="307">
        <f t="shared" ca="1" si="70"/>
        <v>97.679202337722458</v>
      </c>
      <c r="I137" s="304">
        <f t="shared" ca="1" si="71"/>
        <v>99.80271629206797</v>
      </c>
      <c r="J137" s="306">
        <f t="shared" ca="1" si="72"/>
        <v>13.197913352084205</v>
      </c>
      <c r="K137" s="307">
        <f t="shared" ca="1" si="73"/>
        <v>66.787139555746108</v>
      </c>
      <c r="L137" s="304">
        <f t="shared" ca="1" si="58"/>
        <v>68.07868188271442</v>
      </c>
      <c r="M137" s="306">
        <f t="shared" ca="1" si="74"/>
        <v>1.3641420285248969</v>
      </c>
      <c r="N137" s="304">
        <f t="shared" ca="1" si="75"/>
        <v>78.159580890891348</v>
      </c>
      <c r="P137" s="310">
        <f t="shared" ca="1" si="76"/>
        <v>4</v>
      </c>
      <c r="Q137" s="304">
        <f t="shared" ca="1" si="77"/>
        <v>686.99999999999977</v>
      </c>
      <c r="R137" s="306">
        <f t="shared" ca="1" si="78"/>
        <v>0.34477329148792474</v>
      </c>
      <c r="S137" s="307">
        <f t="shared" ca="1" si="79"/>
        <v>8.6580014312295628</v>
      </c>
      <c r="T137" s="304">
        <f t="shared" ca="1" si="59"/>
        <v>84.934994040362014</v>
      </c>
      <c r="U137" s="311">
        <f t="shared" ca="1" si="60"/>
        <v>0</v>
      </c>
      <c r="V137" s="306">
        <f t="shared" ca="1" si="61"/>
        <v>1.216845805171819</v>
      </c>
      <c r="W137" s="304">
        <f t="shared" ca="1" si="62"/>
        <v>40.036297238656694</v>
      </c>
      <c r="Y137" s="314" t="str">
        <f t="shared" ca="1" si="80"/>
        <v/>
      </c>
      <c r="Z137" s="315" t="str">
        <f t="shared" ca="1" si="81"/>
        <v/>
      </c>
      <c r="AA137" s="316" t="str">
        <f t="shared" ca="1" si="82"/>
        <v/>
      </c>
      <c r="AC137" s="310" t="e">
        <f t="shared" ca="1" si="83"/>
        <v>#N/A</v>
      </c>
      <c r="AD137" s="323" t="e">
        <f t="shared" ca="1" si="84"/>
        <v>#N/A</v>
      </c>
      <c r="AE137" s="324">
        <f t="shared" ca="1" si="63"/>
        <v>66.787139555746108</v>
      </c>
      <c r="AG137" s="306">
        <f t="shared" ca="1" si="85"/>
        <v>65.182454169493838</v>
      </c>
      <c r="AH137" s="304">
        <f t="shared" ca="1" si="86"/>
        <v>74.784131047630964</v>
      </c>
    </row>
    <row r="138" spans="1:34" x14ac:dyDescent="0.2">
      <c r="A138" s="347">
        <f t="shared" ca="1" si="64"/>
        <v>0.01</v>
      </c>
      <c r="B138" s="304">
        <f t="shared" ca="1" si="65"/>
        <v>1.340000000000001</v>
      </c>
      <c r="D138" s="306">
        <f t="shared" ca="1" si="66"/>
        <v>15.300595114535275</v>
      </c>
      <c r="E138" s="307">
        <f t="shared" ca="1" si="67"/>
        <v>63.172577785101055</v>
      </c>
      <c r="F138" s="304">
        <f t="shared" ca="1" si="68"/>
        <v>64.999098415851762</v>
      </c>
      <c r="G138" s="306">
        <f t="shared" ca="1" si="69"/>
        <v>20.631179940573311</v>
      </c>
      <c r="H138" s="307">
        <f t="shared" ca="1" si="70"/>
        <v>98.310928115573475</v>
      </c>
      <c r="I138" s="304">
        <f t="shared" ca="1" si="71"/>
        <v>100.45239754573193</v>
      </c>
      <c r="J138" s="306">
        <f t="shared" ca="1" si="72"/>
        <v>13.403460121734211</v>
      </c>
      <c r="K138" s="307">
        <f t="shared" ca="1" si="73"/>
        <v>67.76709020801259</v>
      </c>
      <c r="L138" s="304">
        <f t="shared" ca="1" si="58"/>
        <v>69.079890405933881</v>
      </c>
      <c r="M138" s="306">
        <f t="shared" ca="1" si="74"/>
        <v>1.363941647049171</v>
      </c>
      <c r="N138" s="304">
        <f t="shared" ca="1" si="75"/>
        <v>78.148099878039645</v>
      </c>
      <c r="P138" s="310">
        <f t="shared" ca="1" si="76"/>
        <v>4</v>
      </c>
      <c r="Q138" s="304">
        <f t="shared" ca="1" si="77"/>
        <v>685.39999999999986</v>
      </c>
      <c r="R138" s="306">
        <f t="shared" ca="1" si="78"/>
        <v>0.34397032603467781</v>
      </c>
      <c r="S138" s="307">
        <f t="shared" ca="1" si="79"/>
        <v>8.6545617279692166</v>
      </c>
      <c r="T138" s="304">
        <f t="shared" ca="1" si="59"/>
        <v>84.901250551378013</v>
      </c>
      <c r="U138" s="311">
        <f t="shared" ca="1" si="60"/>
        <v>0</v>
      </c>
      <c r="V138" s="306">
        <f t="shared" ca="1" si="61"/>
        <v>1.216726564781059</v>
      </c>
      <c r="W138" s="304">
        <f t="shared" ca="1" si="62"/>
        <v>40.555264312675334</v>
      </c>
      <c r="Y138" s="314" t="str">
        <f t="shared" ca="1" si="80"/>
        <v/>
      </c>
      <c r="Z138" s="315" t="str">
        <f t="shared" ca="1" si="81"/>
        <v/>
      </c>
      <c r="AA138" s="316" t="str">
        <f t="shared" ca="1" si="82"/>
        <v/>
      </c>
      <c r="AC138" s="310" t="e">
        <f t="shared" ca="1" si="83"/>
        <v>#N/A</v>
      </c>
      <c r="AD138" s="323" t="e">
        <f t="shared" ca="1" si="84"/>
        <v>#N/A</v>
      </c>
      <c r="AE138" s="324">
        <f t="shared" ca="1" si="63"/>
        <v>67.76709020801259</v>
      </c>
      <c r="AG138" s="306">
        <f t="shared" ca="1" si="85"/>
        <v>64.967923694467331</v>
      </c>
      <c r="AH138" s="304">
        <f t="shared" ca="1" si="86"/>
        <v>74.569195188209378</v>
      </c>
    </row>
    <row r="139" spans="1:34" x14ac:dyDescent="0.2">
      <c r="A139" s="347">
        <f t="shared" ca="1" si="64"/>
        <v>0.01</v>
      </c>
      <c r="B139" s="304">
        <f t="shared" ca="1" si="65"/>
        <v>1.350000000000001</v>
      </c>
      <c r="D139" s="306">
        <f t="shared" ca="1" si="66"/>
        <v>15.27098884436665</v>
      </c>
      <c r="E139" s="307">
        <f t="shared" ca="1" si="67"/>
        <v>62.958745697369665</v>
      </c>
      <c r="F139" s="304">
        <f t="shared" ca="1" si="68"/>
        <v>64.784309520676644</v>
      </c>
      <c r="G139" s="306">
        <f t="shared" ca="1" si="69"/>
        <v>20.783889829016978</v>
      </c>
      <c r="H139" s="307">
        <f t="shared" ca="1" si="70"/>
        <v>98.94051557254717</v>
      </c>
      <c r="I139" s="304">
        <f t="shared" ca="1" si="71"/>
        <v>101.09992926894738</v>
      </c>
      <c r="J139" s="306">
        <f t="shared" ca="1" si="72"/>
        <v>13.610535470582162</v>
      </c>
      <c r="K139" s="307">
        <f t="shared" ca="1" si="73"/>
        <v>68.753347426453189</v>
      </c>
      <c r="L139" s="304">
        <f t="shared" ca="1" si="58"/>
        <v>70.087584193910928</v>
      </c>
      <c r="M139" s="306">
        <f t="shared" ca="1" si="74"/>
        <v>1.3637423586958555</v>
      </c>
      <c r="N139" s="304">
        <f t="shared" ca="1" si="75"/>
        <v>78.136681496488563</v>
      </c>
      <c r="P139" s="310">
        <f t="shared" ca="1" si="76"/>
        <v>4</v>
      </c>
      <c r="Q139" s="304">
        <f t="shared" ca="1" si="77"/>
        <v>683.79999999999984</v>
      </c>
      <c r="R139" s="306">
        <f t="shared" ca="1" si="78"/>
        <v>0.34316736058143082</v>
      </c>
      <c r="S139" s="307">
        <f t="shared" ca="1" si="79"/>
        <v>8.6511300543634029</v>
      </c>
      <c r="T139" s="304">
        <f t="shared" ca="1" si="59"/>
        <v>84.867585833304986</v>
      </c>
      <c r="U139" s="311">
        <f t="shared" ca="1" si="60"/>
        <v>0</v>
      </c>
      <c r="V139" s="306">
        <f t="shared" ca="1" si="61"/>
        <v>1.2166065687649499</v>
      </c>
      <c r="W139" s="304">
        <f t="shared" ca="1" si="62"/>
        <v>41.07574916815318</v>
      </c>
      <c r="Y139" s="314" t="str">
        <f t="shared" ca="1" si="80"/>
        <v/>
      </c>
      <c r="Z139" s="315" t="str">
        <f t="shared" ca="1" si="81"/>
        <v/>
      </c>
      <c r="AA139" s="316" t="str">
        <f t="shared" ca="1" si="82"/>
        <v/>
      </c>
      <c r="AC139" s="310" t="e">
        <f t="shared" ca="1" si="83"/>
        <v>#N/A</v>
      </c>
      <c r="AD139" s="323" t="e">
        <f t="shared" ca="1" si="84"/>
        <v>#N/A</v>
      </c>
      <c r="AE139" s="324">
        <f t="shared" ca="1" si="63"/>
        <v>68.753347426453189</v>
      </c>
      <c r="AG139" s="306">
        <f t="shared" ca="1" si="85"/>
        <v>64.752971558076737</v>
      </c>
      <c r="AH139" s="304">
        <f t="shared" ca="1" si="86"/>
        <v>74.353839515207468</v>
      </c>
    </row>
    <row r="140" spans="1:34" x14ac:dyDescent="0.2">
      <c r="A140" s="347">
        <f t="shared" ca="1" si="64"/>
        <v>0.01</v>
      </c>
      <c r="B140" s="304">
        <f t="shared" ca="1" si="65"/>
        <v>1.360000000000001</v>
      </c>
      <c r="D140" s="306">
        <f t="shared" ca="1" si="66"/>
        <v>15.241132812311845</v>
      </c>
      <c r="E140" s="307">
        <f t="shared" ca="1" si="67"/>
        <v>62.744538672279035</v>
      </c>
      <c r="F140" s="304">
        <f t="shared" ca="1" si="68"/>
        <v>64.569104551632492</v>
      </c>
      <c r="G140" s="306">
        <f t="shared" ca="1" si="69"/>
        <v>20.936301157140097</v>
      </c>
      <c r="H140" s="307">
        <f t="shared" ca="1" si="70"/>
        <v>99.567960959269953</v>
      </c>
      <c r="I140" s="304">
        <f t="shared" ca="1" si="71"/>
        <v>101.7453072909467</v>
      </c>
      <c r="J140" s="306">
        <f t="shared" ca="1" si="72"/>
        <v>13.819136425512948</v>
      </c>
      <c r="K140" s="307">
        <f t="shared" ca="1" si="73"/>
        <v>69.745889809112271</v>
      </c>
      <c r="L140" s="304">
        <f t="shared" ca="1" si="58"/>
        <v>71.101741728397684</v>
      </c>
      <c r="M140" s="306">
        <f t="shared" ca="1" si="74"/>
        <v>1.3635441463952451</v>
      </c>
      <c r="N140" s="304">
        <f t="shared" ca="1" si="75"/>
        <v>78.125324768216004</v>
      </c>
      <c r="P140" s="310">
        <f t="shared" ca="1" si="76"/>
        <v>4</v>
      </c>
      <c r="Q140" s="304">
        <f t="shared" ca="1" si="77"/>
        <v>682.19999999999982</v>
      </c>
      <c r="R140" s="306">
        <f t="shared" ca="1" si="78"/>
        <v>0.34236439512818384</v>
      </c>
      <c r="S140" s="307">
        <f t="shared" ca="1" si="79"/>
        <v>8.6477064104121215</v>
      </c>
      <c r="T140" s="304">
        <f t="shared" ca="1" si="59"/>
        <v>84.833999886142919</v>
      </c>
      <c r="U140" s="311">
        <f t="shared" ca="1" si="60"/>
        <v>0</v>
      </c>
      <c r="V140" s="306">
        <f t="shared" ca="1" si="61"/>
        <v>1.2164858199515574</v>
      </c>
      <c r="W140" s="304">
        <f t="shared" ca="1" si="62"/>
        <v>41.59771346915084</v>
      </c>
      <c r="Y140" s="314" t="str">
        <f t="shared" ca="1" si="80"/>
        <v/>
      </c>
      <c r="Z140" s="315" t="str">
        <f t="shared" ca="1" si="81"/>
        <v/>
      </c>
      <c r="AA140" s="316" t="str">
        <f t="shared" ca="1" si="82"/>
        <v/>
      </c>
      <c r="AC140" s="310" t="e">
        <f t="shared" ca="1" si="83"/>
        <v>#N/A</v>
      </c>
      <c r="AD140" s="323" t="e">
        <f t="shared" ca="1" si="84"/>
        <v>#N/A</v>
      </c>
      <c r="AE140" s="324">
        <f t="shared" ca="1" si="63"/>
        <v>69.745889809112271</v>
      </c>
      <c r="AG140" s="306">
        <f t="shared" ca="1" si="85"/>
        <v>64.537602330860167</v>
      </c>
      <c r="AH140" s="304">
        <f t="shared" ca="1" si="86"/>
        <v>74.138068570402908</v>
      </c>
    </row>
    <row r="141" spans="1:34" x14ac:dyDescent="0.2">
      <c r="A141" s="347">
        <f t="shared" ca="1" si="64"/>
        <v>0.01</v>
      </c>
      <c r="B141" s="304">
        <f t="shared" ca="1" si="65"/>
        <v>1.370000000000001</v>
      </c>
      <c r="D141" s="306">
        <f t="shared" ca="1" si="66"/>
        <v>15.211029652143644</v>
      </c>
      <c r="E141" s="307">
        <f t="shared" ca="1" si="67"/>
        <v>62.529960874054467</v>
      </c>
      <c r="F141" s="304">
        <f t="shared" ca="1" si="68"/>
        <v>64.353488094967901</v>
      </c>
      <c r="G141" s="306">
        <f t="shared" ca="1" si="69"/>
        <v>21.088411453661532</v>
      </c>
      <c r="H141" s="307">
        <f t="shared" ca="1" si="70"/>
        <v>100.1932605680105</v>
      </c>
      <c r="I141" s="304">
        <f t="shared" ca="1" si="71"/>
        <v>102.38852748666801</v>
      </c>
      <c r="J141" s="306">
        <f t="shared" ca="1" si="72"/>
        <v>14.029259988566956</v>
      </c>
      <c r="K141" s="307">
        <f t="shared" ca="1" si="73"/>
        <v>70.744695916748668</v>
      </c>
      <c r="L141" s="304">
        <f t="shared" ca="1" si="58"/>
        <v>72.12234144965096</v>
      </c>
      <c r="M141" s="306">
        <f t="shared" ca="1" si="74"/>
        <v>1.3633469934442517</v>
      </c>
      <c r="N141" s="304">
        <f t="shared" ca="1" si="75"/>
        <v>78.11402873620554</v>
      </c>
      <c r="P141" s="310">
        <f t="shared" ca="1" si="76"/>
        <v>4</v>
      </c>
      <c r="Q141" s="304">
        <f t="shared" ca="1" si="77"/>
        <v>680.5999999999998</v>
      </c>
      <c r="R141" s="306">
        <f t="shared" ca="1" si="78"/>
        <v>0.34156142967493686</v>
      </c>
      <c r="S141" s="307">
        <f t="shared" ca="1" si="79"/>
        <v>8.6442907961153725</v>
      </c>
      <c r="T141" s="304">
        <f t="shared" ca="1" si="59"/>
        <v>84.800492709891813</v>
      </c>
      <c r="U141" s="311">
        <f t="shared" ca="1" si="60"/>
        <v>0</v>
      </c>
      <c r="V141" s="306">
        <f t="shared" ca="1" si="61"/>
        <v>1.216364321173828</v>
      </c>
      <c r="W141" s="304">
        <f t="shared" ca="1" si="62"/>
        <v>42.121118956202288</v>
      </c>
      <c r="Y141" s="314" t="str">
        <f t="shared" ca="1" si="80"/>
        <v/>
      </c>
      <c r="Z141" s="315" t="str">
        <f t="shared" ca="1" si="81"/>
        <v/>
      </c>
      <c r="AA141" s="316" t="str">
        <f t="shared" ca="1" si="82"/>
        <v/>
      </c>
      <c r="AC141" s="310" t="e">
        <f t="shared" ca="1" si="83"/>
        <v>#N/A</v>
      </c>
      <c r="AD141" s="323" t="e">
        <f t="shared" ca="1" si="84"/>
        <v>#N/A</v>
      </c>
      <c r="AE141" s="324">
        <f t="shared" ca="1" si="63"/>
        <v>70.744695916748668</v>
      </c>
      <c r="AG141" s="306">
        <f t="shared" ca="1" si="85"/>
        <v>64.321820583683319</v>
      </c>
      <c r="AH141" s="304">
        <f t="shared" ca="1" si="86"/>
        <v>73.921886896494499</v>
      </c>
    </row>
    <row r="142" spans="1:34" x14ac:dyDescent="0.2">
      <c r="A142" s="347">
        <f t="shared" ca="1" si="64"/>
        <v>0.01</v>
      </c>
      <c r="B142" s="304">
        <f t="shared" ca="1" si="65"/>
        <v>1.380000000000001</v>
      </c>
      <c r="D142" s="306">
        <f t="shared" ca="1" si="66"/>
        <v>15.180681962691992</v>
      </c>
      <c r="E142" s="307">
        <f t="shared" ca="1" si="67"/>
        <v>62.315016473159147</v>
      </c>
      <c r="F142" s="304">
        <f t="shared" ca="1" si="68"/>
        <v>64.137464737098071</v>
      </c>
      <c r="G142" s="306">
        <f t="shared" ca="1" si="69"/>
        <v>21.240218273288452</v>
      </c>
      <c r="H142" s="307">
        <f t="shared" ca="1" si="70"/>
        <v>100.8164107327421</v>
      </c>
      <c r="I142" s="304">
        <f t="shared" ca="1" si="71"/>
        <v>103.02958577675587</v>
      </c>
      <c r="J142" s="306">
        <f t="shared" ca="1" si="72"/>
        <v>14.240903137201705</v>
      </c>
      <c r="K142" s="307">
        <f t="shared" ca="1" si="73"/>
        <v>71.749744273252432</v>
      </c>
      <c r="L142" s="304">
        <f t="shared" ca="1" si="58"/>
        <v>73.149361756889448</v>
      </c>
      <c r="M142" s="306">
        <f t="shared" ca="1" si="74"/>
        <v>1.3631508834957364</v>
      </c>
      <c r="N142" s="304">
        <f t="shared" ca="1" si="75"/>
        <v>78.102792463835087</v>
      </c>
      <c r="P142" s="310">
        <f t="shared" ca="1" si="76"/>
        <v>4</v>
      </c>
      <c r="Q142" s="304">
        <f t="shared" ca="1" si="77"/>
        <v>678.99999999999977</v>
      </c>
      <c r="R142" s="306">
        <f t="shared" ca="1" si="78"/>
        <v>0.34075846422168982</v>
      </c>
      <c r="S142" s="307">
        <f t="shared" ca="1" si="79"/>
        <v>8.640883211473156</v>
      </c>
      <c r="T142" s="304">
        <f t="shared" ca="1" si="59"/>
        <v>84.767064304551667</v>
      </c>
      <c r="U142" s="311">
        <f t="shared" ca="1" si="60"/>
        <v>0</v>
      </c>
      <c r="V142" s="306">
        <f t="shared" ca="1" si="61"/>
        <v>1.2162420752695156</v>
      </c>
      <c r="W142" s="304">
        <f t="shared" ca="1" si="62"/>
        <v>42.64592744845681</v>
      </c>
      <c r="Y142" s="314" t="str">
        <f t="shared" ca="1" si="80"/>
        <v/>
      </c>
      <c r="Z142" s="315" t="str">
        <f t="shared" ca="1" si="81"/>
        <v/>
      </c>
      <c r="AA142" s="316" t="str">
        <f t="shared" ca="1" si="82"/>
        <v/>
      </c>
      <c r="AC142" s="310" t="e">
        <f t="shared" ca="1" si="83"/>
        <v>#N/A</v>
      </c>
      <c r="AD142" s="323" t="e">
        <f t="shared" ca="1" si="84"/>
        <v>#N/A</v>
      </c>
      <c r="AE142" s="324">
        <f t="shared" ca="1" si="63"/>
        <v>71.749744273252432</v>
      </c>
      <c r="AG142" s="306">
        <f t="shared" ca="1" si="85"/>
        <v>64.105630887466219</v>
      </c>
      <c r="AH142" s="304">
        <f t="shared" ca="1" si="86"/>
        <v>73.705299036812008</v>
      </c>
    </row>
    <row r="143" spans="1:34" x14ac:dyDescent="0.2">
      <c r="A143" s="347">
        <f t="shared" ca="1" si="64"/>
        <v>0.01</v>
      </c>
      <c r="B143" s="304">
        <f t="shared" ca="1" si="65"/>
        <v>1.390000000000001</v>
      </c>
      <c r="D143" s="306">
        <f t="shared" ca="1" si="66"/>
        <v>15.150092308835767</v>
      </c>
      <c r="E143" s="307">
        <f t="shared" ca="1" si="67"/>
        <v>62.099709645844953</v>
      </c>
      <c r="F143" s="304">
        <f t="shared" ca="1" si="68"/>
        <v>63.921039064336973</v>
      </c>
      <c r="G143" s="306">
        <f t="shared" ca="1" si="69"/>
        <v>21.391719196376808</v>
      </c>
      <c r="H143" s="307">
        <f t="shared" ca="1" si="70"/>
        <v>101.43740782920055</v>
      </c>
      <c r="I143" s="304">
        <f t="shared" ca="1" si="71"/>
        <v>103.66847812755907</v>
      </c>
      <c r="J143" s="306">
        <f t="shared" ca="1" si="72"/>
        <v>14.454062824550032</v>
      </c>
      <c r="K143" s="307">
        <f t="shared" ca="1" si="73"/>
        <v>72.761013366062144</v>
      </c>
      <c r="L143" s="304">
        <f t="shared" ca="1" si="58"/>
        <v>74.182781008751036</v>
      </c>
      <c r="M143" s="306">
        <f t="shared" ca="1" si="74"/>
        <v>1.3629558005482305</v>
      </c>
      <c r="N143" s="304">
        <f t="shared" ca="1" si="75"/>
        <v>78.091615034288026</v>
      </c>
      <c r="P143" s="310">
        <f t="shared" ca="1" si="76"/>
        <v>4</v>
      </c>
      <c r="Q143" s="304">
        <f t="shared" ca="1" si="77"/>
        <v>677.39999999999986</v>
      </c>
      <c r="R143" s="306">
        <f t="shared" ca="1" si="78"/>
        <v>0.33995549876844289</v>
      </c>
      <c r="S143" s="307">
        <f t="shared" ca="1" si="79"/>
        <v>8.6374836564854718</v>
      </c>
      <c r="T143" s="304">
        <f t="shared" ca="1" si="59"/>
        <v>84.733714670122481</v>
      </c>
      <c r="U143" s="311">
        <f t="shared" ca="1" si="60"/>
        <v>0</v>
      </c>
      <c r="V143" s="306">
        <f t="shared" ca="1" si="61"/>
        <v>1.216119085081113</v>
      </c>
      <c r="W143" s="304">
        <f t="shared" ca="1" si="62"/>
        <v>43.172100845804692</v>
      </c>
      <c r="Y143" s="314" t="str">
        <f t="shared" ca="1" si="80"/>
        <v/>
      </c>
      <c r="Z143" s="315" t="str">
        <f t="shared" ca="1" si="81"/>
        <v/>
      </c>
      <c r="AA143" s="316" t="str">
        <f t="shared" ca="1" si="82"/>
        <v/>
      </c>
      <c r="AC143" s="310" t="e">
        <f t="shared" ca="1" si="83"/>
        <v>#N/A</v>
      </c>
      <c r="AD143" s="323" t="e">
        <f t="shared" ca="1" si="84"/>
        <v>#N/A</v>
      </c>
      <c r="AE143" s="324">
        <f t="shared" ca="1" si="63"/>
        <v>72.761013366062144</v>
      </c>
      <c r="AG143" s="306">
        <f t="shared" ca="1" si="85"/>
        <v>63.889037812910608</v>
      </c>
      <c r="AH143" s="304">
        <f t="shared" ca="1" si="86"/>
        <v>73.488309535027213</v>
      </c>
    </row>
    <row r="144" spans="1:34" x14ac:dyDescent="0.2">
      <c r="A144" s="347">
        <f t="shared" ca="1" si="64"/>
        <v>0.01</v>
      </c>
      <c r="B144" s="304">
        <f t="shared" ca="1" si="65"/>
        <v>1.400000000000001</v>
      </c>
      <c r="D144" s="306">
        <f t="shared" ca="1" si="66"/>
        <v>15.119263222456308</v>
      </c>
      <c r="E144" s="307">
        <f t="shared" ca="1" si="67"/>
        <v>61.884044573710312</v>
      </c>
      <c r="F144" s="304">
        <f t="shared" ca="1" si="68"/>
        <v>63.704215662630091</v>
      </c>
      <c r="G144" s="306">
        <f t="shared" ca="1" si="69"/>
        <v>21.542911828601373</v>
      </c>
      <c r="H144" s="307">
        <f t="shared" ca="1" si="70"/>
        <v>102.05624827493766</v>
      </c>
      <c r="I144" s="304">
        <f t="shared" ca="1" si="71"/>
        <v>104.30520055112598</v>
      </c>
      <c r="J144" s="306">
        <f t="shared" ca="1" si="72"/>
        <v>14.668735979674922</v>
      </c>
      <c r="K144" s="307">
        <f t="shared" ca="1" si="73"/>
        <v>73.778481646582833</v>
      </c>
      <c r="L144" s="304">
        <f t="shared" ca="1" si="58"/>
        <v>75.222577523749933</v>
      </c>
      <c r="M144" s="306">
        <f t="shared" ca="1" si="74"/>
        <v>1.3627617289360223</v>
      </c>
      <c r="N144" s="304">
        <f t="shared" ca="1" si="75"/>
        <v>78.080495549985187</v>
      </c>
      <c r="P144" s="310">
        <f t="shared" ca="1" si="76"/>
        <v>4</v>
      </c>
      <c r="Q144" s="304">
        <f t="shared" ca="1" si="77"/>
        <v>675.79999999999984</v>
      </c>
      <c r="R144" s="306">
        <f t="shared" ca="1" si="78"/>
        <v>0.3391525333151959</v>
      </c>
      <c r="S144" s="307">
        <f t="shared" ca="1" si="79"/>
        <v>8.63409213115232</v>
      </c>
      <c r="T144" s="304">
        <f t="shared" ca="1" si="59"/>
        <v>84.70044380660427</v>
      </c>
      <c r="U144" s="311">
        <f t="shared" ca="1" si="60"/>
        <v>0</v>
      </c>
      <c r="V144" s="306">
        <f t="shared" ca="1" si="61"/>
        <v>1.2159953534557835</v>
      </c>
      <c r="W144" s="304">
        <f t="shared" ca="1" si="62"/>
        <v>43.699601130986551</v>
      </c>
      <c r="Y144" s="314" t="str">
        <f t="shared" ca="1" si="80"/>
        <v/>
      </c>
      <c r="Z144" s="315" t="str">
        <f t="shared" ca="1" si="81"/>
        <v/>
      </c>
      <c r="AA144" s="316" t="str">
        <f t="shared" ca="1" si="82"/>
        <v/>
      </c>
      <c r="AC144" s="310" t="e">
        <f t="shared" ca="1" si="83"/>
        <v>#N/A</v>
      </c>
      <c r="AD144" s="323" t="e">
        <f t="shared" ca="1" si="84"/>
        <v>#N/A</v>
      </c>
      <c r="AE144" s="324">
        <f t="shared" ca="1" si="63"/>
        <v>73.778481646582833</v>
      </c>
      <c r="AG144" s="306">
        <f t="shared" ca="1" si="85"/>
        <v>63.672045930227938</v>
      </c>
      <c r="AH144" s="304">
        <f t="shared" ca="1" si="86"/>
        <v>73.270922934866064</v>
      </c>
    </row>
    <row r="145" spans="1:34" x14ac:dyDescent="0.2">
      <c r="A145" s="347">
        <f t="shared" ca="1" si="64"/>
        <v>0.01</v>
      </c>
      <c r="B145" s="304">
        <f t="shared" ca="1" si="65"/>
        <v>1.410000000000001</v>
      </c>
      <c r="D145" s="306">
        <f t="shared" ca="1" si="66"/>
        <v>15.088197203354692</v>
      </c>
      <c r="E145" s="307">
        <f t="shared" ca="1" si="67"/>
        <v>61.668025443265094</v>
      </c>
      <c r="F145" s="304">
        <f t="shared" ca="1" si="68"/>
        <v>63.486999117287873</v>
      </c>
      <c r="G145" s="306">
        <f t="shared" ca="1" si="69"/>
        <v>21.693793800634918</v>
      </c>
      <c r="H145" s="307">
        <f t="shared" ca="1" si="70"/>
        <v>102.67292852937031</v>
      </c>
      <c r="I145" s="304">
        <f t="shared" ca="1" si="71"/>
        <v>104.93974910519678</v>
      </c>
      <c r="J145" s="306">
        <f t="shared" ca="1" si="72"/>
        <v>14.884919507821104</v>
      </c>
      <c r="K145" s="307">
        <f t="shared" ca="1" si="73"/>
        <v>74.802127530604366</v>
      </c>
      <c r="L145" s="304">
        <f t="shared" ca="1" si="58"/>
        <v>76.26872958073389</v>
      </c>
      <c r="M145" s="306">
        <f t="shared" ca="1" si="74"/>
        <v>1.362568653319602</v>
      </c>
      <c r="N145" s="304">
        <f t="shared" ca="1" si="75"/>
        <v>78.069433132037418</v>
      </c>
      <c r="P145" s="310">
        <f t="shared" ca="1" si="76"/>
        <v>4</v>
      </c>
      <c r="Q145" s="304">
        <f t="shared" ca="1" si="77"/>
        <v>674.19999999999982</v>
      </c>
      <c r="R145" s="306">
        <f t="shared" ca="1" si="78"/>
        <v>0.33834956786194892</v>
      </c>
      <c r="S145" s="307">
        <f t="shared" ca="1" si="79"/>
        <v>8.6307086354737006</v>
      </c>
      <c r="T145" s="304">
        <f t="shared" ca="1" si="59"/>
        <v>84.667251713997004</v>
      </c>
      <c r="U145" s="311">
        <f t="shared" ca="1" si="60"/>
        <v>0</v>
      </c>
      <c r="V145" s="306">
        <f t="shared" ca="1" si="61"/>
        <v>1.2158708832452874</v>
      </c>
      <c r="W145" s="304">
        <f t="shared" ca="1" si="62"/>
        <v>44.228390371685641</v>
      </c>
      <c r="Y145" s="314" t="str">
        <f t="shared" ca="1" si="80"/>
        <v/>
      </c>
      <c r="Z145" s="315" t="str">
        <f t="shared" ca="1" si="81"/>
        <v/>
      </c>
      <c r="AA145" s="316" t="str">
        <f t="shared" ca="1" si="82"/>
        <v/>
      </c>
      <c r="AC145" s="310" t="e">
        <f t="shared" ca="1" si="83"/>
        <v>#N/A</v>
      </c>
      <c r="AD145" s="323" t="e">
        <f t="shared" ca="1" si="84"/>
        <v>#N/A</v>
      </c>
      <c r="AE145" s="324">
        <f t="shared" ca="1" si="63"/>
        <v>74.802127530604366</v>
      </c>
      <c r="AG145" s="306">
        <f t="shared" ca="1" si="85"/>
        <v>63.454659808868065</v>
      </c>
      <c r="AH145" s="304">
        <f t="shared" ca="1" si="86"/>
        <v>73.053143779822193</v>
      </c>
    </row>
    <row r="146" spans="1:34" x14ac:dyDescent="0.2">
      <c r="A146" s="347">
        <f t="shared" ca="1" si="64"/>
        <v>0.01</v>
      </c>
      <c r="B146" s="304">
        <f t="shared" ca="1" si="65"/>
        <v>1.420000000000001</v>
      </c>
      <c r="D146" s="306">
        <f t="shared" ca="1" si="66"/>
        <v>15.056896720133825</v>
      </c>
      <c r="E146" s="307">
        <f t="shared" ca="1" si="67"/>
        <v>61.451656445502152</v>
      </c>
      <c r="F146" s="304">
        <f t="shared" ca="1" si="68"/>
        <v>63.26939401271995</v>
      </c>
      <c r="G146" s="306">
        <f t="shared" ca="1" si="69"/>
        <v>21.844362767836255</v>
      </c>
      <c r="H146" s="307">
        <f t="shared" ca="1" si="70"/>
        <v>103.28744509382533</v>
      </c>
      <c r="I146" s="304">
        <f t="shared" ca="1" si="71"/>
        <v>105.57211989319345</v>
      </c>
      <c r="J146" s="306">
        <f t="shared" ca="1" si="72"/>
        <v>15.10261029066346</v>
      </c>
      <c r="K146" s="307">
        <f t="shared" ca="1" si="73"/>
        <v>75.831929398720348</v>
      </c>
      <c r="L146" s="304">
        <f t="shared" ca="1" si="58"/>
        <v>77.321215419341158</v>
      </c>
      <c r="M146" s="306">
        <f t="shared" ca="1" si="74"/>
        <v>1.3623765586764409</v>
      </c>
      <c r="N146" s="304">
        <f t="shared" ca="1" si="75"/>
        <v>78.05842691971722</v>
      </c>
      <c r="P146" s="310">
        <f t="shared" ca="1" si="76"/>
        <v>4</v>
      </c>
      <c r="Q146" s="304">
        <f t="shared" ca="1" si="77"/>
        <v>672.5999999999998</v>
      </c>
      <c r="R146" s="306">
        <f t="shared" ca="1" si="78"/>
        <v>0.33754660240870188</v>
      </c>
      <c r="S146" s="307">
        <f t="shared" ca="1" si="79"/>
        <v>8.6273331694496136</v>
      </c>
      <c r="T146" s="304">
        <f t="shared" ca="1" si="59"/>
        <v>84.634138392300713</v>
      </c>
      <c r="U146" s="311">
        <f t="shared" ca="1" si="60"/>
        <v>0</v>
      </c>
      <c r="V146" s="306">
        <f t="shared" ca="1" si="61"/>
        <v>1.2157456773059154</v>
      </c>
      <c r="W146" s="304">
        <f t="shared" ca="1" si="62"/>
        <v>44.758430722603862</v>
      </c>
      <c r="Y146" s="314" t="str">
        <f t="shared" ca="1" si="80"/>
        <v/>
      </c>
      <c r="Z146" s="315" t="str">
        <f t="shared" ca="1" si="81"/>
        <v/>
      </c>
      <c r="AA146" s="316" t="str">
        <f t="shared" ca="1" si="82"/>
        <v/>
      </c>
      <c r="AC146" s="310" t="e">
        <f t="shared" ca="1" si="83"/>
        <v>#N/A</v>
      </c>
      <c r="AD146" s="323" t="e">
        <f t="shared" ca="1" si="84"/>
        <v>#N/A</v>
      </c>
      <c r="AE146" s="324">
        <f t="shared" ca="1" si="63"/>
        <v>75.831929398720348</v>
      </c>
      <c r="AG146" s="306">
        <f t="shared" ca="1" si="85"/>
        <v>63.236884017248627</v>
      </c>
      <c r="AH146" s="304">
        <f t="shared" ca="1" si="86"/>
        <v>72.834976612871614</v>
      </c>
    </row>
    <row r="147" spans="1:34" x14ac:dyDescent="0.2">
      <c r="A147" s="347">
        <f t="shared" ca="1" si="64"/>
        <v>0.01</v>
      </c>
      <c r="B147" s="304">
        <f t="shared" ca="1" si="65"/>
        <v>1.430000000000001</v>
      </c>
      <c r="D147" s="306">
        <f t="shared" ca="1" si="66"/>
        <v>15.025364211047389</v>
      </c>
      <c r="E147" s="307">
        <f t="shared" ca="1" si="67"/>
        <v>61.234941775475249</v>
      </c>
      <c r="F147" s="304">
        <f t="shared" ca="1" si="68"/>
        <v>63.051404932169973</v>
      </c>
      <c r="G147" s="306">
        <f t="shared" ca="1" si="69"/>
        <v>21.99461640994673</v>
      </c>
      <c r="H147" s="307">
        <f t="shared" ca="1" si="70"/>
        <v>103.89979451158008</v>
      </c>
      <c r="I147" s="304">
        <f t="shared" ca="1" si="71"/>
        <v>106.20230906420662</v>
      </c>
      <c r="J147" s="306">
        <f t="shared" ca="1" si="72"/>
        <v>15.321805186552375</v>
      </c>
      <c r="K147" s="307">
        <f t="shared" ca="1" si="73"/>
        <v>76.867865596747379</v>
      </c>
      <c r="L147" s="304">
        <f t="shared" ca="1" si="58"/>
        <v>78.38001324045743</v>
      </c>
      <c r="M147" s="306">
        <f t="shared" ca="1" si="74"/>
        <v>1.3621854302920977</v>
      </c>
      <c r="N147" s="304">
        <f t="shared" ca="1" si="75"/>
        <v>78.047476069949198</v>
      </c>
      <c r="P147" s="310">
        <f t="shared" ca="1" si="76"/>
        <v>4</v>
      </c>
      <c r="Q147" s="304">
        <f t="shared" ca="1" si="77"/>
        <v>670.99999999999977</v>
      </c>
      <c r="R147" s="306">
        <f t="shared" ca="1" si="78"/>
        <v>0.33674363695545489</v>
      </c>
      <c r="S147" s="307">
        <f t="shared" ca="1" si="79"/>
        <v>8.623965733080059</v>
      </c>
      <c r="T147" s="304">
        <f t="shared" ca="1" si="59"/>
        <v>84.601103841515382</v>
      </c>
      <c r="U147" s="311">
        <f t="shared" ca="1" si="60"/>
        <v>0</v>
      </c>
      <c r="V147" s="306">
        <f t="shared" ca="1" si="61"/>
        <v>1.2156197384984166</v>
      </c>
      <c r="W147" s="304">
        <f t="shared" ca="1" si="62"/>
        <v>45.289684427520385</v>
      </c>
      <c r="Y147" s="314" t="str">
        <f t="shared" ca="1" si="80"/>
        <v/>
      </c>
      <c r="Z147" s="315" t="str">
        <f t="shared" ca="1" si="81"/>
        <v/>
      </c>
      <c r="AA147" s="316" t="str">
        <f t="shared" ca="1" si="82"/>
        <v/>
      </c>
      <c r="AC147" s="310" t="e">
        <f t="shared" ca="1" si="83"/>
        <v>#N/A</v>
      </c>
      <c r="AD147" s="323" t="e">
        <f t="shared" ca="1" si="84"/>
        <v>#N/A</v>
      </c>
      <c r="AE147" s="324">
        <f t="shared" ca="1" si="63"/>
        <v>76.867865596747379</v>
      </c>
      <c r="AG147" s="306">
        <f t="shared" ca="1" si="85"/>
        <v>63.018723122485234</v>
      </c>
      <c r="AH147" s="304">
        <f t="shared" ca="1" si="86"/>
        <v>72.616425976188694</v>
      </c>
    </row>
    <row r="148" spans="1:34" x14ac:dyDescent="0.2">
      <c r="A148" s="347">
        <f t="shared" ca="1" si="64"/>
        <v>0.01</v>
      </c>
      <c r="B148" s="304">
        <f t="shared" ca="1" si="65"/>
        <v>1.4400000000000011</v>
      </c>
      <c r="D148" s="306">
        <f t="shared" ca="1" si="66"/>
        <v>14.993602084816704</v>
      </c>
      <c r="E148" s="307">
        <f t="shared" ca="1" si="67"/>
        <v>61.017885631883487</v>
      </c>
      <c r="F148" s="304">
        <f t="shared" ca="1" si="68"/>
        <v>62.833036457451534</v>
      </c>
      <c r="G148" s="306">
        <f t="shared" ca="1" si="69"/>
        <v>22.144552430794896</v>
      </c>
      <c r="H148" s="307">
        <f t="shared" ca="1" si="70"/>
        <v>104.50997336789892</v>
      </c>
      <c r="I148" s="304">
        <f t="shared" ca="1" si="71"/>
        <v>106.83031281298004</v>
      </c>
      <c r="J148" s="306">
        <f t="shared" ca="1" si="72"/>
        <v>15.542501030756084</v>
      </c>
      <c r="K148" s="307">
        <f t="shared" ca="1" si="73"/>
        <v>77.909914436144774</v>
      </c>
      <c r="L148" s="304">
        <f t="shared" ca="1" si="58"/>
        <v>79.445101206672604</v>
      </c>
      <c r="M148" s="306">
        <f t="shared" ca="1" si="74"/>
        <v>1.3619952537516344</v>
      </c>
      <c r="N148" s="304">
        <f t="shared" ca="1" si="75"/>
        <v>78.036579756818256</v>
      </c>
      <c r="P148" s="310">
        <f t="shared" ca="1" si="76"/>
        <v>4</v>
      </c>
      <c r="Q148" s="304">
        <f t="shared" ca="1" si="77"/>
        <v>669.39999999999986</v>
      </c>
      <c r="R148" s="306">
        <f t="shared" ca="1" si="78"/>
        <v>0.33594067150220797</v>
      </c>
      <c r="S148" s="307">
        <f t="shared" ca="1" si="79"/>
        <v>8.6206063263650368</v>
      </c>
      <c r="T148" s="304">
        <f t="shared" ca="1" si="59"/>
        <v>84.568148061641011</v>
      </c>
      <c r="U148" s="311">
        <f t="shared" ca="1" si="60"/>
        <v>0</v>
      </c>
      <c r="V148" s="306">
        <f t="shared" ca="1" si="61"/>
        <v>1.2154930696879305</v>
      </c>
      <c r="W148" s="304">
        <f t="shared" ca="1" si="62"/>
        <v>45.822113821333396</v>
      </c>
      <c r="Y148" s="314" t="str">
        <f t="shared" ca="1" si="80"/>
        <v/>
      </c>
      <c r="Z148" s="315" t="str">
        <f t="shared" ca="1" si="81"/>
        <v/>
      </c>
      <c r="AA148" s="316" t="str">
        <f t="shared" ca="1" si="82"/>
        <v/>
      </c>
      <c r="AC148" s="310" t="e">
        <f t="shared" ca="1" si="83"/>
        <v>#N/A</v>
      </c>
      <c r="AD148" s="323" t="e">
        <f t="shared" ca="1" si="84"/>
        <v>#N/A</v>
      </c>
      <c r="AE148" s="324">
        <f t="shared" ca="1" si="63"/>
        <v>77.909914436144774</v>
      </c>
      <c r="AG148" s="306">
        <f t="shared" ca="1" si="85"/>
        <v>62.800181690122407</v>
      </c>
      <c r="AH148" s="304">
        <f t="shared" ca="1" si="86"/>
        <v>72.397496410863454</v>
      </c>
    </row>
    <row r="149" spans="1:34" x14ac:dyDescent="0.2">
      <c r="A149" s="347">
        <f t="shared" ca="1" si="64"/>
        <v>0.01</v>
      </c>
      <c r="B149" s="304">
        <f t="shared" ca="1" si="65"/>
        <v>1.4500000000000011</v>
      </c>
      <c r="D149" s="306">
        <f t="shared" ca="1" si="66"/>
        <v>14.961612721416916</v>
      </c>
      <c r="E149" s="307">
        <f t="shared" ca="1" si="67"/>
        <v>60.800492216661681</v>
      </c>
      <c r="F149" s="304">
        <f t="shared" ca="1" si="68"/>
        <v>62.614293168684753</v>
      </c>
      <c r="G149" s="306">
        <f t="shared" ca="1" si="69"/>
        <v>22.294168558009066</v>
      </c>
      <c r="H149" s="307">
        <f t="shared" ca="1" si="70"/>
        <v>105.11797829006554</v>
      </c>
      <c r="I149" s="304">
        <f t="shared" ca="1" si="71"/>
        <v>107.45612737989217</v>
      </c>
      <c r="J149" s="306">
        <f t="shared" ca="1" si="72"/>
        <v>15.764694635700103</v>
      </c>
      <c r="K149" s="307">
        <f t="shared" ca="1" si="73"/>
        <v>78.958054194434595</v>
      </c>
      <c r="L149" s="304">
        <f t="shared" ca="1" si="58"/>
        <v>80.516457442737391</v>
      </c>
      <c r="M149" s="306">
        <f t="shared" ca="1" si="74"/>
        <v>1.3618060149313296</v>
      </c>
      <c r="N149" s="304">
        <f t="shared" ca="1" si="75"/>
        <v>78.025737171094747</v>
      </c>
      <c r="P149" s="310">
        <f t="shared" ca="1" si="76"/>
        <v>4</v>
      </c>
      <c r="Q149" s="304">
        <f t="shared" ca="1" si="77"/>
        <v>667.79999999999984</v>
      </c>
      <c r="R149" s="306">
        <f t="shared" ca="1" si="78"/>
        <v>0.33513770604896098</v>
      </c>
      <c r="S149" s="307">
        <f t="shared" ca="1" si="79"/>
        <v>8.6172549493045469</v>
      </c>
      <c r="T149" s="304">
        <f t="shared" ca="1" si="59"/>
        <v>84.535271052677615</v>
      </c>
      <c r="U149" s="311">
        <f t="shared" ca="1" si="60"/>
        <v>0</v>
      </c>
      <c r="V149" s="306">
        <f t="shared" ca="1" si="61"/>
        <v>1.2153656737439147</v>
      </c>
      <c r="W149" s="304">
        <f t="shared" ca="1" si="62"/>
        <v>46.355681332084494</v>
      </c>
      <c r="Y149" s="314" t="str">
        <f t="shared" ca="1" si="80"/>
        <v/>
      </c>
      <c r="Z149" s="315" t="str">
        <f t="shared" ca="1" si="81"/>
        <v/>
      </c>
      <c r="AA149" s="316" t="str">
        <f t="shared" ca="1" si="82"/>
        <v/>
      </c>
      <c r="AC149" s="310" t="e">
        <f t="shared" ca="1" si="83"/>
        <v>#N/A</v>
      </c>
      <c r="AD149" s="323" t="e">
        <f t="shared" ca="1" si="84"/>
        <v>#N/A</v>
      </c>
      <c r="AE149" s="324">
        <f t="shared" ca="1" si="63"/>
        <v>78.958054194434595</v>
      </c>
      <c r="AG149" s="306">
        <f t="shared" ca="1" si="85"/>
        <v>62.581264283865465</v>
      </c>
      <c r="AH149" s="304">
        <f t="shared" ca="1" si="86"/>
        <v>72.178192456620195</v>
      </c>
    </row>
    <row r="150" spans="1:34" x14ac:dyDescent="0.2">
      <c r="A150" s="347">
        <f t="shared" ca="1" si="64"/>
        <v>0.01</v>
      </c>
      <c r="B150" s="304">
        <f t="shared" ca="1" si="65"/>
        <v>1.4600000000000011</v>
      </c>
      <c r="D150" s="306">
        <f t="shared" ca="1" si="66"/>
        <v>14.929398472834002</v>
      </c>
      <c r="E150" s="307">
        <f t="shared" ca="1" si="67"/>
        <v>60.582765734576853</v>
      </c>
      <c r="F150" s="304">
        <f t="shared" ca="1" si="68"/>
        <v>62.395179644034023</v>
      </c>
      <c r="G150" s="306">
        <f t="shared" ca="1" si="69"/>
        <v>22.443462542737407</v>
      </c>
      <c r="H150" s="307">
        <f t="shared" ca="1" si="70"/>
        <v>105.72380594741131</v>
      </c>
      <c r="I150" s="304">
        <f t="shared" ca="1" si="71"/>
        <v>108.07974905093526</v>
      </c>
      <c r="J150" s="306">
        <f t="shared" ca="1" si="72"/>
        <v>15.988382791203835</v>
      </c>
      <c r="K150" s="307">
        <f t="shared" ca="1" si="73"/>
        <v>80.012263115621977</v>
      </c>
      <c r="L150" s="304">
        <f t="shared" ca="1" si="58"/>
        <v>81.594060036019684</v>
      </c>
      <c r="M150" s="306">
        <f t="shared" ca="1" si="74"/>
        <v>1.3616176999906773</v>
      </c>
      <c r="N150" s="304">
        <f t="shared" ca="1" si="75"/>
        <v>78.014947519776115</v>
      </c>
      <c r="P150" s="310">
        <f t="shared" ca="1" si="76"/>
        <v>4</v>
      </c>
      <c r="Q150" s="304">
        <f t="shared" ca="1" si="77"/>
        <v>666.19999999999982</v>
      </c>
      <c r="R150" s="306">
        <f t="shared" ca="1" si="78"/>
        <v>0.33433474059571394</v>
      </c>
      <c r="S150" s="307">
        <f t="shared" ca="1" si="79"/>
        <v>8.6139116018985895</v>
      </c>
      <c r="T150" s="304">
        <f t="shared" ca="1" si="59"/>
        <v>84.502472814625165</v>
      </c>
      <c r="U150" s="311">
        <f t="shared" ca="1" si="60"/>
        <v>0</v>
      </c>
      <c r="V150" s="306">
        <f t="shared" ca="1" si="61"/>
        <v>1.2152375535400766</v>
      </c>
      <c r="W150" s="304">
        <f t="shared" ca="1" si="62"/>
        <v>46.890349482965796</v>
      </c>
      <c r="Y150" s="314" t="str">
        <f t="shared" ca="1" si="80"/>
        <v/>
      </c>
      <c r="Z150" s="315" t="str">
        <f t="shared" ca="1" si="81"/>
        <v/>
      </c>
      <c r="AA150" s="316" t="str">
        <f t="shared" ca="1" si="82"/>
        <v/>
      </c>
      <c r="AC150" s="310" t="e">
        <f t="shared" ca="1" si="83"/>
        <v>#N/A</v>
      </c>
      <c r="AD150" s="323" t="e">
        <f t="shared" ca="1" si="84"/>
        <v>#N/A</v>
      </c>
      <c r="AE150" s="324">
        <f t="shared" ca="1" si="63"/>
        <v>80.012263115621977</v>
      </c>
      <c r="AG150" s="306">
        <f t="shared" ca="1" si="85"/>
        <v>62.361975465313357</v>
      </c>
      <c r="AH150" s="304">
        <f t="shared" ca="1" si="86"/>
        <v>71.958518651537545</v>
      </c>
    </row>
    <row r="151" spans="1:34" x14ac:dyDescent="0.2">
      <c r="A151" s="347">
        <f t="shared" ca="1" si="64"/>
        <v>0.01</v>
      </c>
      <c r="B151" s="304">
        <f t="shared" ca="1" si="65"/>
        <v>1.4700000000000011</v>
      </c>
      <c r="D151" s="306">
        <f t="shared" ca="1" si="66"/>
        <v>14.896961663793553</v>
      </c>
      <c r="E151" s="307">
        <f t="shared" ca="1" si="67"/>
        <v>60.364710392830432</v>
      </c>
      <c r="F151" s="304">
        <f t="shared" ca="1" si="68"/>
        <v>62.175700459446574</v>
      </c>
      <c r="G151" s="306">
        <f t="shared" ca="1" si="69"/>
        <v>22.592432159375342</v>
      </c>
      <c r="H151" s="307">
        <f t="shared" ca="1" si="70"/>
        <v>106.32745305133962</v>
      </c>
      <c r="I151" s="304">
        <f t="shared" ca="1" si="71"/>
        <v>108.70117415769164</v>
      </c>
      <c r="J151" s="306">
        <f t="shared" ca="1" si="72"/>
        <v>16.213562264714398</v>
      </c>
      <c r="K151" s="307">
        <f t="shared" ca="1" si="73"/>
        <v>81.072519410615726</v>
      </c>
      <c r="L151" s="304">
        <f t="shared" ca="1" si="58"/>
        <v>82.677887036960698</v>
      </c>
      <c r="M151" s="306">
        <f t="shared" ca="1" si="74"/>
        <v>1.3614302953646586</v>
      </c>
      <c r="N151" s="304">
        <f t="shared" ca="1" si="75"/>
        <v>78.004210025644028</v>
      </c>
      <c r="P151" s="310">
        <f t="shared" ca="1" si="76"/>
        <v>4</v>
      </c>
      <c r="Q151" s="304">
        <f t="shared" ca="1" si="77"/>
        <v>664.5999999999998</v>
      </c>
      <c r="R151" s="306">
        <f t="shared" ca="1" si="78"/>
        <v>0.33353177514246696</v>
      </c>
      <c r="S151" s="307">
        <f t="shared" ca="1" si="79"/>
        <v>8.6105762841471645</v>
      </c>
      <c r="T151" s="304">
        <f t="shared" ca="1" si="59"/>
        <v>84.469753347483689</v>
      </c>
      <c r="U151" s="311">
        <f t="shared" ca="1" si="60"/>
        <v>0</v>
      </c>
      <c r="V151" s="306">
        <f t="shared" ca="1" si="61"/>
        <v>1.2151087119543036</v>
      </c>
      <c r="W151" s="304">
        <f t="shared" ca="1" si="62"/>
        <v>47.426080894309429</v>
      </c>
      <c r="Y151" s="314" t="str">
        <f t="shared" ca="1" si="80"/>
        <v/>
      </c>
      <c r="Z151" s="315" t="str">
        <f t="shared" ca="1" si="81"/>
        <v/>
      </c>
      <c r="AA151" s="316" t="str">
        <f t="shared" ca="1" si="82"/>
        <v/>
      </c>
      <c r="AC151" s="310" t="e">
        <f t="shared" ca="1" si="83"/>
        <v>#N/A</v>
      </c>
      <c r="AD151" s="323" t="e">
        <f t="shared" ca="1" si="84"/>
        <v>#N/A</v>
      </c>
      <c r="AE151" s="324">
        <f t="shared" ca="1" si="63"/>
        <v>81.072519410615726</v>
      </c>
      <c r="AG151" s="306">
        <f t="shared" ca="1" si="85"/>
        <v>62.142319793692323</v>
      </c>
      <c r="AH151" s="304">
        <f t="shared" ca="1" si="86"/>
        <v>71.738479531769826</v>
      </c>
    </row>
    <row r="152" spans="1:34" x14ac:dyDescent="0.2">
      <c r="A152" s="347">
        <f t="shared" ca="1" si="64"/>
        <v>0.01</v>
      </c>
      <c r="B152" s="304">
        <f t="shared" ca="1" si="65"/>
        <v>1.4800000000000011</v>
      </c>
      <c r="D152" s="306">
        <f t="shared" ca="1" si="66"/>
        <v>14.864304592462721</v>
      </c>
      <c r="E152" s="307">
        <f t="shared" ca="1" si="67"/>
        <v>60.14633040066596</v>
      </c>
      <c r="F152" s="304">
        <f t="shared" ca="1" si="68"/>
        <v>61.955860188392052</v>
      </c>
      <c r="G152" s="306">
        <f t="shared" ca="1" si="69"/>
        <v>22.741075205299968</v>
      </c>
      <c r="H152" s="307">
        <f t="shared" ca="1" si="70"/>
        <v>106.92891635534627</v>
      </c>
      <c r="I152" s="304">
        <f t="shared" ca="1" si="71"/>
        <v>109.32039907730739</v>
      </c>
      <c r="J152" s="306">
        <f t="shared" ca="1" si="72"/>
        <v>16.440229801537775</v>
      </c>
      <c r="K152" s="307">
        <f t="shared" ca="1" si="73"/>
        <v>82.138801257649149</v>
      </c>
      <c r="L152" s="304">
        <f t="shared" ca="1" si="58"/>
        <v>83.767916459530952</v>
      </c>
      <c r="M152" s="306">
        <f t="shared" ca="1" si="74"/>
        <v>1.3612437877562771</v>
      </c>
      <c r="N152" s="304">
        <f t="shared" ca="1" si="75"/>
        <v>77.993523926836687</v>
      </c>
      <c r="P152" s="310">
        <f t="shared" ca="1" si="76"/>
        <v>4</v>
      </c>
      <c r="Q152" s="304">
        <f t="shared" ca="1" si="77"/>
        <v>662.99999999999977</v>
      </c>
      <c r="R152" s="306">
        <f t="shared" ca="1" si="78"/>
        <v>0.33272880968921997</v>
      </c>
      <c r="S152" s="307">
        <f t="shared" ca="1" si="79"/>
        <v>8.6072489960502718</v>
      </c>
      <c r="T152" s="304">
        <f t="shared" ca="1" si="59"/>
        <v>84.437112651253173</v>
      </c>
      <c r="U152" s="311">
        <f t="shared" ca="1" si="60"/>
        <v>0</v>
      </c>
      <c r="V152" s="306">
        <f t="shared" ca="1" si="61"/>
        <v>1.2149791518685928</v>
      </c>
      <c r="W152" s="304">
        <f t="shared" ca="1" si="62"/>
        <v>47.962838285559357</v>
      </c>
      <c r="Y152" s="314" t="str">
        <f t="shared" ca="1" si="80"/>
        <v/>
      </c>
      <c r="Z152" s="315" t="str">
        <f t="shared" ca="1" si="81"/>
        <v/>
      </c>
      <c r="AA152" s="316" t="str">
        <f t="shared" ca="1" si="82"/>
        <v/>
      </c>
      <c r="AC152" s="310" t="e">
        <f t="shared" ca="1" si="83"/>
        <v>#N/A</v>
      </c>
      <c r="AD152" s="323" t="e">
        <f t="shared" ca="1" si="84"/>
        <v>#N/A</v>
      </c>
      <c r="AE152" s="324">
        <f t="shared" ca="1" si="63"/>
        <v>82.138801257649149</v>
      </c>
      <c r="AG152" s="306">
        <f t="shared" ca="1" si="85"/>
        <v>61.922301825590644</v>
      </c>
      <c r="AH152" s="304">
        <f t="shared" ca="1" si="86"/>
        <v>71.518079631269799</v>
      </c>
    </row>
    <row r="153" spans="1:34" x14ac:dyDescent="0.2">
      <c r="A153" s="347">
        <f t="shared" ca="1" si="64"/>
        <v>0.01</v>
      </c>
      <c r="B153" s="304">
        <f t="shared" ca="1" si="65"/>
        <v>1.4900000000000011</v>
      </c>
      <c r="D153" s="306">
        <f t="shared" ca="1" si="66"/>
        <v>14.831429531126275</v>
      </c>
      <c r="E153" s="307">
        <f t="shared" ca="1" si="67"/>
        <v>59.9276299689826</v>
      </c>
      <c r="F153" s="304">
        <f t="shared" ca="1" si="68"/>
        <v>61.73566340160334</v>
      </c>
      <c r="G153" s="306">
        <f t="shared" ca="1" si="69"/>
        <v>22.88938950061123</v>
      </c>
      <c r="H153" s="307">
        <f t="shared" ca="1" si="70"/>
        <v>107.52819265503609</v>
      </c>
      <c r="I153" s="304">
        <f t="shared" ca="1" si="71"/>
        <v>109.93742023246338</v>
      </c>
      <c r="J153" s="306">
        <f t="shared" ca="1" si="72"/>
        <v>16.668382125067332</v>
      </c>
      <c r="K153" s="307">
        <f t="shared" ca="1" si="73"/>
        <v>83.211086802701061</v>
      </c>
      <c r="L153" s="304">
        <f t="shared" ca="1" si="58"/>
        <v>84.864126281685799</v>
      </c>
      <c r="M153" s="306">
        <f t="shared" ca="1" si="74"/>
        <v>1.3610581641293444</v>
      </c>
      <c r="N153" s="304">
        <f t="shared" ca="1" si="75"/>
        <v>77.982888476435534</v>
      </c>
      <c r="P153" s="310">
        <f t="shared" ca="1" si="76"/>
        <v>4</v>
      </c>
      <c r="Q153" s="304">
        <f t="shared" ca="1" si="77"/>
        <v>661.39999999999986</v>
      </c>
      <c r="R153" s="306">
        <f t="shared" ca="1" si="78"/>
        <v>0.33192584423597304</v>
      </c>
      <c r="S153" s="307">
        <f t="shared" ca="1" si="79"/>
        <v>8.6039297376079116</v>
      </c>
      <c r="T153" s="304">
        <f t="shared" ca="1" si="59"/>
        <v>84.404550725933618</v>
      </c>
      <c r="U153" s="311">
        <f t="shared" ca="1" si="60"/>
        <v>0</v>
      </c>
      <c r="V153" s="306">
        <f t="shared" ca="1" si="61"/>
        <v>1.2148488761689817</v>
      </c>
      <c r="W153" s="304">
        <f t="shared" ca="1" si="62"/>
        <v>48.500584477225495</v>
      </c>
      <c r="Y153" s="314" t="str">
        <f t="shared" ca="1" si="80"/>
        <v/>
      </c>
      <c r="Z153" s="315" t="str">
        <f t="shared" ca="1" si="81"/>
        <v/>
      </c>
      <c r="AA153" s="316" t="str">
        <f t="shared" ca="1" si="82"/>
        <v/>
      </c>
      <c r="AC153" s="310" t="e">
        <f t="shared" ca="1" si="83"/>
        <v>#N/A</v>
      </c>
      <c r="AD153" s="323" t="e">
        <f t="shared" ca="1" si="84"/>
        <v>#N/A</v>
      </c>
      <c r="AE153" s="324">
        <f t="shared" ca="1" si="63"/>
        <v>83.211086802701061</v>
      </c>
      <c r="AG153" s="306">
        <f t="shared" ca="1" si="85"/>
        <v>61.701926114694466</v>
      </c>
      <c r="AH153" s="304">
        <f t="shared" ca="1" si="86"/>
        <v>71.297323481513004</v>
      </c>
    </row>
    <row r="154" spans="1:34" x14ac:dyDescent="0.2">
      <c r="A154" s="347">
        <f t="shared" ca="1" si="64"/>
        <v>0.01</v>
      </c>
      <c r="B154" s="304">
        <f t="shared" ca="1" si="65"/>
        <v>1.5000000000000011</v>
      </c>
      <c r="D154" s="306">
        <f t="shared" ca="1" si="66"/>
        <v>14.798338726837892</v>
      </c>
      <c r="E154" s="307">
        <f t="shared" ca="1" si="67"/>
        <v>59.708613309953734</v>
      </c>
      <c r="F154" s="304">
        <f t="shared" ca="1" si="68"/>
        <v>61.515114666818384</v>
      </c>
      <c r="G154" s="306">
        <f t="shared" ca="1" si="69"/>
        <v>23.037372887879609</v>
      </c>
      <c r="H154" s="307">
        <f t="shared" ca="1" si="70"/>
        <v>108.12527878813563</v>
      </c>
      <c r="I154" s="304">
        <f t="shared" ca="1" si="71"/>
        <v>110.55223409134373</v>
      </c>
      <c r="J154" s="306">
        <f t="shared" ca="1" si="72"/>
        <v>16.898015937009784</v>
      </c>
      <c r="K154" s="307">
        <f t="shared" ca="1" si="73"/>
        <v>84.289354159916925</v>
      </c>
      <c r="L154" s="304">
        <f t="shared" ca="1" si="58"/>
        <v>85.966494445820814</v>
      </c>
      <c r="M154" s="306">
        <f t="shared" ca="1" si="74"/>
        <v>1.360873411701508</v>
      </c>
      <c r="N154" s="304">
        <f t="shared" ca="1" si="75"/>
        <v>77.97230294206571</v>
      </c>
      <c r="P154" s="310">
        <f t="shared" ca="1" si="76"/>
        <v>4</v>
      </c>
      <c r="Q154" s="304">
        <f t="shared" ca="1" si="77"/>
        <v>659.79999999999984</v>
      </c>
      <c r="R154" s="306">
        <f t="shared" ca="1" si="78"/>
        <v>0.331122878782726</v>
      </c>
      <c r="S154" s="307">
        <f t="shared" ca="1" si="79"/>
        <v>8.6006185088200837</v>
      </c>
      <c r="T154" s="304">
        <f t="shared" ca="1" si="59"/>
        <v>84.372067571525022</v>
      </c>
      <c r="U154" s="311">
        <f t="shared" ca="1" si="60"/>
        <v>0</v>
      </c>
      <c r="V154" s="306">
        <f t="shared" ca="1" si="61"/>
        <v>1.2147178877454767</v>
      </c>
      <c r="W154" s="304">
        <f t="shared" ca="1" si="62"/>
        <v>49.039282392819757</v>
      </c>
      <c r="Y154" s="314" t="str">
        <f t="shared" ca="1" si="80"/>
        <v/>
      </c>
      <c r="Z154" s="315" t="str">
        <f t="shared" ca="1" si="81"/>
        <v/>
      </c>
      <c r="AA154" s="316" t="str">
        <f t="shared" ca="1" si="82"/>
        <v/>
      </c>
      <c r="AC154" s="310" t="e">
        <f t="shared" ca="1" si="83"/>
        <v>#N/A</v>
      </c>
      <c r="AD154" s="323" t="e">
        <f t="shared" ca="1" si="84"/>
        <v>#N/A</v>
      </c>
      <c r="AE154" s="324">
        <f t="shared" ca="1" si="63"/>
        <v>84.289354159916925</v>
      </c>
      <c r="AG154" s="306">
        <f t="shared" ca="1" si="85"/>
        <v>61.481197211524545</v>
      </c>
      <c r="AH154" s="304">
        <f t="shared" ca="1" si="86"/>
        <v>71.076215611223333</v>
      </c>
    </row>
    <row r="155" spans="1:34" x14ac:dyDescent="0.2">
      <c r="A155" s="347">
        <f t="shared" ca="1" si="64"/>
        <v>0.01</v>
      </c>
      <c r="B155" s="304">
        <f t="shared" ca="1" si="65"/>
        <v>1.5100000000000011</v>
      </c>
      <c r="D155" s="306">
        <f t="shared" ca="1" si="66"/>
        <v>14.76673168806502</v>
      </c>
      <c r="E155" s="307">
        <f t="shared" ca="1" si="67"/>
        <v>59.497250802093788</v>
      </c>
      <c r="F155" s="304">
        <f t="shared" ca="1" si="68"/>
        <v>61.302358990128219</v>
      </c>
      <c r="G155" s="306">
        <f t="shared" ca="1" si="69"/>
        <v>23.185040204760259</v>
      </c>
      <c r="H155" s="307">
        <f t="shared" ca="1" si="70"/>
        <v>108.72025129615658</v>
      </c>
      <c r="I155" s="304">
        <f t="shared" ca="1" si="71"/>
        <v>111.16491861732183</v>
      </c>
      <c r="J155" s="306">
        <f t="shared" ca="1" si="72"/>
        <v>17.129128002472985</v>
      </c>
      <c r="K155" s="307">
        <f t="shared" ca="1" si="73"/>
        <v>85.373581810338379</v>
      </c>
      <c r="L155" s="304">
        <f t="shared" ca="1" si="58"/>
        <v>87.074999266446426</v>
      </c>
      <c r="M155" s="306">
        <f t="shared" ca="1" si="74"/>
        <v>1.3606895180722482</v>
      </c>
      <c r="N155" s="304">
        <f t="shared" ca="1" si="75"/>
        <v>77.961766613229784</v>
      </c>
      <c r="P155" s="310">
        <f t="shared" ca="1" si="76"/>
        <v>5</v>
      </c>
      <c r="Q155" s="304">
        <f t="shared" ca="1" si="77"/>
        <v>658.26999999999987</v>
      </c>
      <c r="R155" s="306">
        <f t="shared" ca="1" si="78"/>
        <v>0.33035504306805863</v>
      </c>
      <c r="S155" s="307">
        <f t="shared" ca="1" si="79"/>
        <v>8.5973149583894024</v>
      </c>
      <c r="T155" s="304">
        <f t="shared" ca="1" si="59"/>
        <v>84.339659741800048</v>
      </c>
      <c r="U155" s="311">
        <f t="shared" ca="1" si="60"/>
        <v>0</v>
      </c>
      <c r="V155" s="306">
        <f t="shared" ca="1" si="61"/>
        <v>1.2145861894436083</v>
      </c>
      <c r="W155" s="304">
        <f t="shared" ca="1" si="62"/>
        <v>49.578967711064692</v>
      </c>
      <c r="Y155" s="314" t="str">
        <f t="shared" ca="1" si="80"/>
        <v/>
      </c>
      <c r="Z155" s="315" t="str">
        <f t="shared" ca="1" si="81"/>
        <v/>
      </c>
      <c r="AA155" s="316" t="str">
        <f t="shared" ca="1" si="82"/>
        <v/>
      </c>
      <c r="AC155" s="310" t="e">
        <f t="shared" ca="1" si="83"/>
        <v>#N/A</v>
      </c>
      <c r="AD155" s="323" t="e">
        <f t="shared" ca="1" si="84"/>
        <v>#N/A</v>
      </c>
      <c r="AE155" s="324">
        <f t="shared" ca="1" si="63"/>
        <v>85.373581810338379</v>
      </c>
      <c r="AG155" s="306">
        <f t="shared" ca="1" si="85"/>
        <v>61.26826463534664</v>
      </c>
      <c r="AH155" s="304">
        <f t="shared" ca="1" si="86"/>
        <v>70.862905518272626</v>
      </c>
    </row>
    <row r="156" spans="1:34" x14ac:dyDescent="0.2">
      <c r="A156" s="347">
        <f t="shared" ca="1" si="64"/>
        <v>0.01</v>
      </c>
      <c r="B156" s="304">
        <f t="shared" ca="1" si="65"/>
        <v>1.5200000000000011</v>
      </c>
      <c r="D156" s="306">
        <f t="shared" ca="1" si="66"/>
        <v>14.736615786696838</v>
      </c>
      <c r="E156" s="307">
        <f t="shared" ca="1" si="67"/>
        <v>59.293549419579506</v>
      </c>
      <c r="F156" s="304">
        <f t="shared" ca="1" si="68"/>
        <v>61.097404589858314</v>
      </c>
      <c r="G156" s="306">
        <f t="shared" ca="1" si="69"/>
        <v>23.332406362627228</v>
      </c>
      <c r="H156" s="307">
        <f t="shared" ca="1" si="70"/>
        <v>109.31318679035238</v>
      </c>
      <c r="I156" s="304">
        <f t="shared" ca="1" si="71"/>
        <v>111.77555185698363</v>
      </c>
      <c r="J156" s="306">
        <f t="shared" ca="1" si="72"/>
        <v>17.361715235309923</v>
      </c>
      <c r="K156" s="307">
        <f t="shared" ca="1" si="73"/>
        <v>86.463749000770918</v>
      </c>
      <c r="L156" s="304">
        <f t="shared" ca="1" si="58"/>
        <v>88.189619838052977</v>
      </c>
      <c r="M156" s="306">
        <f t="shared" ca="1" si="74"/>
        <v>1.360506471211127</v>
      </c>
      <c r="N156" s="304">
        <f t="shared" ca="1" si="75"/>
        <v>77.951278800634412</v>
      </c>
      <c r="P156" s="310">
        <f t="shared" ca="1" si="76"/>
        <v>5</v>
      </c>
      <c r="Q156" s="304">
        <f t="shared" ca="1" si="77"/>
        <v>656.80999999999983</v>
      </c>
      <c r="R156" s="306">
        <f t="shared" ca="1" si="78"/>
        <v>0.3296223370919707</v>
      </c>
      <c r="S156" s="307">
        <f t="shared" ca="1" si="79"/>
        <v>8.5940187350184836</v>
      </c>
      <c r="T156" s="304">
        <f t="shared" ca="1" si="59"/>
        <v>84.307323790531328</v>
      </c>
      <c r="U156" s="311">
        <f t="shared" ca="1" si="60"/>
        <v>0</v>
      </c>
      <c r="V156" s="306">
        <f t="shared" ca="1" si="61"/>
        <v>1.2144537840159932</v>
      </c>
      <c r="W156" s="304">
        <f t="shared" ca="1" si="62"/>
        <v>50.119677811458445</v>
      </c>
      <c r="Y156" s="314" t="str">
        <f t="shared" ca="1" si="80"/>
        <v/>
      </c>
      <c r="Z156" s="315" t="str">
        <f t="shared" ca="1" si="81"/>
        <v/>
      </c>
      <c r="AA156" s="316" t="str">
        <f t="shared" ca="1" si="82"/>
        <v/>
      </c>
      <c r="AC156" s="310" t="e">
        <f t="shared" ca="1" si="83"/>
        <v>#N/A</v>
      </c>
      <c r="AD156" s="323" t="e">
        <f t="shared" ca="1" si="84"/>
        <v>#N/A</v>
      </c>
      <c r="AE156" s="324">
        <f t="shared" ca="1" si="63"/>
        <v>86.463749000770918</v>
      </c>
      <c r="AG156" s="306">
        <f t="shared" ca="1" si="85"/>
        <v>61.06313670774108</v>
      </c>
      <c r="AH156" s="304">
        <f t="shared" ca="1" si="86"/>
        <v>70.657401503515473</v>
      </c>
    </row>
    <row r="157" spans="1:34" x14ac:dyDescent="0.2">
      <c r="A157" s="347">
        <f t="shared" ca="1" si="64"/>
        <v>0.01</v>
      </c>
      <c r="B157" s="304">
        <f t="shared" ca="1" si="65"/>
        <v>1.5300000000000011</v>
      </c>
      <c r="D157" s="306">
        <f t="shared" ca="1" si="66"/>
        <v>14.706296761976395</v>
      </c>
      <c r="E157" s="307">
        <f t="shared" ca="1" si="67"/>
        <v>59.089544262663253</v>
      </c>
      <c r="F157" s="304">
        <f t="shared" ca="1" si="68"/>
        <v>60.892112835904761</v>
      </c>
      <c r="G157" s="306">
        <f t="shared" ca="1" si="69"/>
        <v>23.479469330246992</v>
      </c>
      <c r="H157" s="307">
        <f t="shared" ca="1" si="70"/>
        <v>109.90408223297901</v>
      </c>
      <c r="I157" s="304">
        <f t="shared" ca="1" si="71"/>
        <v>112.38413042553393</v>
      </c>
      <c r="J157" s="306">
        <f t="shared" ca="1" si="72"/>
        <v>17.595774613774292</v>
      </c>
      <c r="K157" s="307">
        <f t="shared" ca="1" si="73"/>
        <v>87.559835345887578</v>
      </c>
      <c r="L157" s="304">
        <f t="shared" ca="1" si="58"/>
        <v>89.310335628401305</v>
      </c>
      <c r="M157" s="306">
        <f t="shared" ca="1" si="74"/>
        <v>1.3603242593143339</v>
      </c>
      <c r="N157" s="304">
        <f t="shared" ca="1" si="75"/>
        <v>77.940838827971092</v>
      </c>
      <c r="P157" s="310">
        <f t="shared" ca="1" si="76"/>
        <v>5</v>
      </c>
      <c r="Q157" s="304">
        <f t="shared" ca="1" si="77"/>
        <v>655.3499999999998</v>
      </c>
      <c r="R157" s="306">
        <f t="shared" ca="1" si="78"/>
        <v>0.32888963111588282</v>
      </c>
      <c r="S157" s="307">
        <f t="shared" ca="1" si="79"/>
        <v>8.5907298387073254</v>
      </c>
      <c r="T157" s="304">
        <f t="shared" ca="1" si="59"/>
        <v>84.275059717718861</v>
      </c>
      <c r="U157" s="311">
        <f t="shared" ca="1" si="60"/>
        <v>0</v>
      </c>
      <c r="V157" s="306">
        <f t="shared" ca="1" si="61"/>
        <v>1.2143206741706898</v>
      </c>
      <c r="W157" s="304">
        <f t="shared" ca="1" si="62"/>
        <v>50.661378272338716</v>
      </c>
      <c r="Y157" s="314" t="str">
        <f t="shared" ca="1" si="80"/>
        <v/>
      </c>
      <c r="Z157" s="315" t="str">
        <f t="shared" ca="1" si="81"/>
        <v/>
      </c>
      <c r="AA157" s="316" t="str">
        <f t="shared" ca="1" si="82"/>
        <v/>
      </c>
      <c r="AC157" s="310" t="e">
        <f t="shared" ca="1" si="83"/>
        <v>#N/A</v>
      </c>
      <c r="AD157" s="323" t="e">
        <f t="shared" ca="1" si="84"/>
        <v>#N/A</v>
      </c>
      <c r="AE157" s="324">
        <f t="shared" ca="1" si="63"/>
        <v>87.559835345887578</v>
      </c>
      <c r="AG157" s="306">
        <f t="shared" ca="1" si="85"/>
        <v>60.857670290769562</v>
      </c>
      <c r="AH157" s="304">
        <f t="shared" ca="1" si="86"/>
        <v>70.451560408936373</v>
      </c>
    </row>
    <row r="158" spans="1:34" x14ac:dyDescent="0.2">
      <c r="A158" s="347">
        <f t="shared" ca="1" si="64"/>
        <v>0.01</v>
      </c>
      <c r="B158" s="304">
        <f t="shared" ca="1" si="65"/>
        <v>1.5400000000000011</v>
      </c>
      <c r="D158" s="306">
        <f t="shared" ca="1" si="66"/>
        <v>14.675776632467716</v>
      </c>
      <c r="E158" s="307">
        <f t="shared" ca="1" si="67"/>
        <v>58.885239196472739</v>
      </c>
      <c r="F158" s="304">
        <f t="shared" ca="1" si="68"/>
        <v>60.686487911164335</v>
      </c>
      <c r="G158" s="306">
        <f t="shared" ca="1" si="69"/>
        <v>23.626227096571668</v>
      </c>
      <c r="H158" s="307">
        <f t="shared" ca="1" si="70"/>
        <v>110.49293462494373</v>
      </c>
      <c r="I158" s="304">
        <f t="shared" ca="1" si="71"/>
        <v>112.9906509798526</v>
      </c>
      <c r="J158" s="306">
        <f t="shared" ca="1" si="72"/>
        <v>17.831303095908385</v>
      </c>
      <c r="K158" s="307">
        <f t="shared" ca="1" si="73"/>
        <v>88.661820430177187</v>
      </c>
      <c r="L158" s="304">
        <f t="shared" ca="1" si="58"/>
        <v>90.437126071603672</v>
      </c>
      <c r="M158" s="306">
        <f t="shared" ca="1" si="74"/>
        <v>1.3601428707988708</v>
      </c>
      <c r="N158" s="304">
        <f t="shared" ca="1" si="75"/>
        <v>77.930446031582917</v>
      </c>
      <c r="P158" s="310">
        <f t="shared" ca="1" si="76"/>
        <v>5</v>
      </c>
      <c r="Q158" s="304">
        <f t="shared" ca="1" si="77"/>
        <v>653.88999999999987</v>
      </c>
      <c r="R158" s="306">
        <f t="shared" ca="1" si="78"/>
        <v>0.328156925139795</v>
      </c>
      <c r="S158" s="307">
        <f t="shared" ca="1" si="79"/>
        <v>8.587448269455928</v>
      </c>
      <c r="T158" s="304">
        <f t="shared" ca="1" si="59"/>
        <v>84.242867523362662</v>
      </c>
      <c r="U158" s="311">
        <f t="shared" ca="1" si="60"/>
        <v>0</v>
      </c>
      <c r="V158" s="306">
        <f t="shared" ca="1" si="61"/>
        <v>1.2141868626195391</v>
      </c>
      <c r="W158" s="304">
        <f t="shared" ca="1" si="62"/>
        <v>51.204034760790236</v>
      </c>
      <c r="Y158" s="314" t="str">
        <f t="shared" ca="1" si="80"/>
        <v/>
      </c>
      <c r="Z158" s="315" t="str">
        <f t="shared" ca="1" si="81"/>
        <v/>
      </c>
      <c r="AA158" s="316" t="str">
        <f t="shared" ca="1" si="82"/>
        <v/>
      </c>
      <c r="AC158" s="310" t="e">
        <f t="shared" ca="1" si="83"/>
        <v>#N/A</v>
      </c>
      <c r="AD158" s="323" t="e">
        <f t="shared" ca="1" si="84"/>
        <v>#N/A</v>
      </c>
      <c r="AE158" s="324">
        <f t="shared" ca="1" si="63"/>
        <v>88.661820430177187</v>
      </c>
      <c r="AG158" s="306">
        <f t="shared" ca="1" si="85"/>
        <v>60.651869552114981</v>
      </c>
      <c r="AH158" s="304">
        <f t="shared" ca="1" si="86"/>
        <v>70.245386382499817</v>
      </c>
    </row>
    <row r="159" spans="1:34" x14ac:dyDescent="0.2">
      <c r="A159" s="347">
        <f t="shared" ca="1" si="64"/>
        <v>0.01</v>
      </c>
      <c r="B159" s="304">
        <f t="shared" ca="1" si="65"/>
        <v>1.5500000000000012</v>
      </c>
      <c r="D159" s="306">
        <f t="shared" ca="1" si="66"/>
        <v>14.645057396010099</v>
      </c>
      <c r="E159" s="307">
        <f t="shared" ca="1" si="67"/>
        <v>58.680638087140949</v>
      </c>
      <c r="F159" s="304">
        <f t="shared" ca="1" si="68"/>
        <v>60.480533996042453</v>
      </c>
      <c r="G159" s="306">
        <f t="shared" ca="1" si="69"/>
        <v>23.77267767053177</v>
      </c>
      <c r="H159" s="307">
        <f t="shared" ca="1" si="70"/>
        <v>111.07974100581514</v>
      </c>
      <c r="I159" s="304">
        <f t="shared" ca="1" si="71"/>
        <v>113.59511021846834</v>
      </c>
      <c r="J159" s="306">
        <f t="shared" ca="1" si="72"/>
        <v>18.068297619743902</v>
      </c>
      <c r="K159" s="307">
        <f t="shared" ca="1" si="73"/>
        <v>89.769683808330981</v>
      </c>
      <c r="L159" s="304">
        <f t="shared" ca="1" si="58"/>
        <v>91.569970568540455</v>
      </c>
      <c r="M159" s="306">
        <f t="shared" ca="1" si="74"/>
        <v>1.3599622942969192</v>
      </c>
      <c r="N159" s="304">
        <f t="shared" ca="1" si="75"/>
        <v>77.920099760141852</v>
      </c>
      <c r="P159" s="310">
        <f t="shared" ca="1" si="76"/>
        <v>5</v>
      </c>
      <c r="Q159" s="304">
        <f t="shared" ca="1" si="77"/>
        <v>652.42999999999984</v>
      </c>
      <c r="R159" s="306">
        <f t="shared" ca="1" si="78"/>
        <v>0.32742421916370706</v>
      </c>
      <c r="S159" s="307">
        <f t="shared" ca="1" si="79"/>
        <v>8.5841740272642912</v>
      </c>
      <c r="T159" s="304">
        <f t="shared" ca="1" si="59"/>
        <v>84.210747207462703</v>
      </c>
      <c r="U159" s="311">
        <f t="shared" ca="1" si="60"/>
        <v>0</v>
      </c>
      <c r="V159" s="306">
        <f t="shared" ca="1" si="61"/>
        <v>1.214052352078099</v>
      </c>
      <c r="W159" s="304">
        <f t="shared" ca="1" si="62"/>
        <v>51.747613034371817</v>
      </c>
      <c r="Y159" s="314" t="str">
        <f t="shared" ca="1" si="80"/>
        <v/>
      </c>
      <c r="Z159" s="315" t="str">
        <f t="shared" ca="1" si="81"/>
        <v/>
      </c>
      <c r="AA159" s="316" t="str">
        <f t="shared" ca="1" si="82"/>
        <v/>
      </c>
      <c r="AC159" s="310" t="e">
        <f t="shared" ca="1" si="83"/>
        <v>#N/A</v>
      </c>
      <c r="AD159" s="323" t="e">
        <f t="shared" ca="1" si="84"/>
        <v>#N/A</v>
      </c>
      <c r="AE159" s="324">
        <f t="shared" ca="1" si="63"/>
        <v>89.769683808330981</v>
      </c>
      <c r="AG159" s="306">
        <f t="shared" ca="1" si="85"/>
        <v>60.445738656826862</v>
      </c>
      <c r="AH159" s="304">
        <f t="shared" ca="1" si="86"/>
        <v>70.03888356988675</v>
      </c>
    </row>
    <row r="160" spans="1:34" x14ac:dyDescent="0.2">
      <c r="A160" s="347">
        <f t="shared" ca="1" si="64"/>
        <v>0.01</v>
      </c>
      <c r="B160" s="304">
        <f t="shared" ca="1" si="65"/>
        <v>1.5600000000000012</v>
      </c>
      <c r="D160" s="306">
        <f t="shared" ca="1" si="66"/>
        <v>14.614141030207277</v>
      </c>
      <c r="E160" s="307">
        <f t="shared" ca="1" si="67"/>
        <v>58.475744801484467</v>
      </c>
      <c r="F160" s="304">
        <f t="shared" ca="1" si="68"/>
        <v>60.274255268224806</v>
      </c>
      <c r="G160" s="306">
        <f t="shared" ca="1" si="69"/>
        <v>23.918819080833842</v>
      </c>
      <c r="H160" s="307">
        <f t="shared" ca="1" si="70"/>
        <v>111.66449845382998</v>
      </c>
      <c r="I160" s="304">
        <f t="shared" ca="1" si="71"/>
        <v>114.19750488152995</v>
      </c>
      <c r="J160" s="306">
        <f t="shared" ca="1" si="72"/>
        <v>18.306755103500731</v>
      </c>
      <c r="K160" s="307">
        <f t="shared" ca="1" si="73"/>
        <v>90.8834050056292</v>
      </c>
      <c r="L160" s="304">
        <f t="shared" ca="1" si="58"/>
        <v>92.708848487276427</v>
      </c>
      <c r="M160" s="306">
        <f t="shared" ca="1" si="74"/>
        <v>1.3597825186503896</v>
      </c>
      <c r="N160" s="304">
        <f t="shared" ca="1" si="75"/>
        <v>77.909799374336473</v>
      </c>
      <c r="P160" s="310">
        <f t="shared" ca="1" si="76"/>
        <v>5</v>
      </c>
      <c r="Q160" s="304">
        <f t="shared" ca="1" si="77"/>
        <v>650.9699999999998</v>
      </c>
      <c r="R160" s="306">
        <f t="shared" ca="1" si="78"/>
        <v>0.32669151318761919</v>
      </c>
      <c r="S160" s="307">
        <f t="shared" ca="1" si="79"/>
        <v>8.5809071121324152</v>
      </c>
      <c r="T160" s="304">
        <f t="shared" ca="1" si="59"/>
        <v>84.178698770018997</v>
      </c>
      <c r="U160" s="311">
        <f t="shared" ca="1" si="60"/>
        <v>0</v>
      </c>
      <c r="V160" s="306">
        <f t="shared" ca="1" si="61"/>
        <v>1.213917145265583</v>
      </c>
      <c r="W160" s="304">
        <f t="shared" ca="1" si="62"/>
        <v>52.292078942827786</v>
      </c>
      <c r="Y160" s="314" t="str">
        <f t="shared" ca="1" si="80"/>
        <v/>
      </c>
      <c r="Z160" s="315" t="str">
        <f t="shared" ca="1" si="81"/>
        <v/>
      </c>
      <c r="AA160" s="316" t="str">
        <f t="shared" ca="1" si="82"/>
        <v/>
      </c>
      <c r="AC160" s="310" t="e">
        <f t="shared" ca="1" si="83"/>
        <v>#N/A</v>
      </c>
      <c r="AD160" s="323" t="e">
        <f t="shared" ca="1" si="84"/>
        <v>#N/A</v>
      </c>
      <c r="AE160" s="324">
        <f t="shared" ca="1" si="63"/>
        <v>90.8834050056292</v>
      </c>
      <c r="AG160" s="306">
        <f t="shared" ca="1" si="85"/>
        <v>60.239281767089025</v>
      </c>
      <c r="AH160" s="304">
        <f t="shared" ca="1" si="86"/>
        <v>69.832056114253518</v>
      </c>
    </row>
    <row r="161" spans="1:34" x14ac:dyDescent="0.2">
      <c r="A161" s="347">
        <f t="shared" ca="1" si="64"/>
        <v>0.01</v>
      </c>
      <c r="B161" s="304">
        <f t="shared" ca="1" si="65"/>
        <v>1.5700000000000012</v>
      </c>
      <c r="D161" s="306">
        <f t="shared" ca="1" si="66"/>
        <v>14.583029492899179</v>
      </c>
      <c r="E161" s="307">
        <f t="shared" ca="1" si="67"/>
        <v>58.270563206686077</v>
      </c>
      <c r="F161" s="304">
        <f t="shared" ca="1" si="68"/>
        <v>60.067655902450234</v>
      </c>
      <c r="G161" s="306">
        <f t="shared" ca="1" si="69"/>
        <v>24.064649375762833</v>
      </c>
      <c r="H161" s="307">
        <f t="shared" ca="1" si="70"/>
        <v>112.24720408589684</v>
      </c>
      <c r="I161" s="304">
        <f t="shared" ca="1" si="71"/>
        <v>114.79783175077559</v>
      </c>
      <c r="J161" s="306">
        <f t="shared" ca="1" si="72"/>
        <v>18.546672445783713</v>
      </c>
      <c r="K161" s="307">
        <f t="shared" ca="1" si="73"/>
        <v>92.002963518327832</v>
      </c>
      <c r="L161" s="304">
        <f t="shared" ca="1" si="58"/>
        <v>93.853739163476888</v>
      </c>
      <c r="M161" s="306">
        <f t="shared" ca="1" si="74"/>
        <v>1.3596035329056404</v>
      </c>
      <c r="N161" s="304">
        <f t="shared" ca="1" si="75"/>
        <v>77.899544246569334</v>
      </c>
      <c r="P161" s="310">
        <f t="shared" ca="1" si="76"/>
        <v>5</v>
      </c>
      <c r="Q161" s="304">
        <f t="shared" ca="1" si="77"/>
        <v>649.50999999999976</v>
      </c>
      <c r="R161" s="306">
        <f t="shared" ca="1" si="78"/>
        <v>0.32595880721153131</v>
      </c>
      <c r="S161" s="307">
        <f t="shared" ca="1" si="79"/>
        <v>8.5776475240602998</v>
      </c>
      <c r="T161" s="304">
        <f t="shared" ca="1" si="59"/>
        <v>84.146722211031545</v>
      </c>
      <c r="U161" s="311">
        <f t="shared" ca="1" si="60"/>
        <v>0</v>
      </c>
      <c r="V161" s="306">
        <f t="shared" ca="1" si="61"/>
        <v>1.2137812449047922</v>
      </c>
      <c r="W161" s="304">
        <f t="shared" ca="1" si="62"/>
        <v>52.837398429783761</v>
      </c>
      <c r="Y161" s="314" t="str">
        <f t="shared" ca="1" si="80"/>
        <v/>
      </c>
      <c r="Z161" s="315" t="str">
        <f t="shared" ca="1" si="81"/>
        <v/>
      </c>
      <c r="AA161" s="316" t="str">
        <f t="shared" ca="1" si="82"/>
        <v/>
      </c>
      <c r="AC161" s="310" t="e">
        <f t="shared" ca="1" si="83"/>
        <v>#N/A</v>
      </c>
      <c r="AD161" s="323" t="e">
        <f t="shared" ca="1" si="84"/>
        <v>#N/A</v>
      </c>
      <c r="AE161" s="324">
        <f t="shared" ca="1" si="63"/>
        <v>92.002963518327832</v>
      </c>
      <c r="AG161" s="306">
        <f t="shared" ca="1" si="85"/>
        <v>60.032503041988285</v>
      </c>
      <c r="AH161" s="304">
        <f t="shared" ca="1" si="86"/>
        <v>69.624908155992173</v>
      </c>
    </row>
    <row r="162" spans="1:34" x14ac:dyDescent="0.2">
      <c r="A162" s="347">
        <f t="shared" ca="1" si="64"/>
        <v>0.01</v>
      </c>
      <c r="B162" s="304">
        <f t="shared" ca="1" si="65"/>
        <v>1.5800000000000012</v>
      </c>
      <c r="D162" s="306">
        <f t="shared" ca="1" si="66"/>
        <v>14.55172472261736</v>
      </c>
      <c r="E162" s="307">
        <f t="shared" ca="1" si="67"/>
        <v>58.065097169980874</v>
      </c>
      <c r="F162" s="304">
        <f t="shared" ca="1" si="68"/>
        <v>59.860740070284415</v>
      </c>
      <c r="G162" s="306">
        <f t="shared" ca="1" si="69"/>
        <v>24.210166622989007</v>
      </c>
      <c r="H162" s="307">
        <f t="shared" ca="1" si="70"/>
        <v>112.82785505759665</v>
      </c>
      <c r="I162" s="304">
        <f t="shared" ca="1" si="71"/>
        <v>115.39608764949932</v>
      </c>
      <c r="J162" s="306">
        <f t="shared" ca="1" si="72"/>
        <v>18.788046525777471</v>
      </c>
      <c r="K162" s="307">
        <f t="shared" ca="1" si="73"/>
        <v>93.128338814045293</v>
      </c>
      <c r="L162" s="304">
        <f t="shared" ca="1" si="58"/>
        <v>95.004621900823295</v>
      </c>
      <c r="M162" s="306">
        <f t="shared" ca="1" si="74"/>
        <v>1.3594253263083627</v>
      </c>
      <c r="N162" s="304">
        <f t="shared" ca="1" si="75"/>
        <v>77.889333760663931</v>
      </c>
      <c r="P162" s="310">
        <f t="shared" ca="1" si="76"/>
        <v>5</v>
      </c>
      <c r="Q162" s="304">
        <f t="shared" ca="1" si="77"/>
        <v>648.04999999999984</v>
      </c>
      <c r="R162" s="306">
        <f t="shared" ca="1" si="78"/>
        <v>0.32522610123544349</v>
      </c>
      <c r="S162" s="307">
        <f t="shared" ca="1" si="79"/>
        <v>8.5743952630479452</v>
      </c>
      <c r="T162" s="304">
        <f t="shared" ca="1" si="59"/>
        <v>84.114817530500346</v>
      </c>
      <c r="U162" s="311">
        <f t="shared" ca="1" si="60"/>
        <v>0</v>
      </c>
      <c r="V162" s="306">
        <f t="shared" ca="1" si="61"/>
        <v>1.213644653722056</v>
      </c>
      <c r="W162" s="304">
        <f t="shared" ca="1" si="62"/>
        <v>53.383537534426651</v>
      </c>
      <c r="Y162" s="314" t="str">
        <f t="shared" ca="1" si="80"/>
        <v/>
      </c>
      <c r="Z162" s="315" t="str">
        <f t="shared" ca="1" si="81"/>
        <v/>
      </c>
      <c r="AA162" s="316" t="str">
        <f t="shared" ca="1" si="82"/>
        <v/>
      </c>
      <c r="AC162" s="310" t="e">
        <f t="shared" ca="1" si="83"/>
        <v>#N/A</v>
      </c>
      <c r="AD162" s="323" t="e">
        <f t="shared" ca="1" si="84"/>
        <v>#N/A</v>
      </c>
      <c r="AE162" s="324">
        <f t="shared" ca="1" si="63"/>
        <v>93.128338814045293</v>
      </c>
      <c r="AG162" s="306">
        <f t="shared" ca="1" si="85"/>
        <v>59.825406637284168</v>
      </c>
      <c r="AH162" s="304">
        <f t="shared" ca="1" si="86"/>
        <v>69.417443832491983</v>
      </c>
    </row>
    <row r="163" spans="1:34" x14ac:dyDescent="0.2">
      <c r="A163" s="347">
        <f t="shared" ca="1" si="64"/>
        <v>0.01</v>
      </c>
      <c r="B163" s="304">
        <f t="shared" ca="1" si="65"/>
        <v>1.5900000000000012</v>
      </c>
      <c r="D163" s="306">
        <f t="shared" ca="1" si="66"/>
        <v>14.520228639024555</v>
      </c>
      <c r="E163" s="307">
        <f t="shared" ca="1" si="67"/>
        <v>57.859350558346634</v>
      </c>
      <c r="F163" s="304">
        <f t="shared" ca="1" si="68"/>
        <v>59.653511939895004</v>
      </c>
      <c r="G163" s="306">
        <f t="shared" ca="1" si="69"/>
        <v>24.355368909379251</v>
      </c>
      <c r="H163" s="307">
        <f t="shared" ca="1" si="70"/>
        <v>113.40644856318012</v>
      </c>
      <c r="I163" s="304">
        <f t="shared" ca="1" si="71"/>
        <v>115.99226944251576</v>
      </c>
      <c r="J163" s="306">
        <f t="shared" ca="1" si="72"/>
        <v>19.030874203439311</v>
      </c>
      <c r="K163" s="307">
        <f t="shared" ca="1" si="73"/>
        <v>94.259510332149176</v>
      </c>
      <c r="L163" s="304">
        <f t="shared" ca="1" si="58"/>
        <v>96.161475971428757</v>
      </c>
      <c r="M163" s="306">
        <f t="shared" ca="1" si="74"/>
        <v>1.3592478882986254</v>
      </c>
      <c r="N163" s="304">
        <f t="shared" ca="1" si="75"/>
        <v>77.879167311580787</v>
      </c>
      <c r="P163" s="310">
        <f t="shared" ca="1" si="76"/>
        <v>5</v>
      </c>
      <c r="Q163" s="304">
        <f t="shared" ca="1" si="77"/>
        <v>646.5899999999998</v>
      </c>
      <c r="R163" s="306">
        <f t="shared" ca="1" si="78"/>
        <v>0.32449339525935555</v>
      </c>
      <c r="S163" s="307">
        <f t="shared" ca="1" si="79"/>
        <v>8.5711503290953512</v>
      </c>
      <c r="T163" s="304">
        <f t="shared" ca="1" si="59"/>
        <v>84.082984728425401</v>
      </c>
      <c r="U163" s="311">
        <f t="shared" ca="1" si="60"/>
        <v>0</v>
      </c>
      <c r="V163" s="306">
        <f t="shared" ca="1" si="61"/>
        <v>1.2135073744471636</v>
      </c>
      <c r="W163" s="304">
        <f t="shared" ca="1" si="62"/>
        <v>53.930462393168661</v>
      </c>
      <c r="Y163" s="314" t="str">
        <f t="shared" ca="1" si="80"/>
        <v/>
      </c>
      <c r="Z163" s="315" t="str">
        <f t="shared" ca="1" si="81"/>
        <v/>
      </c>
      <c r="AA163" s="316" t="str">
        <f t="shared" ca="1" si="82"/>
        <v/>
      </c>
      <c r="AC163" s="310" t="e">
        <f t="shared" ca="1" si="83"/>
        <v>#N/A</v>
      </c>
      <c r="AD163" s="323" t="e">
        <f t="shared" ca="1" si="84"/>
        <v>#N/A</v>
      </c>
      <c r="AE163" s="324">
        <f t="shared" ca="1" si="63"/>
        <v>94.259510332149176</v>
      </c>
      <c r="AG163" s="306">
        <f t="shared" ca="1" si="85"/>
        <v>59.617996705179806</v>
      </c>
      <c r="AH163" s="304">
        <f t="shared" ca="1" si="86"/>
        <v>69.209667277902426</v>
      </c>
    </row>
    <row r="164" spans="1:34" x14ac:dyDescent="0.2">
      <c r="A164" s="347">
        <f t="shared" ca="1" si="64"/>
        <v>0.01</v>
      </c>
      <c r="B164" s="304">
        <f t="shared" ca="1" si="65"/>
        <v>1.6000000000000012</v>
      </c>
      <c r="D164" s="306">
        <f t="shared" ca="1" si="66"/>
        <v>14.488543143338896</v>
      </c>
      <c r="E164" s="307">
        <f t="shared" ca="1" si="67"/>
        <v>57.65332723819769</v>
      </c>
      <c r="F164" s="304">
        <f t="shared" ca="1" si="68"/>
        <v>59.445975675827718</v>
      </c>
      <c r="G164" s="306">
        <f t="shared" ca="1" si="69"/>
        <v>24.500254340812642</v>
      </c>
      <c r="H164" s="307">
        <f t="shared" ca="1" si="70"/>
        <v>113.9829818355621</v>
      </c>
      <c r="I164" s="304">
        <f t="shared" ca="1" si="71"/>
        <v>116.58637403612219</v>
      </c>
      <c r="J164" s="306">
        <f t="shared" ca="1" si="72"/>
        <v>19.275152319690271</v>
      </c>
      <c r="K164" s="307">
        <f t="shared" ca="1" si="73"/>
        <v>95.396457484142886</v>
      </c>
      <c r="L164" s="304">
        <f t="shared" ca="1" si="58"/>
        <v>97.324280616252921</v>
      </c>
      <c r="M164" s="306">
        <f t="shared" ca="1" si="74"/>
        <v>1.3590712085060721</v>
      </c>
      <c r="N164" s="304">
        <f t="shared" ca="1" si="75"/>
        <v>77.869044305142239</v>
      </c>
      <c r="P164" s="310">
        <f t="shared" ca="1" si="76"/>
        <v>5</v>
      </c>
      <c r="Q164" s="304">
        <f t="shared" ca="1" si="77"/>
        <v>645.12999999999977</v>
      </c>
      <c r="R164" s="306">
        <f t="shared" ca="1" si="78"/>
        <v>0.32376068928326768</v>
      </c>
      <c r="S164" s="307">
        <f t="shared" ca="1" si="79"/>
        <v>8.567912722202518</v>
      </c>
      <c r="T164" s="304">
        <f t="shared" ca="1" si="59"/>
        <v>84.05122380480671</v>
      </c>
      <c r="U164" s="311">
        <f t="shared" ca="1" si="60"/>
        <v>0</v>
      </c>
      <c r="V164" s="306">
        <f t="shared" ca="1" si="61"/>
        <v>1.2133694098133059</v>
      </c>
      <c r="W164" s="304">
        <f t="shared" ca="1" si="62"/>
        <v>54.478139241295551</v>
      </c>
      <c r="Y164" s="314" t="str">
        <f t="shared" ca="1" si="80"/>
        <v/>
      </c>
      <c r="Z164" s="315" t="str">
        <f t="shared" ca="1" si="81"/>
        <v/>
      </c>
      <c r="AA164" s="316" t="str">
        <f t="shared" ca="1" si="82"/>
        <v/>
      </c>
      <c r="AC164" s="310" t="e">
        <f t="shared" ca="1" si="83"/>
        <v>#N/A</v>
      </c>
      <c r="AD164" s="323" t="e">
        <f t="shared" ca="1" si="84"/>
        <v>#N/A</v>
      </c>
      <c r="AE164" s="324">
        <f t="shared" ca="1" si="63"/>
        <v>95.396457484142886</v>
      </c>
      <c r="AG164" s="306">
        <f t="shared" ca="1" si="85"/>
        <v>59.410277394093832</v>
      </c>
      <c r="AH164" s="304">
        <f t="shared" ca="1" si="86"/>
        <v>69.00158262289743</v>
      </c>
    </row>
    <row r="165" spans="1:34" x14ac:dyDescent="0.2">
      <c r="A165" s="347">
        <f t="shared" ca="1" si="64"/>
        <v>0.01</v>
      </c>
      <c r="B165" s="304">
        <f t="shared" ca="1" si="65"/>
        <v>1.6100000000000012</v>
      </c>
      <c r="D165" s="306">
        <f t="shared" ca="1" si="66"/>
        <v>14.456670118743579</v>
      </c>
      <c r="E165" s="307">
        <f t="shared" ca="1" si="67"/>
        <v>57.447031075082577</v>
      </c>
      <c r="F165" s="304">
        <f t="shared" ca="1" si="68"/>
        <v>59.238135438783658</v>
      </c>
      <c r="G165" s="306">
        <f t="shared" ca="1" si="69"/>
        <v>24.644821042000078</v>
      </c>
      <c r="H165" s="307">
        <f t="shared" ca="1" si="70"/>
        <v>114.55745214631293</v>
      </c>
      <c r="I165" s="304">
        <f t="shared" ca="1" si="71"/>
        <v>117.1783983780585</v>
      </c>
      <c r="J165" s="306">
        <f t="shared" ca="1" si="72"/>
        <v>19.520877696604334</v>
      </c>
      <c r="K165" s="307">
        <f t="shared" ca="1" si="73"/>
        <v>96.539159654052256</v>
      </c>
      <c r="L165" s="304">
        <f t="shared" ca="1" si="58"/>
        <v>98.493015045516671</v>
      </c>
      <c r="M165" s="306">
        <f t="shared" ca="1" si="74"/>
        <v>1.3588952767452667</v>
      </c>
      <c r="N165" s="304">
        <f t="shared" ca="1" si="75"/>
        <v>77.858964157765783</v>
      </c>
      <c r="P165" s="310">
        <f t="shared" ca="1" si="76"/>
        <v>5</v>
      </c>
      <c r="Q165" s="304">
        <f t="shared" ca="1" si="77"/>
        <v>643.66999999999985</v>
      </c>
      <c r="R165" s="306">
        <f t="shared" ca="1" si="78"/>
        <v>0.32302798330717986</v>
      </c>
      <c r="S165" s="307">
        <f t="shared" ca="1" si="79"/>
        <v>8.5646824423694454</v>
      </c>
      <c r="T165" s="304">
        <f t="shared" ca="1" si="59"/>
        <v>84.019534759644259</v>
      </c>
      <c r="U165" s="311">
        <f t="shared" ca="1" si="60"/>
        <v>0</v>
      </c>
      <c r="V165" s="306">
        <f t="shared" ca="1" si="61"/>
        <v>1.2132307625570042</v>
      </c>
      <c r="W165" s="304">
        <f t="shared" ca="1" si="62"/>
        <v>55.026534414598302</v>
      </c>
      <c r="Y165" s="314" t="str">
        <f t="shared" ca="1" si="80"/>
        <v/>
      </c>
      <c r="Z165" s="315" t="str">
        <f t="shared" ca="1" si="81"/>
        <v/>
      </c>
      <c r="AA165" s="316" t="str">
        <f t="shared" ca="1" si="82"/>
        <v/>
      </c>
      <c r="AC165" s="310" t="e">
        <f t="shared" ca="1" si="83"/>
        <v>#N/A</v>
      </c>
      <c r="AD165" s="323" t="e">
        <f t="shared" ca="1" si="84"/>
        <v>#N/A</v>
      </c>
      <c r="AE165" s="324">
        <f t="shared" ca="1" si="63"/>
        <v>96.539159654052256</v>
      </c>
      <c r="AG165" s="306">
        <f t="shared" ca="1" si="85"/>
        <v>59.202252848433531</v>
      </c>
      <c r="AH165" s="304">
        <f t="shared" ca="1" si="86"/>
        <v>68.793193994441026</v>
      </c>
    </row>
    <row r="166" spans="1:34" x14ac:dyDescent="0.2">
      <c r="A166" s="347">
        <f t="shared" ca="1" si="64"/>
        <v>0.01</v>
      </c>
      <c r="B166" s="304">
        <f t="shared" ca="1" si="65"/>
        <v>1.6200000000000012</v>
      </c>
      <c r="D166" s="306">
        <f t="shared" ca="1" si="66"/>
        <v>14.424611430782301</v>
      </c>
      <c r="E166" s="307">
        <f t="shared" ca="1" si="67"/>
        <v>57.240465933385238</v>
      </c>
      <c r="F166" s="304">
        <f t="shared" ca="1" si="68"/>
        <v>59.029995385397847</v>
      </c>
      <c r="G166" s="306">
        <f t="shared" ca="1" si="69"/>
        <v>24.789067156307901</v>
      </c>
      <c r="H166" s="307">
        <f t="shared" ca="1" si="70"/>
        <v>115.12985680564678</v>
      </c>
      <c r="I166" s="304">
        <f t="shared" ca="1" si="71"/>
        <v>117.76833945746488</v>
      </c>
      <c r="J166" s="306">
        <f t="shared" ca="1" si="72"/>
        <v>19.768047137595875</v>
      </c>
      <c r="K166" s="307">
        <f t="shared" ca="1" si="73"/>
        <v>97.687596198812059</v>
      </c>
      <c r="L166" s="304">
        <f t="shared" ca="1" si="58"/>
        <v>99.667658439116408</v>
      </c>
      <c r="M166" s="306">
        <f t="shared" ca="1" si="74"/>
        <v>1.3587200830111803</v>
      </c>
      <c r="N166" s="304">
        <f t="shared" ca="1" si="75"/>
        <v>77.848926296205491</v>
      </c>
      <c r="P166" s="310">
        <f t="shared" ca="1" si="76"/>
        <v>5</v>
      </c>
      <c r="Q166" s="304">
        <f t="shared" ca="1" si="77"/>
        <v>642.20999999999981</v>
      </c>
      <c r="R166" s="306">
        <f t="shared" ca="1" si="78"/>
        <v>0.32229527733109198</v>
      </c>
      <c r="S166" s="307">
        <f t="shared" ca="1" si="79"/>
        <v>8.5614594895961353</v>
      </c>
      <c r="T166" s="304">
        <f t="shared" ca="1" si="59"/>
        <v>83.987917592938089</v>
      </c>
      <c r="U166" s="311">
        <f t="shared" ca="1" si="60"/>
        <v>0</v>
      </c>
      <c r="V166" s="306">
        <f t="shared" ca="1" si="61"/>
        <v>1.2130914354180551</v>
      </c>
      <c r="W166" s="304">
        <f t="shared" ca="1" si="62"/>
        <v>55.575614350989355</v>
      </c>
      <c r="Y166" s="314" t="str">
        <f t="shared" ca="1" si="80"/>
        <v/>
      </c>
      <c r="Z166" s="315" t="str">
        <f t="shared" ca="1" si="81"/>
        <v/>
      </c>
      <c r="AA166" s="316" t="str">
        <f t="shared" ca="1" si="82"/>
        <v/>
      </c>
      <c r="AC166" s="310" t="e">
        <f t="shared" ca="1" si="83"/>
        <v>#N/A</v>
      </c>
      <c r="AD166" s="323" t="e">
        <f t="shared" ca="1" si="84"/>
        <v>#N/A</v>
      </c>
      <c r="AE166" s="324">
        <f t="shared" ca="1" si="63"/>
        <v>97.687596198812059</v>
      </c>
      <c r="AG166" s="306">
        <f t="shared" ca="1" si="85"/>
        <v>58.993927208369044</v>
      </c>
      <c r="AH166" s="304">
        <f t="shared" ca="1" si="86"/>
        <v>68.584505515554383</v>
      </c>
    </row>
    <row r="167" spans="1:34" x14ac:dyDescent="0.2">
      <c r="A167" s="347">
        <f t="shared" ca="1" si="64"/>
        <v>0.01</v>
      </c>
      <c r="B167" s="304">
        <f t="shared" ca="1" si="65"/>
        <v>1.6300000000000012</v>
      </c>
      <c r="D167" s="306">
        <f t="shared" ca="1" si="66"/>
        <v>14.392368927741195</v>
      </c>
      <c r="E167" s="307">
        <f t="shared" ca="1" si="67"/>
        <v>57.033635676029931</v>
      </c>
      <c r="F167" s="304">
        <f t="shared" ca="1" si="68"/>
        <v>58.821559668019042</v>
      </c>
      <c r="G167" s="306">
        <f t="shared" ca="1" si="69"/>
        <v>24.932990845585312</v>
      </c>
      <c r="H167" s="307">
        <f t="shared" ca="1" si="70"/>
        <v>115.70019316240707</v>
      </c>
      <c r="I167" s="304">
        <f t="shared" ca="1" si="71"/>
        <v>118.35619430483709</v>
      </c>
      <c r="J167" s="306">
        <f t="shared" ca="1" si="72"/>
        <v>20.016657427605342</v>
      </c>
      <c r="K167" s="307">
        <f t="shared" ca="1" si="73"/>
        <v>98.84174644865233</v>
      </c>
      <c r="L167" s="304">
        <f t="shared" ca="1" si="58"/>
        <v>100.84818994703764</v>
      </c>
      <c r="M167" s="306">
        <f t="shared" ca="1" si="74"/>
        <v>1.3585456174748156</v>
      </c>
      <c r="N167" s="304">
        <f t="shared" ca="1" si="75"/>
        <v>77.83893015730132</v>
      </c>
      <c r="P167" s="310">
        <f t="shared" ca="1" si="76"/>
        <v>5</v>
      </c>
      <c r="Q167" s="304">
        <f t="shared" ca="1" si="77"/>
        <v>640.74999999999977</v>
      </c>
      <c r="R167" s="306">
        <f t="shared" ca="1" si="78"/>
        <v>0.32156257135500405</v>
      </c>
      <c r="S167" s="307">
        <f t="shared" ca="1" si="79"/>
        <v>8.558243863882586</v>
      </c>
      <c r="T167" s="304">
        <f t="shared" ca="1" si="59"/>
        <v>83.956372304688173</v>
      </c>
      <c r="U167" s="311">
        <f t="shared" ca="1" si="60"/>
        <v>0</v>
      </c>
      <c r="V167" s="306">
        <f t="shared" ca="1" si="61"/>
        <v>1.2129514311394594</v>
      </c>
      <c r="W167" s="304">
        <f t="shared" ca="1" si="62"/>
        <v>56.125345592101674</v>
      </c>
      <c r="Y167" s="314" t="str">
        <f t="shared" ca="1" si="80"/>
        <v/>
      </c>
      <c r="Z167" s="315" t="str">
        <f t="shared" ca="1" si="81"/>
        <v/>
      </c>
      <c r="AA167" s="316" t="str">
        <f t="shared" ca="1" si="82"/>
        <v/>
      </c>
      <c r="AC167" s="310" t="e">
        <f t="shared" ca="1" si="83"/>
        <v>#N/A</v>
      </c>
      <c r="AD167" s="323" t="e">
        <f t="shared" ca="1" si="84"/>
        <v>#N/A</v>
      </c>
      <c r="AE167" s="324">
        <f t="shared" ca="1" si="63"/>
        <v>98.84174644865233</v>
      </c>
      <c r="AG167" s="306">
        <f t="shared" ca="1" si="85"/>
        <v>58.785304609608851</v>
      </c>
      <c r="AH167" s="304">
        <f t="shared" ca="1" si="86"/>
        <v>68.375521305084263</v>
      </c>
    </row>
    <row r="168" spans="1:34" x14ac:dyDescent="0.2">
      <c r="A168" s="347">
        <f t="shared" ca="1" si="64"/>
        <v>0.01</v>
      </c>
      <c r="B168" s="304">
        <f t="shared" ca="1" si="65"/>
        <v>1.6400000000000012</v>
      </c>
      <c r="D168" s="306">
        <f t="shared" ca="1" si="66"/>
        <v>14.359944441017696</v>
      </c>
      <c r="E168" s="307">
        <f t="shared" ca="1" si="67"/>
        <v>56.826544164189613</v>
      </c>
      <c r="F168" s="304">
        <f t="shared" ca="1" si="68"/>
        <v>58.61283243449089</v>
      </c>
      <c r="G168" s="306">
        <f t="shared" ca="1" si="69"/>
        <v>25.07659028999549</v>
      </c>
      <c r="H168" s="307">
        <f t="shared" ca="1" si="70"/>
        <v>116.26845860404897</v>
      </c>
      <c r="I168" s="304">
        <f t="shared" ca="1" si="71"/>
        <v>118.9419599919799</v>
      </c>
      <c r="J168" s="306">
        <f t="shared" ca="1" si="72"/>
        <v>20.266705333283245</v>
      </c>
      <c r="K168" s="307">
        <f t="shared" ca="1" si="73"/>
        <v>100.00158970748461</v>
      </c>
      <c r="L168" s="304">
        <f t="shared" ca="1" si="58"/>
        <v>102.03458868976846</v>
      </c>
      <c r="M168" s="306">
        <f t="shared" ca="1" si="74"/>
        <v>1.3583718704789638</v>
      </c>
      <c r="N168" s="304">
        <f t="shared" ca="1" si="75"/>
        <v>77.828975187735935</v>
      </c>
      <c r="P168" s="310">
        <f t="shared" ca="1" si="76"/>
        <v>5</v>
      </c>
      <c r="Q168" s="304">
        <f t="shared" ca="1" si="77"/>
        <v>639.28999999999985</v>
      </c>
      <c r="R168" s="306">
        <f t="shared" ca="1" si="78"/>
        <v>0.32082986537891622</v>
      </c>
      <c r="S168" s="307">
        <f t="shared" ca="1" si="79"/>
        <v>8.5550355652287973</v>
      </c>
      <c r="T168" s="304">
        <f t="shared" ca="1" si="59"/>
        <v>83.924898894894511</v>
      </c>
      <c r="U168" s="311">
        <f t="shared" ca="1" si="60"/>
        <v>0</v>
      </c>
      <c r="V168" s="306">
        <f t="shared" ca="1" si="61"/>
        <v>1.2128107524673635</v>
      </c>
      <c r="W168" s="304">
        <f t="shared" ca="1" si="62"/>
        <v>56.675694784872363</v>
      </c>
      <c r="Y168" s="314" t="str">
        <f t="shared" ca="1" si="80"/>
        <v/>
      </c>
      <c r="Z168" s="315" t="str">
        <f t="shared" ca="1" si="81"/>
        <v/>
      </c>
      <c r="AA168" s="316" t="str">
        <f t="shared" ca="1" si="82"/>
        <v/>
      </c>
      <c r="AC168" s="310" t="e">
        <f t="shared" ca="1" si="83"/>
        <v>#N/A</v>
      </c>
      <c r="AD168" s="323" t="e">
        <f t="shared" ca="1" si="84"/>
        <v>#N/A</v>
      </c>
      <c r="AE168" s="324">
        <f t="shared" ca="1" si="63"/>
        <v>100.00158970748461</v>
      </c>
      <c r="AG168" s="306">
        <f t="shared" ca="1" si="85"/>
        <v>58.576389183176566</v>
      </c>
      <c r="AH168" s="304">
        <f t="shared" ca="1" si="86"/>
        <v>68.166245477472998</v>
      </c>
    </row>
    <row r="169" spans="1:34" x14ac:dyDescent="0.2">
      <c r="A169" s="347">
        <f t="shared" ca="1" si="64"/>
        <v>0.01</v>
      </c>
      <c r="B169" s="304">
        <f t="shared" ca="1" si="65"/>
        <v>1.6500000000000012</v>
      </c>
      <c r="D169" s="306">
        <f t="shared" ca="1" si="66"/>
        <v>14.32733978547668</v>
      </c>
      <c r="E169" s="307">
        <f t="shared" ca="1" si="67"/>
        <v>56.619195256997571</v>
      </c>
      <c r="F169" s="304">
        <f t="shared" ca="1" si="68"/>
        <v>58.403817827934155</v>
      </c>
      <c r="G169" s="306">
        <f t="shared" ca="1" si="69"/>
        <v>25.219863687850257</v>
      </c>
      <c r="H169" s="307">
        <f t="shared" ca="1" si="70"/>
        <v>116.83465055661895</v>
      </c>
      <c r="I169" s="304">
        <f t="shared" ca="1" si="71"/>
        <v>119.52563363195783</v>
      </c>
      <c r="J169" s="306">
        <f t="shared" ca="1" si="72"/>
        <v>20.518187603172475</v>
      </c>
      <c r="K169" s="307">
        <f t="shared" ca="1" si="73"/>
        <v>101.16710525328796</v>
      </c>
      <c r="L169" s="304">
        <f t="shared" ca="1" si="58"/>
        <v>103.22683375871229</v>
      </c>
      <c r="M169" s="306">
        <f t="shared" ca="1" si="74"/>
        <v>1.3581988325340868</v>
      </c>
      <c r="N169" s="304">
        <f t="shared" ca="1" si="75"/>
        <v>77.819060843798866</v>
      </c>
      <c r="P169" s="310">
        <f t="shared" ca="1" si="76"/>
        <v>5</v>
      </c>
      <c r="Q169" s="304">
        <f t="shared" ca="1" si="77"/>
        <v>637.82999999999981</v>
      </c>
      <c r="R169" s="306">
        <f t="shared" ca="1" si="78"/>
        <v>0.32009715940282835</v>
      </c>
      <c r="S169" s="307">
        <f t="shared" ca="1" si="79"/>
        <v>8.5518345936347693</v>
      </c>
      <c r="T169" s="304">
        <f t="shared" ca="1" si="59"/>
        <v>83.893497363557088</v>
      </c>
      <c r="U169" s="311">
        <f t="shared" ca="1" si="60"/>
        <v>0</v>
      </c>
      <c r="V169" s="306">
        <f t="shared" ca="1" si="61"/>
        <v>1.2126694021509936</v>
      </c>
      <c r="W169" s="304">
        <f t="shared" ca="1" si="62"/>
        <v>57.226628683109119</v>
      </c>
      <c r="Y169" s="314" t="str">
        <f t="shared" ca="1" si="80"/>
        <v/>
      </c>
      <c r="Z169" s="315" t="str">
        <f t="shared" ca="1" si="81"/>
        <v/>
      </c>
      <c r="AA169" s="316" t="str">
        <f t="shared" ca="1" si="82"/>
        <v/>
      </c>
      <c r="AC169" s="310" t="e">
        <f t="shared" ca="1" si="83"/>
        <v>#N/A</v>
      </c>
      <c r="AD169" s="323" t="e">
        <f t="shared" ca="1" si="84"/>
        <v>#N/A</v>
      </c>
      <c r="AE169" s="324">
        <f t="shared" ca="1" si="63"/>
        <v>101.16710525328796</v>
      </c>
      <c r="AG169" s="306">
        <f t="shared" ca="1" si="85"/>
        <v>58.367185055188678</v>
      </c>
      <c r="AH169" s="304">
        <f t="shared" ca="1" si="86"/>
        <v>67.956682142529672</v>
      </c>
    </row>
    <row r="170" spans="1:34" x14ac:dyDescent="0.2">
      <c r="A170" s="347">
        <f t="shared" ca="1" si="64"/>
        <v>0.01</v>
      </c>
      <c r="B170" s="304">
        <f t="shared" ca="1" si="65"/>
        <v>1.6600000000000013</v>
      </c>
      <c r="D170" s="306">
        <f t="shared" ca="1" si="66"/>
        <v>14.294556759794718</v>
      </c>
      <c r="E170" s="307">
        <f t="shared" ca="1" si="67"/>
        <v>56.411592811262736</v>
      </c>
      <c r="F170" s="304">
        <f t="shared" ca="1" si="68"/>
        <v>58.194519986530544</v>
      </c>
      <c r="G170" s="306">
        <f t="shared" ca="1" si="69"/>
        <v>25.362809255448205</v>
      </c>
      <c r="H170" s="307">
        <f t="shared" ca="1" si="70"/>
        <v>117.39876648473158</v>
      </c>
      <c r="I170" s="304">
        <f t="shared" ca="1" si="71"/>
        <v>120.10721237904401</v>
      </c>
      <c r="J170" s="306">
        <f t="shared" ca="1" si="72"/>
        <v>20.771100967888966</v>
      </c>
      <c r="K170" s="307">
        <f t="shared" ca="1" si="73"/>
        <v>102.3382723384947</v>
      </c>
      <c r="L170" s="304">
        <f t="shared" ca="1" si="58"/>
        <v>104.42490421660031</v>
      </c>
      <c r="M170" s="306">
        <f t="shared" ca="1" si="74"/>
        <v>1.3580264943143248</v>
      </c>
      <c r="N170" s="304">
        <f t="shared" ca="1" si="75"/>
        <v>77.809186591157697</v>
      </c>
      <c r="P170" s="310">
        <f t="shared" ca="1" si="76"/>
        <v>5</v>
      </c>
      <c r="Q170" s="304">
        <f t="shared" ca="1" si="77"/>
        <v>636.36999999999978</v>
      </c>
      <c r="R170" s="306">
        <f t="shared" ca="1" si="78"/>
        <v>0.31936445342674041</v>
      </c>
      <c r="S170" s="307">
        <f t="shared" ca="1" si="79"/>
        <v>8.548640949100502</v>
      </c>
      <c r="T170" s="304">
        <f t="shared" ca="1" si="59"/>
        <v>83.862167710675934</v>
      </c>
      <c r="U170" s="311">
        <f t="shared" ca="1" si="60"/>
        <v>0</v>
      </c>
      <c r="V170" s="306">
        <f t="shared" ca="1" si="61"/>
        <v>1.2125273829425944</v>
      </c>
      <c r="W170" s="304">
        <f t="shared" ca="1" si="62"/>
        <v>57.778114149040668</v>
      </c>
      <c r="Y170" s="314" t="str">
        <f t="shared" ca="1" si="80"/>
        <v/>
      </c>
      <c r="Z170" s="315" t="str">
        <f t="shared" ca="1" si="81"/>
        <v/>
      </c>
      <c r="AA170" s="316" t="str">
        <f t="shared" ca="1" si="82"/>
        <v/>
      </c>
      <c r="AC170" s="310" t="e">
        <f t="shared" ca="1" si="83"/>
        <v>#N/A</v>
      </c>
      <c r="AD170" s="323" t="e">
        <f t="shared" ca="1" si="84"/>
        <v>#N/A</v>
      </c>
      <c r="AE170" s="324">
        <f t="shared" ca="1" si="63"/>
        <v>102.3382723384947</v>
      </c>
      <c r="AG170" s="306">
        <f t="shared" ca="1" si="85"/>
        <v>58.157696346633934</v>
      </c>
      <c r="AH170" s="304">
        <f t="shared" ca="1" si="86"/>
        <v>67.746835405203072</v>
      </c>
    </row>
    <row r="171" spans="1:34" x14ac:dyDescent="0.2">
      <c r="A171" s="347">
        <f t="shared" ca="1" si="64"/>
        <v>0.01</v>
      </c>
      <c r="B171" s="304">
        <f t="shared" ca="1" si="65"/>
        <v>1.6700000000000013</v>
      </c>
      <c r="D171" s="306">
        <f t="shared" ca="1" si="66"/>
        <v>14.261597146792408</v>
      </c>
      <c r="E171" s="307">
        <f t="shared" ca="1" si="67"/>
        <v>56.203740681188123</v>
      </c>
      <c r="F171" s="304">
        <f t="shared" ca="1" si="68"/>
        <v>57.984943043307702</v>
      </c>
      <c r="G171" s="306">
        <f t="shared" ca="1" si="69"/>
        <v>25.505425226916131</v>
      </c>
      <c r="H171" s="307">
        <f t="shared" ca="1" si="70"/>
        <v>117.96080389154346</v>
      </c>
      <c r="I171" s="304">
        <f t="shared" ca="1" si="71"/>
        <v>120.68669342866671</v>
      </c>
      <c r="J171" s="306">
        <f t="shared" ca="1" si="72"/>
        <v>21.025442140300786</v>
      </c>
      <c r="K171" s="307">
        <f t="shared" ca="1" si="73"/>
        <v>103.51507019037608</v>
      </c>
      <c r="L171" s="304">
        <f t="shared" ca="1" si="58"/>
        <v>105.62877909790315</v>
      </c>
      <c r="M171" s="306">
        <f t="shared" ca="1" si="74"/>
        <v>1.3578548466536191</v>
      </c>
      <c r="N171" s="304">
        <f t="shared" ca="1" si="75"/>
        <v>77.799351904635969</v>
      </c>
      <c r="P171" s="310">
        <f t="shared" ca="1" si="76"/>
        <v>5</v>
      </c>
      <c r="Q171" s="304">
        <f t="shared" ca="1" si="77"/>
        <v>634.90999999999985</v>
      </c>
      <c r="R171" s="306">
        <f t="shared" ca="1" si="78"/>
        <v>0.31863174745065259</v>
      </c>
      <c r="S171" s="307">
        <f t="shared" ca="1" si="79"/>
        <v>8.5454546316259954</v>
      </c>
      <c r="T171" s="304">
        <f t="shared" ca="1" si="59"/>
        <v>83.830909936251018</v>
      </c>
      <c r="U171" s="311">
        <f t="shared" ca="1" si="60"/>
        <v>0</v>
      </c>
      <c r="V171" s="306">
        <f t="shared" ca="1" si="61"/>
        <v>1.2123846975973631</v>
      </c>
      <c r="W171" s="304">
        <f t="shared" ca="1" si="62"/>
        <v>58.33011815485024</v>
      </c>
      <c r="Y171" s="314" t="str">
        <f t="shared" ca="1" si="80"/>
        <v/>
      </c>
      <c r="Z171" s="315" t="str">
        <f t="shared" ca="1" si="81"/>
        <v/>
      </c>
      <c r="AA171" s="316" t="str">
        <f t="shared" ca="1" si="82"/>
        <v/>
      </c>
      <c r="AC171" s="310" t="e">
        <f t="shared" ca="1" si="83"/>
        <v>#N/A</v>
      </c>
      <c r="AD171" s="323" t="e">
        <f t="shared" ca="1" si="84"/>
        <v>#N/A</v>
      </c>
      <c r="AE171" s="324">
        <f t="shared" ca="1" si="63"/>
        <v>103.51507019037608</v>
      </c>
      <c r="AG171" s="306">
        <f t="shared" ca="1" si="85"/>
        <v>57.947927173153758</v>
      </c>
      <c r="AH171" s="304">
        <f t="shared" ca="1" si="86"/>
        <v>67.53670936535589</v>
      </c>
    </row>
    <row r="172" spans="1:34" x14ac:dyDescent="0.2">
      <c r="A172" s="347">
        <f t="shared" ca="1" si="64"/>
        <v>0.01</v>
      </c>
      <c r="B172" s="304">
        <f t="shared" ca="1" si="65"/>
        <v>1.6800000000000013</v>
      </c>
      <c r="D172" s="306">
        <f t="shared" ca="1" si="66"/>
        <v>14.228462713755675</v>
      </c>
      <c r="E172" s="307">
        <f t="shared" ca="1" si="67"/>
        <v>55.995642718092697</v>
      </c>
      <c r="F172" s="304">
        <f t="shared" ca="1" si="68"/>
        <v>57.775091125925734</v>
      </c>
      <c r="G172" s="306">
        <f t="shared" ca="1" si="69"/>
        <v>25.647709854053687</v>
      </c>
      <c r="H172" s="307">
        <f t="shared" ca="1" si="70"/>
        <v>118.52076031872438</v>
      </c>
      <c r="I172" s="304">
        <f t="shared" ca="1" si="71"/>
        <v>121.26407401735369</v>
      </c>
      <c r="J172" s="306">
        <f t="shared" ca="1" si="72"/>
        <v>21.281207815705635</v>
      </c>
      <c r="K172" s="307">
        <f t="shared" ca="1" si="73"/>
        <v>104.69747801142742</v>
      </c>
      <c r="L172" s="304">
        <f t="shared" ca="1" si="58"/>
        <v>106.83843740924227</v>
      </c>
      <c r="M172" s="306">
        <f t="shared" ca="1" si="74"/>
        <v>1.3576838805419518</v>
      </c>
      <c r="N172" s="304">
        <f t="shared" ca="1" si="75"/>
        <v>77.789556267997668</v>
      </c>
      <c r="P172" s="310">
        <f t="shared" ca="1" si="76"/>
        <v>5</v>
      </c>
      <c r="Q172" s="304">
        <f t="shared" ca="1" si="77"/>
        <v>633.44999999999982</v>
      </c>
      <c r="R172" s="306">
        <f t="shared" ca="1" si="78"/>
        <v>0.31789904147456471</v>
      </c>
      <c r="S172" s="307">
        <f t="shared" ca="1" si="79"/>
        <v>8.5422756412112495</v>
      </c>
      <c r="T172" s="304">
        <f t="shared" ca="1" si="59"/>
        <v>83.799724040282356</v>
      </c>
      <c r="U172" s="311">
        <f t="shared" ca="1" si="60"/>
        <v>0</v>
      </c>
      <c r="V172" s="306">
        <f t="shared" ca="1" si="61"/>
        <v>1.2122413488733894</v>
      </c>
      <c r="W172" s="304">
        <f t="shared" ca="1" si="62"/>
        <v>58.882607784192651</v>
      </c>
      <c r="Y172" s="314" t="str">
        <f t="shared" ca="1" si="80"/>
        <v/>
      </c>
      <c r="Z172" s="315" t="str">
        <f t="shared" ca="1" si="81"/>
        <v/>
      </c>
      <c r="AA172" s="316" t="str">
        <f t="shared" ca="1" si="82"/>
        <v/>
      </c>
      <c r="AC172" s="310" t="e">
        <f t="shared" ca="1" si="83"/>
        <v>#N/A</v>
      </c>
      <c r="AD172" s="323" t="e">
        <f t="shared" ca="1" si="84"/>
        <v>#N/A</v>
      </c>
      <c r="AE172" s="324">
        <f t="shared" ca="1" si="63"/>
        <v>104.69747801142742</v>
      </c>
      <c r="AG172" s="306">
        <f t="shared" ca="1" si="85"/>
        <v>57.737881644824078</v>
      </c>
      <c r="AH172" s="304">
        <f t="shared" ca="1" si="86"/>
        <v>67.32630811754052</v>
      </c>
    </row>
    <row r="173" spans="1:34" x14ac:dyDescent="0.2">
      <c r="A173" s="347">
        <f t="shared" ca="1" si="64"/>
        <v>0.01</v>
      </c>
      <c r="B173" s="304">
        <f t="shared" ca="1" si="65"/>
        <v>1.6900000000000013</v>
      </c>
      <c r="D173" s="306">
        <f t="shared" ca="1" si="66"/>
        <v>14.195155212746103</v>
      </c>
      <c r="E173" s="307">
        <f t="shared" ca="1" si="67"/>
        <v>55.787302770136421</v>
      </c>
      <c r="F173" s="304">
        <f t="shared" ca="1" si="68"/>
        <v>57.564968356465066</v>
      </c>
      <c r="G173" s="306">
        <f t="shared" ca="1" si="69"/>
        <v>25.78966140618115</v>
      </c>
      <c r="H173" s="307">
        <f t="shared" ca="1" si="70"/>
        <v>119.07863334642575</v>
      </c>
      <c r="I173" s="304">
        <f t="shared" ca="1" si="71"/>
        <v>121.83935142267447</v>
      </c>
      <c r="J173" s="306">
        <f t="shared" ca="1" si="72"/>
        <v>21.53839467200681</v>
      </c>
      <c r="K173" s="307">
        <f t="shared" ca="1" si="73"/>
        <v>105.88547497975317</v>
      </c>
      <c r="L173" s="304">
        <f t="shared" ca="1" si="58"/>
        <v>108.05385812980056</v>
      </c>
      <c r="M173" s="306">
        <f t="shared" ca="1" si="74"/>
        <v>1.3575135871216937</v>
      </c>
      <c r="N173" s="304">
        <f t="shared" ca="1" si="75"/>
        <v>77.779799173738027</v>
      </c>
      <c r="P173" s="310">
        <f t="shared" ca="1" si="76"/>
        <v>5</v>
      </c>
      <c r="Q173" s="304">
        <f t="shared" ca="1" si="77"/>
        <v>631.98999999999978</v>
      </c>
      <c r="R173" s="306">
        <f t="shared" ca="1" si="78"/>
        <v>0.31716633549847684</v>
      </c>
      <c r="S173" s="307">
        <f t="shared" ca="1" si="79"/>
        <v>8.5391039778562643</v>
      </c>
      <c r="T173" s="304">
        <f t="shared" ca="1" si="59"/>
        <v>83.768610022769963</v>
      </c>
      <c r="U173" s="311">
        <f t="shared" ca="1" si="60"/>
        <v>0</v>
      </c>
      <c r="V173" s="306">
        <f t="shared" ca="1" si="61"/>
        <v>1.2120973395315902</v>
      </c>
      <c r="W173" s="304">
        <f t="shared" ca="1" si="62"/>
        <v>59.435550233694492</v>
      </c>
      <c r="Y173" s="314" t="str">
        <f t="shared" ca="1" si="80"/>
        <v/>
      </c>
      <c r="Z173" s="315" t="str">
        <f t="shared" ca="1" si="81"/>
        <v/>
      </c>
      <c r="AA173" s="316" t="str">
        <f t="shared" ca="1" si="82"/>
        <v/>
      </c>
      <c r="AC173" s="310" t="e">
        <f t="shared" ca="1" si="83"/>
        <v>#N/A</v>
      </c>
      <c r="AD173" s="323" t="e">
        <f t="shared" ca="1" si="84"/>
        <v>#N/A</v>
      </c>
      <c r="AE173" s="324">
        <f t="shared" ca="1" si="63"/>
        <v>105.88547497975317</v>
      </c>
      <c r="AG173" s="306">
        <f t="shared" ca="1" si="85"/>
        <v>57.527563865938575</v>
      </c>
      <c r="AH173" s="304">
        <f t="shared" ca="1" si="86"/>
        <v>67.115635750776434</v>
      </c>
    </row>
    <row r="174" spans="1:34" x14ac:dyDescent="0.2">
      <c r="A174" s="347">
        <f t="shared" ca="1" si="64"/>
        <v>0.01</v>
      </c>
      <c r="B174" s="304">
        <f t="shared" ca="1" si="65"/>
        <v>1.7000000000000013</v>
      </c>
      <c r="D174" s="306">
        <f t="shared" ca="1" si="66"/>
        <v>14.161676380900861</v>
      </c>
      <c r="E174" s="307">
        <f t="shared" ca="1" si="67"/>
        <v>55.578724682048488</v>
      </c>
      <c r="F174" s="304">
        <f t="shared" ca="1" si="68"/>
        <v>57.354578851215628</v>
      </c>
      <c r="G174" s="306">
        <f t="shared" ca="1" si="69"/>
        <v>25.931278169990158</v>
      </c>
      <c r="H174" s="307">
        <f t="shared" ca="1" si="70"/>
        <v>119.63442059324623</v>
      </c>
      <c r="I174" s="304">
        <f t="shared" ca="1" si="71"/>
        <v>122.41252296318031</v>
      </c>
      <c r="J174" s="306">
        <f t="shared" ca="1" si="72"/>
        <v>21.796999369887665</v>
      </c>
      <c r="K174" s="307">
        <f t="shared" ca="1" si="73"/>
        <v>107.07904024945152</v>
      </c>
      <c r="L174" s="304">
        <f t="shared" ca="1" si="58"/>
        <v>109.27502021173248</v>
      </c>
      <c r="M174" s="306">
        <f t="shared" ca="1" si="74"/>
        <v>1.3573439576840589</v>
      </c>
      <c r="N174" s="304">
        <f t="shared" ca="1" si="75"/>
        <v>77.770080122880387</v>
      </c>
      <c r="P174" s="310">
        <f t="shared" ca="1" si="76"/>
        <v>5</v>
      </c>
      <c r="Q174" s="304">
        <f t="shared" ca="1" si="77"/>
        <v>630.52999999999975</v>
      </c>
      <c r="R174" s="306">
        <f t="shared" ca="1" si="78"/>
        <v>0.3164336295223889</v>
      </c>
      <c r="S174" s="307">
        <f t="shared" ca="1" si="79"/>
        <v>8.5359396415610398</v>
      </c>
      <c r="T174" s="304">
        <f t="shared" ca="1" si="59"/>
        <v>83.737567883713808</v>
      </c>
      <c r="U174" s="311">
        <f t="shared" ca="1" si="60"/>
        <v>0</v>
      </c>
      <c r="V174" s="306">
        <f t="shared" ca="1" si="61"/>
        <v>1.2119526723356482</v>
      </c>
      <c r="W174" s="304">
        <f t="shared" ca="1" si="62"/>
        <v>59.98891281443759</v>
      </c>
      <c r="Y174" s="314" t="str">
        <f t="shared" ca="1" si="80"/>
        <v/>
      </c>
      <c r="Z174" s="315" t="str">
        <f t="shared" ca="1" si="81"/>
        <v/>
      </c>
      <c r="AA174" s="316" t="str">
        <f t="shared" ca="1" si="82"/>
        <v/>
      </c>
      <c r="AC174" s="310" t="e">
        <f t="shared" ca="1" si="83"/>
        <v>#N/A</v>
      </c>
      <c r="AD174" s="323" t="e">
        <f t="shared" ca="1" si="84"/>
        <v>#N/A</v>
      </c>
      <c r="AE174" s="324">
        <f t="shared" ca="1" si="63"/>
        <v>107.07904024945152</v>
      </c>
      <c r="AG174" s="306">
        <f t="shared" ca="1" si="85"/>
        <v>57.316977934793144</v>
      </c>
      <c r="AH174" s="304">
        <f t="shared" ca="1" si="86"/>
        <v>66.904696348328955</v>
      </c>
    </row>
    <row r="175" spans="1:34" x14ac:dyDescent="0.2">
      <c r="A175" s="347">
        <f t="shared" ca="1" si="64"/>
        <v>0.01</v>
      </c>
      <c r="B175" s="304">
        <f t="shared" ca="1" si="65"/>
        <v>1.7100000000000013</v>
      </c>
      <c r="D175" s="306">
        <f t="shared" ca="1" si="66"/>
        <v>14.128027940722617</v>
      </c>
      <c r="E175" s="307">
        <f t="shared" ca="1" si="67"/>
        <v>55.369912294858793</v>
      </c>
      <c r="F175" s="304">
        <f t="shared" ca="1" si="68"/>
        <v>57.143926720467796</v>
      </c>
      <c r="G175" s="306">
        <f t="shared" ca="1" si="69"/>
        <v>26.072558449397384</v>
      </c>
      <c r="H175" s="307">
        <f t="shared" ca="1" si="70"/>
        <v>120.18811971619482</v>
      </c>
      <c r="I175" s="304">
        <f t="shared" ca="1" si="71"/>
        <v>122.98358599834216</v>
      </c>
      <c r="J175" s="306">
        <f t="shared" ca="1" si="72"/>
        <v>22.057018552984601</v>
      </c>
      <c r="K175" s="307">
        <f t="shared" ca="1" si="73"/>
        <v>108.27815295099873</v>
      </c>
      <c r="L175" s="304">
        <f t="shared" ca="1" si="58"/>
        <v>110.50190258057361</v>
      </c>
      <c r="M175" s="306">
        <f t="shared" ca="1" si="74"/>
        <v>1.3571749836656617</v>
      </c>
      <c r="N175" s="304">
        <f t="shared" ca="1" si="75"/>
        <v>77.760398624778858</v>
      </c>
      <c r="P175" s="310">
        <f t="shared" ca="1" si="76"/>
        <v>5</v>
      </c>
      <c r="Q175" s="304">
        <f t="shared" ca="1" si="77"/>
        <v>629.06999999999982</v>
      </c>
      <c r="R175" s="306">
        <f t="shared" ca="1" si="78"/>
        <v>0.31570092354630108</v>
      </c>
      <c r="S175" s="307">
        <f t="shared" ca="1" si="79"/>
        <v>8.532782632325576</v>
      </c>
      <c r="T175" s="304">
        <f t="shared" ca="1" si="59"/>
        <v>83.706597623113908</v>
      </c>
      <c r="U175" s="311">
        <f t="shared" ca="1" si="60"/>
        <v>0</v>
      </c>
      <c r="V175" s="306">
        <f t="shared" ca="1" si="61"/>
        <v>1.211807350051948</v>
      </c>
      <c r="W175" s="304">
        <f t="shared" ca="1" si="62"/>
        <v>60.542662953425491</v>
      </c>
      <c r="Y175" s="314" t="str">
        <f t="shared" ca="1" si="80"/>
        <v/>
      </c>
      <c r="Z175" s="315" t="str">
        <f t="shared" ca="1" si="81"/>
        <v/>
      </c>
      <c r="AA175" s="316" t="str">
        <f t="shared" ca="1" si="82"/>
        <v/>
      </c>
      <c r="AC175" s="310" t="e">
        <f t="shared" ca="1" si="83"/>
        <v>#N/A</v>
      </c>
      <c r="AD175" s="323" t="e">
        <f t="shared" ca="1" si="84"/>
        <v>#N/A</v>
      </c>
      <c r="AE175" s="324">
        <f t="shared" ca="1" si="63"/>
        <v>108.27815295099873</v>
      </c>
      <c r="AG175" s="306">
        <f t="shared" ca="1" si="85"/>
        <v>57.106127943471876</v>
      </c>
      <c r="AH175" s="304">
        <f t="shared" ca="1" si="86"/>
        <v>66.693493987489688</v>
      </c>
    </row>
    <row r="176" spans="1:34" x14ac:dyDescent="0.2">
      <c r="A176" s="347">
        <f t="shared" ca="1" si="64"/>
        <v>0.01</v>
      </c>
      <c r="B176" s="304">
        <f t="shared" ca="1" si="65"/>
        <v>1.7200000000000013</v>
      </c>
      <c r="D176" s="306">
        <f t="shared" ca="1" si="66"/>
        <v>14.094211600359731</v>
      </c>
      <c r="E176" s="307">
        <f t="shared" ca="1" si="67"/>
        <v>55.1608694456324</v>
      </c>
      <c r="F176" s="304">
        <f t="shared" ca="1" si="68"/>
        <v>56.933016068304489</v>
      </c>
      <c r="G176" s="306">
        <f t="shared" ca="1" si="69"/>
        <v>26.213500565400981</v>
      </c>
      <c r="H176" s="307">
        <f t="shared" ca="1" si="70"/>
        <v>120.73972841065114</v>
      </c>
      <c r="I176" s="304">
        <f t="shared" ca="1" si="71"/>
        <v>123.55253792848642</v>
      </c>
      <c r="J176" s="306">
        <f t="shared" ca="1" si="72"/>
        <v>22.318448848058594</v>
      </c>
      <c r="K176" s="307">
        <f t="shared" ca="1" si="73"/>
        <v>109.48279219163297</v>
      </c>
      <c r="L176" s="304">
        <f t="shared" ca="1" si="58"/>
        <v>111.73448413564944</v>
      </c>
      <c r="M176" s="306">
        <f t="shared" ca="1" si="74"/>
        <v>1.3570066566451735</v>
      </c>
      <c r="N176" s="304">
        <f t="shared" ca="1" si="75"/>
        <v>77.750754196926863</v>
      </c>
      <c r="P176" s="310">
        <f t="shared" ca="1" si="76"/>
        <v>5</v>
      </c>
      <c r="Q176" s="304">
        <f t="shared" ca="1" si="77"/>
        <v>627.60999999999979</v>
      </c>
      <c r="R176" s="306">
        <f t="shared" ca="1" si="78"/>
        <v>0.3149682175702132</v>
      </c>
      <c r="S176" s="307">
        <f t="shared" ca="1" si="79"/>
        <v>8.5296329501498747</v>
      </c>
      <c r="T176" s="304">
        <f t="shared" ca="1" si="59"/>
        <v>83.675699240970275</v>
      </c>
      <c r="U176" s="311">
        <f t="shared" ca="1" si="60"/>
        <v>0</v>
      </c>
      <c r="V176" s="306">
        <f t="shared" ca="1" si="61"/>
        <v>1.2116613754495142</v>
      </c>
      <c r="W176" s="304">
        <f t="shared" ca="1" si="62"/>
        <v>61.096768195033114</v>
      </c>
      <c r="Y176" s="314" t="str">
        <f t="shared" ca="1" si="80"/>
        <v/>
      </c>
      <c r="Z176" s="315" t="str">
        <f t="shared" ca="1" si="81"/>
        <v/>
      </c>
      <c r="AA176" s="316" t="str">
        <f t="shared" ca="1" si="82"/>
        <v/>
      </c>
      <c r="AC176" s="310" t="e">
        <f t="shared" ca="1" si="83"/>
        <v>#N/A</v>
      </c>
      <c r="AD176" s="323" t="e">
        <f t="shared" ca="1" si="84"/>
        <v>#N/A</v>
      </c>
      <c r="AE176" s="324">
        <f t="shared" ca="1" si="63"/>
        <v>109.48279219163297</v>
      </c>
      <c r="AG176" s="306">
        <f t="shared" ca="1" si="85"/>
        <v>56.895017977634318</v>
      </c>
      <c r="AH176" s="304">
        <f t="shared" ca="1" si="86"/>
        <v>66.482032739358417</v>
      </c>
    </row>
    <row r="177" spans="1:34" x14ac:dyDescent="0.2">
      <c r="A177" s="347">
        <f t="shared" ca="1" si="64"/>
        <v>0.01</v>
      </c>
      <c r="B177" s="304">
        <f t="shared" ca="1" si="65"/>
        <v>1.7300000000000013</v>
      </c>
      <c r="D177" s="306">
        <f t="shared" ca="1" si="66"/>
        <v>14.060229053877034</v>
      </c>
      <c r="E177" s="307">
        <f t="shared" ca="1" si="67"/>
        <v>54.951599967207287</v>
      </c>
      <c r="F177" s="304">
        <f t="shared" ca="1" si="68"/>
        <v>56.721850992395019</v>
      </c>
      <c r="G177" s="306">
        <f t="shared" ca="1" si="69"/>
        <v>26.35410285593975</v>
      </c>
      <c r="H177" s="307">
        <f t="shared" ca="1" si="70"/>
        <v>121.28924441032321</v>
      </c>
      <c r="I177" s="304">
        <f t="shared" ca="1" si="71"/>
        <v>124.11937619472864</v>
      </c>
      <c r="J177" s="306">
        <f t="shared" ca="1" si="72"/>
        <v>22.581286865165296</v>
      </c>
      <c r="K177" s="307">
        <f t="shared" ca="1" si="73"/>
        <v>110.69293705573784</v>
      </c>
      <c r="L177" s="304">
        <f t="shared" ca="1" si="58"/>
        <v>112.97274375048357</v>
      </c>
      <c r="M177" s="306">
        <f t="shared" ca="1" si="74"/>
        <v>1.3568389683400732</v>
      </c>
      <c r="N177" s="304">
        <f t="shared" ca="1" si="75"/>
        <v>77.741146364770927</v>
      </c>
      <c r="P177" s="310">
        <f t="shared" ca="1" si="76"/>
        <v>5</v>
      </c>
      <c r="Q177" s="304">
        <f t="shared" ca="1" si="77"/>
        <v>626.14999999999975</v>
      </c>
      <c r="R177" s="306">
        <f t="shared" ca="1" si="78"/>
        <v>0.31423551159412527</v>
      </c>
      <c r="S177" s="307">
        <f t="shared" ca="1" si="79"/>
        <v>8.526490595033934</v>
      </c>
      <c r="T177" s="304">
        <f t="shared" ca="1" si="59"/>
        <v>83.644872737282896</v>
      </c>
      <c r="U177" s="311">
        <f t="shared" ca="1" si="60"/>
        <v>0</v>
      </c>
      <c r="V177" s="306">
        <f t="shared" ca="1" si="61"/>
        <v>1.2115147512999489</v>
      </c>
      <c r="W177" s="304">
        <f t="shared" ca="1" si="62"/>
        <v>61.651196202439458</v>
      </c>
      <c r="Y177" s="314" t="str">
        <f t="shared" ca="1" si="80"/>
        <v/>
      </c>
      <c r="Z177" s="315" t="str">
        <f t="shared" ca="1" si="81"/>
        <v/>
      </c>
      <c r="AA177" s="316" t="str">
        <f t="shared" ca="1" si="82"/>
        <v/>
      </c>
      <c r="AC177" s="310" t="e">
        <f t="shared" ca="1" si="83"/>
        <v>#N/A</v>
      </c>
      <c r="AD177" s="323" t="e">
        <f t="shared" ca="1" si="84"/>
        <v>#N/A</v>
      </c>
      <c r="AE177" s="324">
        <f t="shared" ca="1" si="63"/>
        <v>110.69293705573784</v>
      </c>
      <c r="AG177" s="306">
        <f t="shared" ca="1" si="85"/>
        <v>56.68365211630438</v>
      </c>
      <c r="AH177" s="304">
        <f t="shared" ca="1" si="86"/>
        <v>66.270316668626762</v>
      </c>
    </row>
    <row r="178" spans="1:34" x14ac:dyDescent="0.2">
      <c r="A178" s="347">
        <f t="shared" ca="1" si="64"/>
        <v>0.01</v>
      </c>
      <c r="B178" s="304">
        <f t="shared" ca="1" si="65"/>
        <v>1.7400000000000013</v>
      </c>
      <c r="D178" s="306">
        <f t="shared" ca="1" si="66"/>
        <v>14.026081981517736</v>
      </c>
      <c r="E178" s="307">
        <f t="shared" ca="1" si="67"/>
        <v>54.74210768793489</v>
      </c>
      <c r="F178" s="304">
        <f t="shared" ca="1" si="68"/>
        <v>56.51043558379034</v>
      </c>
      <c r="G178" s="306">
        <f t="shared" ca="1" si="69"/>
        <v>26.494363675754929</v>
      </c>
      <c r="H178" s="307">
        <f t="shared" ca="1" si="70"/>
        <v>121.83666548720255</v>
      </c>
      <c r="I178" s="304">
        <f t="shared" ca="1" si="71"/>
        <v>124.68409827890505</v>
      </c>
      <c r="J178" s="306">
        <f t="shared" ca="1" si="72"/>
        <v>22.845529197823769</v>
      </c>
      <c r="K178" s="307">
        <f t="shared" ca="1" si="73"/>
        <v>111.90856660522547</v>
      </c>
      <c r="L178" s="304">
        <f t="shared" ca="1" si="58"/>
        <v>114.21666027320535</v>
      </c>
      <c r="M178" s="306">
        <f t="shared" ca="1" si="74"/>
        <v>1.3566719106034921</v>
      </c>
      <c r="N178" s="304">
        <f t="shared" ca="1" si="75"/>
        <v>77.73157466152982</v>
      </c>
      <c r="P178" s="310">
        <f t="shared" ca="1" si="76"/>
        <v>5</v>
      </c>
      <c r="Q178" s="304">
        <f t="shared" ca="1" si="77"/>
        <v>624.68999999999983</v>
      </c>
      <c r="R178" s="306">
        <f t="shared" ca="1" si="78"/>
        <v>0.31350280561803745</v>
      </c>
      <c r="S178" s="307">
        <f t="shared" ca="1" si="79"/>
        <v>8.5233555669777541</v>
      </c>
      <c r="T178" s="304">
        <f t="shared" ca="1" si="59"/>
        <v>83.61411811205177</v>
      </c>
      <c r="U178" s="311">
        <f t="shared" ca="1" si="60"/>
        <v>0</v>
      </c>
      <c r="V178" s="306">
        <f t="shared" ca="1" si="61"/>
        <v>1.2113674803773691</v>
      </c>
      <c r="W178" s="304">
        <f t="shared" ca="1" si="62"/>
        <v>62.205914759042983</v>
      </c>
      <c r="Y178" s="314" t="str">
        <f t="shared" ca="1" si="80"/>
        <v/>
      </c>
      <c r="Z178" s="315" t="str">
        <f t="shared" ca="1" si="81"/>
        <v/>
      </c>
      <c r="AA178" s="316" t="str">
        <f t="shared" ca="1" si="82"/>
        <v/>
      </c>
      <c r="AC178" s="310" t="e">
        <f t="shared" ca="1" si="83"/>
        <v>#N/A</v>
      </c>
      <c r="AD178" s="323" t="e">
        <f t="shared" ca="1" si="84"/>
        <v>#N/A</v>
      </c>
      <c r="AE178" s="324">
        <f t="shared" ca="1" si="63"/>
        <v>111.90856660522547</v>
      </c>
      <c r="AG178" s="306">
        <f t="shared" ca="1" si="85"/>
        <v>56.472034431660425</v>
      </c>
      <c r="AH178" s="304">
        <f t="shared" ca="1" si="86"/>
        <v>66.058349833363224</v>
      </c>
    </row>
    <row r="179" spans="1:34" x14ac:dyDescent="0.2">
      <c r="A179" s="347">
        <f t="shared" ca="1" si="64"/>
        <v>0.01</v>
      </c>
      <c r="B179" s="304">
        <f t="shared" ca="1" si="65"/>
        <v>1.7500000000000013</v>
      </c>
      <c r="D179" s="306">
        <f t="shared" ca="1" si="66"/>
        <v>13.991772049956481</v>
      </c>
      <c r="E179" s="307">
        <f t="shared" ca="1" si="67"/>
        <v>54.532396431423805</v>
      </c>
      <c r="F179" s="304">
        <f t="shared" ca="1" si="68"/>
        <v>56.298773926719818</v>
      </c>
      <c r="G179" s="306">
        <f t="shared" ca="1" si="69"/>
        <v>26.634281396254494</v>
      </c>
      <c r="H179" s="307">
        <f t="shared" ca="1" si="70"/>
        <v>122.38198945151679</v>
      </c>
      <c r="I179" s="304">
        <f t="shared" ca="1" si="71"/>
        <v>125.2467017035021</v>
      </c>
      <c r="J179" s="306">
        <f t="shared" ca="1" si="72"/>
        <v>23.111172423183817</v>
      </c>
      <c r="K179" s="307">
        <f t="shared" ca="1" si="73"/>
        <v>113.12965987991907</v>
      </c>
      <c r="L179" s="304">
        <f t="shared" ca="1" si="58"/>
        <v>115.46621252695658</v>
      </c>
      <c r="M179" s="306">
        <f t="shared" ca="1" si="74"/>
        <v>1.3565054754211459</v>
      </c>
      <c r="N179" s="304">
        <f t="shared" ca="1" si="75"/>
        <v>77.722038628018879</v>
      </c>
      <c r="P179" s="310">
        <f t="shared" ca="1" si="76"/>
        <v>5</v>
      </c>
      <c r="Q179" s="304">
        <f t="shared" ca="1" si="77"/>
        <v>623.22999999999979</v>
      </c>
      <c r="R179" s="306">
        <f t="shared" ca="1" si="78"/>
        <v>0.31277009964194957</v>
      </c>
      <c r="S179" s="307">
        <f t="shared" ca="1" si="79"/>
        <v>8.5202278659813349</v>
      </c>
      <c r="T179" s="304">
        <f t="shared" ca="1" si="59"/>
        <v>83.583435365276898</v>
      </c>
      <c r="U179" s="311">
        <f t="shared" ca="1" si="60"/>
        <v>0</v>
      </c>
      <c r="V179" s="306">
        <f t="shared" ca="1" si="61"/>
        <v>1.2112195654583446</v>
      </c>
      <c r="W179" s="304">
        <f t="shared" ca="1" si="62"/>
        <v>62.760891769860308</v>
      </c>
      <c r="Y179" s="314" t="str">
        <f t="shared" ca="1" si="80"/>
        <v/>
      </c>
      <c r="Z179" s="315" t="str">
        <f t="shared" ca="1" si="81"/>
        <v/>
      </c>
      <c r="AA179" s="316" t="str">
        <f t="shared" ca="1" si="82"/>
        <v/>
      </c>
      <c r="AC179" s="310" t="e">
        <f t="shared" ca="1" si="83"/>
        <v>#N/A</v>
      </c>
      <c r="AD179" s="323" t="e">
        <f t="shared" ca="1" si="84"/>
        <v>#N/A</v>
      </c>
      <c r="AE179" s="324">
        <f t="shared" ca="1" si="63"/>
        <v>113.12965987991907</v>
      </c>
      <c r="AG179" s="306">
        <f t="shared" ca="1" si="85"/>
        <v>56.260168988826976</v>
      </c>
      <c r="AH179" s="304">
        <f t="shared" ca="1" si="86"/>
        <v>65.846136284799897</v>
      </c>
    </row>
    <row r="180" spans="1:34" x14ac:dyDescent="0.2">
      <c r="A180" s="347">
        <f t="shared" ca="1" si="64"/>
        <v>0.01</v>
      </c>
      <c r="B180" s="304">
        <f t="shared" ca="1" si="65"/>
        <v>1.7600000000000013</v>
      </c>
      <c r="D180" s="306">
        <f t="shared" ca="1" si="66"/>
        <v>13.957300912544193</v>
      </c>
      <c r="E180" s="307">
        <f t="shared" ca="1" si="67"/>
        <v>54.322470016286488</v>
      </c>
      <c r="F180" s="304">
        <f t="shared" ca="1" si="68"/>
        <v>56.086870098389795</v>
      </c>
      <c r="G180" s="306">
        <f t="shared" ca="1" si="69"/>
        <v>26.773854405379936</v>
      </c>
      <c r="H180" s="307">
        <f t="shared" ca="1" si="70"/>
        <v>122.92521415167965</v>
      </c>
      <c r="I180" s="304">
        <f t="shared" ca="1" si="71"/>
        <v>125.80718403158377</v>
      </c>
      <c r="J180" s="306">
        <f t="shared" ca="1" si="72"/>
        <v>23.378213102191989</v>
      </c>
      <c r="K180" s="307">
        <f t="shared" ca="1" si="73"/>
        <v>114.35619589793505</v>
      </c>
      <c r="L180" s="304">
        <f t="shared" ca="1" si="58"/>
        <v>116.72137931029773</v>
      </c>
      <c r="M180" s="306">
        <f t="shared" ca="1" si="74"/>
        <v>1.3563396549083542</v>
      </c>
      <c r="N180" s="304">
        <f t="shared" ca="1" si="75"/>
        <v>77.712537812479226</v>
      </c>
      <c r="P180" s="310">
        <f t="shared" ca="1" si="76"/>
        <v>5</v>
      </c>
      <c r="Q180" s="304">
        <f t="shared" ca="1" si="77"/>
        <v>621.76999999999975</v>
      </c>
      <c r="R180" s="306">
        <f t="shared" ca="1" si="78"/>
        <v>0.3120373936658617</v>
      </c>
      <c r="S180" s="307">
        <f t="shared" ca="1" si="79"/>
        <v>8.5171074920446763</v>
      </c>
      <c r="T180" s="304">
        <f t="shared" ca="1" si="59"/>
        <v>83.55282449695828</v>
      </c>
      <c r="U180" s="311">
        <f t="shared" ca="1" si="60"/>
        <v>0</v>
      </c>
      <c r="V180" s="306">
        <f t="shared" ca="1" si="61"/>
        <v>1.211071009321836</v>
      </c>
      <c r="W180" s="304">
        <f t="shared" ca="1" si="62"/>
        <v>63.316095262907261</v>
      </c>
      <c r="Y180" s="314" t="str">
        <f t="shared" ca="1" si="80"/>
        <v/>
      </c>
      <c r="Z180" s="315" t="str">
        <f t="shared" ca="1" si="81"/>
        <v/>
      </c>
      <c r="AA180" s="316" t="str">
        <f t="shared" ca="1" si="82"/>
        <v/>
      </c>
      <c r="AC180" s="310" t="e">
        <f t="shared" ca="1" si="83"/>
        <v>#N/A</v>
      </c>
      <c r="AD180" s="323" t="e">
        <f t="shared" ca="1" si="84"/>
        <v>#N/A</v>
      </c>
      <c r="AE180" s="324">
        <f t="shared" ca="1" si="63"/>
        <v>114.35619589793505</v>
      </c>
      <c r="AG180" s="306">
        <f t="shared" ca="1" si="85"/>
        <v>56.048059845667993</v>
      </c>
      <c r="AH180" s="304">
        <f t="shared" ca="1" si="86"/>
        <v>65.633680067120977</v>
      </c>
    </row>
    <row r="181" spans="1:34" x14ac:dyDescent="0.2">
      <c r="A181" s="347">
        <f t="shared" ca="1" si="64"/>
        <v>0.01</v>
      </c>
      <c r="B181" s="304">
        <f t="shared" ca="1" si="65"/>
        <v>1.7700000000000014</v>
      </c>
      <c r="D181" s="306">
        <f t="shared" ca="1" si="66"/>
        <v>13.922670209544673</v>
      </c>
      <c r="E181" s="307">
        <f t="shared" ca="1" si="67"/>
        <v>54.112332255888852</v>
      </c>
      <c r="F181" s="304">
        <f t="shared" ca="1" si="68"/>
        <v>55.874728168783534</v>
      </c>
      <c r="G181" s="306">
        <f t="shared" ca="1" si="69"/>
        <v>26.913081107475382</v>
      </c>
      <c r="H181" s="307">
        <f t="shared" ca="1" si="70"/>
        <v>123.46633747423854</v>
      </c>
      <c r="I181" s="304">
        <f t="shared" ca="1" si="71"/>
        <v>126.36554286671706</v>
      </c>
      <c r="J181" s="306">
        <f t="shared" ca="1" si="72"/>
        <v>23.646647779756265</v>
      </c>
      <c r="K181" s="307">
        <f t="shared" ca="1" si="73"/>
        <v>115.58815365606465</v>
      </c>
      <c r="L181" s="304">
        <f t="shared" ca="1" si="58"/>
        <v>117.98213939761332</v>
      </c>
      <c r="M181" s="306">
        <f t="shared" ca="1" si="74"/>
        <v>1.3561744413071424</v>
      </c>
      <c r="N181" s="304">
        <f t="shared" ca="1" si="75"/>
        <v>77.70307177041164</v>
      </c>
      <c r="P181" s="310">
        <f t="shared" ca="1" si="76"/>
        <v>5</v>
      </c>
      <c r="Q181" s="304">
        <f t="shared" ca="1" si="77"/>
        <v>620.30999999999983</v>
      </c>
      <c r="R181" s="306">
        <f t="shared" ca="1" si="78"/>
        <v>0.31130468768977382</v>
      </c>
      <c r="S181" s="307">
        <f t="shared" ca="1" si="79"/>
        <v>8.5139944451677785</v>
      </c>
      <c r="T181" s="304">
        <f t="shared" ca="1" si="59"/>
        <v>83.522285507095916</v>
      </c>
      <c r="U181" s="311">
        <f t="shared" ca="1" si="60"/>
        <v>0</v>
      </c>
      <c r="V181" s="306">
        <f t="shared" ca="1" si="61"/>
        <v>1.2109218147491307</v>
      </c>
      <c r="W181" s="304">
        <f t="shared" ca="1" si="62"/>
        <v>63.871493390563124</v>
      </c>
      <c r="Y181" s="314" t="str">
        <f t="shared" ca="1" si="80"/>
        <v/>
      </c>
      <c r="Z181" s="315" t="str">
        <f t="shared" ca="1" si="81"/>
        <v/>
      </c>
      <c r="AA181" s="316" t="str">
        <f t="shared" ca="1" si="82"/>
        <v/>
      </c>
      <c r="AC181" s="310" t="e">
        <f t="shared" ca="1" si="83"/>
        <v>#N/A</v>
      </c>
      <c r="AD181" s="323" t="e">
        <f t="shared" ca="1" si="84"/>
        <v>#N/A</v>
      </c>
      <c r="AE181" s="324">
        <f t="shared" ca="1" si="63"/>
        <v>115.58815365606465</v>
      </c>
      <c r="AG181" s="306">
        <f t="shared" ca="1" si="85"/>
        <v>55.835711052581445</v>
      </c>
      <c r="AH181" s="304">
        <f t="shared" ca="1" si="86"/>
        <v>65.420985217252664</v>
      </c>
    </row>
    <row r="182" spans="1:34" x14ac:dyDescent="0.2">
      <c r="A182" s="347">
        <f t="shared" ca="1" si="64"/>
        <v>0.01</v>
      </c>
      <c r="B182" s="304">
        <f t="shared" ca="1" si="65"/>
        <v>1.7800000000000014</v>
      </c>
      <c r="D182" s="306">
        <f t="shared" ca="1" si="66"/>
        <v>13.887881568363536</v>
      </c>
      <c r="E182" s="307">
        <f t="shared" ca="1" si="67"/>
        <v>53.901986958102647</v>
      </c>
      <c r="F182" s="304">
        <f t="shared" ca="1" si="68"/>
        <v>55.662352200462742</v>
      </c>
      <c r="G182" s="306">
        <f t="shared" ca="1" si="69"/>
        <v>27.051959923159018</v>
      </c>
      <c r="H182" s="307">
        <f t="shared" ca="1" si="70"/>
        <v>124.00535734381957</v>
      </c>
      <c r="I182" s="304">
        <f t="shared" ca="1" si="71"/>
        <v>126.92177585289527</v>
      </c>
      <c r="J182" s="306">
        <f t="shared" ca="1" si="72"/>
        <v>23.916472984909436</v>
      </c>
      <c r="K182" s="307">
        <f t="shared" ca="1" si="73"/>
        <v>116.82551213015493</v>
      </c>
      <c r="L182" s="304">
        <f t="shared" ca="1" si="58"/>
        <v>119.24847153951652</v>
      </c>
      <c r="M182" s="306">
        <f t="shared" ca="1" si="74"/>
        <v>1.3560098269834242</v>
      </c>
      <c r="N182" s="304">
        <f t="shared" ca="1" si="75"/>
        <v>77.693640064415177</v>
      </c>
      <c r="P182" s="310">
        <f t="shared" ca="1" si="76"/>
        <v>5</v>
      </c>
      <c r="Q182" s="304">
        <f t="shared" ca="1" si="77"/>
        <v>618.8499999999998</v>
      </c>
      <c r="R182" s="306">
        <f t="shared" ca="1" si="78"/>
        <v>0.31057198171368594</v>
      </c>
      <c r="S182" s="307">
        <f t="shared" ca="1" si="79"/>
        <v>8.5108887253506413</v>
      </c>
      <c r="T182" s="304">
        <f t="shared" ca="1" si="59"/>
        <v>83.491818395689791</v>
      </c>
      <c r="U182" s="311">
        <f t="shared" ca="1" si="60"/>
        <v>0</v>
      </c>
      <c r="V182" s="306">
        <f t="shared" ca="1" si="61"/>
        <v>1.2107719845237863</v>
      </c>
      <c r="W182" s="304">
        <f t="shared" ca="1" si="62"/>
        <v>64.427054430917593</v>
      </c>
      <c r="Y182" s="314" t="str">
        <f t="shared" ca="1" si="80"/>
        <v/>
      </c>
      <c r="Z182" s="315" t="str">
        <f t="shared" ca="1" si="81"/>
        <v/>
      </c>
      <c r="AA182" s="316" t="str">
        <f t="shared" ca="1" si="82"/>
        <v/>
      </c>
      <c r="AC182" s="310" t="e">
        <f t="shared" ca="1" si="83"/>
        <v>#N/A</v>
      </c>
      <c r="AD182" s="323" t="e">
        <f t="shared" ca="1" si="84"/>
        <v>#N/A</v>
      </c>
      <c r="AE182" s="324">
        <f t="shared" ca="1" si="63"/>
        <v>116.82551213015493</v>
      </c>
      <c r="AG182" s="306">
        <f t="shared" ca="1" si="85"/>
        <v>55.623126652295554</v>
      </c>
      <c r="AH182" s="304">
        <f t="shared" ca="1" si="86"/>
        <v>65.20805576465483</v>
      </c>
    </row>
    <row r="183" spans="1:34" x14ac:dyDescent="0.2">
      <c r="A183" s="347">
        <f t="shared" ca="1" si="64"/>
        <v>0.01</v>
      </c>
      <c r="B183" s="304">
        <f t="shared" ca="1" si="65"/>
        <v>1.7900000000000014</v>
      </c>
      <c r="D183" s="306">
        <f t="shared" ca="1" si="66"/>
        <v>13.852936603769537</v>
      </c>
      <c r="E183" s="307">
        <f t="shared" ca="1" si="67"/>
        <v>53.691437925060974</v>
      </c>
      <c r="F183" s="304">
        <f t="shared" ca="1" si="68"/>
        <v>55.449746248371</v>
      </c>
      <c r="G183" s="306">
        <f t="shared" ca="1" si="69"/>
        <v>27.190489289196712</v>
      </c>
      <c r="H183" s="307">
        <f t="shared" ca="1" si="70"/>
        <v>124.54227172307017</v>
      </c>
      <c r="I183" s="304">
        <f t="shared" ca="1" si="71"/>
        <v>127.47588067445922</v>
      </c>
      <c r="J183" s="306">
        <f t="shared" ca="1" si="72"/>
        <v>24.187685230971216</v>
      </c>
      <c r="K183" s="307">
        <f t="shared" ca="1" si="73"/>
        <v>118.06825027548938</v>
      </c>
      <c r="L183" s="304">
        <f t="shared" ca="1" si="58"/>
        <v>120.52035446325297</v>
      </c>
      <c r="M183" s="306">
        <f t="shared" ca="1" si="74"/>
        <v>1.3558458044242627</v>
      </c>
      <c r="N183" s="304">
        <f t="shared" ca="1" si="75"/>
        <v>77.684242264030289</v>
      </c>
      <c r="P183" s="310">
        <f t="shared" ca="1" si="76"/>
        <v>5</v>
      </c>
      <c r="Q183" s="304">
        <f t="shared" ca="1" si="77"/>
        <v>617.38999999999976</v>
      </c>
      <c r="R183" s="306">
        <f t="shared" ca="1" si="78"/>
        <v>0.30983927573759806</v>
      </c>
      <c r="S183" s="307">
        <f t="shared" ca="1" si="79"/>
        <v>8.5077903325932649</v>
      </c>
      <c r="T183" s="304">
        <f t="shared" ca="1" si="59"/>
        <v>83.461423162739933</v>
      </c>
      <c r="U183" s="311">
        <f t="shared" ca="1" si="60"/>
        <v>0</v>
      </c>
      <c r="V183" s="306">
        <f t="shared" ca="1" si="61"/>
        <v>1.2106215214315625</v>
      </c>
      <c r="W183" s="304">
        <f t="shared" ca="1" si="62"/>
        <v>64.982746789099991</v>
      </c>
      <c r="Y183" s="314" t="str">
        <f t="shared" ca="1" si="80"/>
        <v/>
      </c>
      <c r="Z183" s="315" t="str">
        <f t="shared" ca="1" si="81"/>
        <v/>
      </c>
      <c r="AA183" s="316" t="str">
        <f t="shared" ca="1" si="82"/>
        <v/>
      </c>
      <c r="AC183" s="310" t="e">
        <f t="shared" ca="1" si="83"/>
        <v>#N/A</v>
      </c>
      <c r="AD183" s="323" t="e">
        <f t="shared" ca="1" si="84"/>
        <v>#N/A</v>
      </c>
      <c r="AE183" s="324">
        <f t="shared" ca="1" si="63"/>
        <v>118.06825027548938</v>
      </c>
      <c r="AG183" s="306">
        <f t="shared" ca="1" si="85"/>
        <v>55.410310679666566</v>
      </c>
      <c r="AH183" s="304">
        <f t="shared" ca="1" si="86"/>
        <v>64.994895731114383</v>
      </c>
    </row>
    <row r="184" spans="1:34" x14ac:dyDescent="0.2">
      <c r="A184" s="347">
        <f t="shared" ca="1" si="64"/>
        <v>0.01</v>
      </c>
      <c r="B184" s="304">
        <f t="shared" ca="1" si="65"/>
        <v>1.8000000000000014</v>
      </c>
      <c r="D184" s="306">
        <f t="shared" ca="1" si="66"/>
        <v>13.817836918108638</v>
      </c>
      <c r="E184" s="307">
        <f t="shared" ca="1" si="67"/>
        <v>53.480688952916509</v>
      </c>
      <c r="F184" s="304">
        <f t="shared" ca="1" si="68"/>
        <v>55.236914359638625</v>
      </c>
      <c r="G184" s="306">
        <f t="shared" ca="1" si="69"/>
        <v>27.3286676583778</v>
      </c>
      <c r="H184" s="307">
        <f t="shared" ca="1" si="70"/>
        <v>125.07707861259934</v>
      </c>
      <c r="I184" s="304">
        <f t="shared" ca="1" si="71"/>
        <v>128.0278550560167</v>
      </c>
      <c r="J184" s="306">
        <f t="shared" ca="1" si="72"/>
        <v>24.460281015709089</v>
      </c>
      <c r="K184" s="307">
        <f t="shared" ca="1" si="73"/>
        <v>119.31634702716772</v>
      </c>
      <c r="L184" s="304">
        <f t="shared" ca="1" si="58"/>
        <v>121.79776687310394</v>
      </c>
      <c r="M184" s="306">
        <f t="shared" ca="1" si="74"/>
        <v>1.3556823662352044</v>
      </c>
      <c r="N184" s="304">
        <f t="shared" ca="1" si="75"/>
        <v>77.67487794558599</v>
      </c>
      <c r="P184" s="310">
        <f t="shared" ca="1" si="76"/>
        <v>5</v>
      </c>
      <c r="Q184" s="304">
        <f t="shared" ca="1" si="77"/>
        <v>615.92999999999984</v>
      </c>
      <c r="R184" s="306">
        <f t="shared" ca="1" si="78"/>
        <v>0.30910656976151019</v>
      </c>
      <c r="S184" s="307">
        <f t="shared" ca="1" si="79"/>
        <v>8.5046992668956491</v>
      </c>
      <c r="T184" s="304">
        <f t="shared" ca="1" si="59"/>
        <v>83.431099808246316</v>
      </c>
      <c r="U184" s="311">
        <f t="shared" ca="1" si="60"/>
        <v>0</v>
      </c>
      <c r="V184" s="306">
        <f t="shared" ca="1" si="61"/>
        <v>1.210470428260364</v>
      </c>
      <c r="W184" s="304">
        <f t="shared" ca="1" si="62"/>
        <v>65.538538998591804</v>
      </c>
      <c r="Y184" s="314" t="str">
        <f t="shared" ca="1" si="80"/>
        <v/>
      </c>
      <c r="Z184" s="315" t="str">
        <f t="shared" ca="1" si="81"/>
        <v/>
      </c>
      <c r="AA184" s="316" t="str">
        <f t="shared" ca="1" si="82"/>
        <v/>
      </c>
      <c r="AC184" s="310" t="e">
        <f t="shared" ca="1" si="83"/>
        <v>#N/A</v>
      </c>
      <c r="AD184" s="323" t="e">
        <f t="shared" ca="1" si="84"/>
        <v>#N/A</v>
      </c>
      <c r="AE184" s="324">
        <f t="shared" ca="1" si="63"/>
        <v>119.31634702716772</v>
      </c>
      <c r="AG184" s="306">
        <f t="shared" ca="1" si="85"/>
        <v>55.197267161478074</v>
      </c>
      <c r="AH184" s="304">
        <f t="shared" ca="1" si="86"/>
        <v>64.781509130540286</v>
      </c>
    </row>
    <row r="185" spans="1:34" x14ac:dyDescent="0.2">
      <c r="A185" s="347">
        <f t="shared" ca="1" si="64"/>
        <v>0.01</v>
      </c>
      <c r="B185" s="304">
        <f t="shared" ca="1" si="65"/>
        <v>1.8100000000000014</v>
      </c>
      <c r="D185" s="306">
        <f t="shared" ca="1" si="66"/>
        <v>13.78258410151116</v>
      </c>
      <c r="E185" s="307">
        <f t="shared" ca="1" si="67"/>
        <v>53.269743831602561</v>
      </c>
      <c r="F185" s="304">
        <f t="shared" ca="1" si="68"/>
        <v>55.023860573389314</v>
      </c>
      <c r="G185" s="306">
        <f t="shared" ca="1" si="69"/>
        <v>27.466493499392911</v>
      </c>
      <c r="H185" s="307">
        <f t="shared" ca="1" si="70"/>
        <v>125.60977605091536</v>
      </c>
      <c r="I185" s="304">
        <f t="shared" ca="1" si="71"/>
        <v>128.57769676235961</v>
      </c>
      <c r="J185" s="306">
        <f t="shared" ca="1" si="72"/>
        <v>24.734256821497944</v>
      </c>
      <c r="K185" s="307">
        <f t="shared" ca="1" si="73"/>
        <v>120.56978130048529</v>
      </c>
      <c r="L185" s="304">
        <f t="shared" ca="1" si="58"/>
        <v>123.08068745078843</v>
      </c>
      <c r="M185" s="306">
        <f t="shared" ca="1" si="74"/>
        <v>1.3555195051376889</v>
      </c>
      <c r="N185" s="304">
        <f t="shared" ca="1" si="75"/>
        <v>77.665546692051493</v>
      </c>
      <c r="P185" s="310">
        <f t="shared" ca="1" si="76"/>
        <v>5</v>
      </c>
      <c r="Q185" s="304">
        <f t="shared" ca="1" si="77"/>
        <v>614.4699999999998</v>
      </c>
      <c r="R185" s="306">
        <f t="shared" ca="1" si="78"/>
        <v>0.30837386378542231</v>
      </c>
      <c r="S185" s="307">
        <f t="shared" ca="1" si="79"/>
        <v>8.5016155282577941</v>
      </c>
      <c r="T185" s="304">
        <f t="shared" ca="1" si="59"/>
        <v>83.400848332208966</v>
      </c>
      <c r="U185" s="311">
        <f t="shared" ca="1" si="60"/>
        <v>0</v>
      </c>
      <c r="V185" s="306">
        <f t="shared" ca="1" si="61"/>
        <v>1.2103187078001778</v>
      </c>
      <c r="W185" s="304">
        <f t="shared" ca="1" si="62"/>
        <v>66.094399722521345</v>
      </c>
      <c r="Y185" s="314" t="str">
        <f t="shared" ca="1" si="80"/>
        <v/>
      </c>
      <c r="Z185" s="315" t="str">
        <f t="shared" ca="1" si="81"/>
        <v/>
      </c>
      <c r="AA185" s="316" t="str">
        <f t="shared" ca="1" si="82"/>
        <v/>
      </c>
      <c r="AC185" s="310" t="e">
        <f t="shared" ca="1" si="83"/>
        <v>#N/A</v>
      </c>
      <c r="AD185" s="323" t="e">
        <f t="shared" ca="1" si="84"/>
        <v>#N/A</v>
      </c>
      <c r="AE185" s="324">
        <f t="shared" ca="1" si="63"/>
        <v>120.56978130048529</v>
      </c>
      <c r="AG185" s="306">
        <f t="shared" ca="1" si="85"/>
        <v>54.984000116241887</v>
      </c>
      <c r="AH185" s="304">
        <f t="shared" ca="1" si="86"/>
        <v>64.567899968760244</v>
      </c>
    </row>
    <row r="186" spans="1:34" x14ac:dyDescent="0.2">
      <c r="A186" s="347">
        <f t="shared" ca="1" si="64"/>
        <v>0.01</v>
      </c>
      <c r="B186" s="304">
        <f t="shared" ca="1" si="65"/>
        <v>1.8200000000000014</v>
      </c>
      <c r="D186" s="306">
        <f t="shared" ca="1" si="66"/>
        <v>13.747179732092025</v>
      </c>
      <c r="E186" s="307">
        <f t="shared" ca="1" si="67"/>
        <v>53.058606344596889</v>
      </c>
      <c r="F186" s="304">
        <f t="shared" ca="1" si="68"/>
        <v>54.810588920548362</v>
      </c>
      <c r="G186" s="306">
        <f t="shared" ca="1" si="69"/>
        <v>27.603965296713831</v>
      </c>
      <c r="H186" s="307">
        <f t="shared" ca="1" si="70"/>
        <v>126.14036211436132</v>
      </c>
      <c r="I186" s="304">
        <f t="shared" ca="1" si="71"/>
        <v>129.12540359837945</v>
      </c>
      <c r="J186" s="306">
        <f t="shared" ca="1" si="72"/>
        <v>25.009609115478476</v>
      </c>
      <c r="K186" s="307">
        <f t="shared" ca="1" si="73"/>
        <v>121.82853199131168</v>
      </c>
      <c r="L186" s="304">
        <f t="shared" ca="1" si="58"/>
        <v>124.36909485586473</v>
      </c>
      <c r="M186" s="306">
        <f t="shared" ca="1" si="74"/>
        <v>1.355357213966526</v>
      </c>
      <c r="N186" s="304">
        <f t="shared" ca="1" si="75"/>
        <v>77.656248092891616</v>
      </c>
      <c r="P186" s="310">
        <f t="shared" ca="1" si="76"/>
        <v>5</v>
      </c>
      <c r="Q186" s="304">
        <f t="shared" ca="1" si="77"/>
        <v>613.00999999999976</v>
      </c>
      <c r="R186" s="306">
        <f t="shared" ca="1" si="78"/>
        <v>0.30764115780933443</v>
      </c>
      <c r="S186" s="307">
        <f t="shared" ca="1" si="79"/>
        <v>8.4985391166797015</v>
      </c>
      <c r="T186" s="304">
        <f t="shared" ca="1" si="59"/>
        <v>83.37066873462787</v>
      </c>
      <c r="U186" s="311">
        <f t="shared" ca="1" si="60"/>
        <v>0</v>
      </c>
      <c r="V186" s="306">
        <f t="shared" ca="1" si="61"/>
        <v>1.2101663628430106</v>
      </c>
      <c r="W186" s="304">
        <f t="shared" ca="1" si="62"/>
        <v>66.650297754941278</v>
      </c>
      <c r="Y186" s="314" t="str">
        <f t="shared" ca="1" si="80"/>
        <v/>
      </c>
      <c r="Z186" s="315" t="str">
        <f t="shared" ca="1" si="81"/>
        <v/>
      </c>
      <c r="AA186" s="316" t="str">
        <f t="shared" ca="1" si="82"/>
        <v/>
      </c>
      <c r="AC186" s="310" t="e">
        <f t="shared" ca="1" si="83"/>
        <v>#N/A</v>
      </c>
      <c r="AD186" s="323" t="e">
        <f t="shared" ca="1" si="84"/>
        <v>#N/A</v>
      </c>
      <c r="AE186" s="324">
        <f t="shared" ca="1" si="63"/>
        <v>121.82853199131168</v>
      </c>
      <c r="AG186" s="306">
        <f t="shared" ca="1" si="85"/>
        <v>54.770513554000495</v>
      </c>
      <c r="AH186" s="304">
        <f t="shared" ca="1" si="86"/>
        <v>64.354072243319067</v>
      </c>
    </row>
    <row r="187" spans="1:34" x14ac:dyDescent="0.2">
      <c r="A187" s="347">
        <f t="shared" ca="1" si="64"/>
        <v>0.01</v>
      </c>
      <c r="B187" s="304">
        <f t="shared" ca="1" si="65"/>
        <v>1.8300000000000014</v>
      </c>
      <c r="D187" s="306">
        <f t="shared" ca="1" si="66"/>
        <v>13.711625376144617</v>
      </c>
      <c r="E187" s="307">
        <f t="shared" ca="1" si="67"/>
        <v>52.847280268688451</v>
      </c>
      <c r="F187" s="304">
        <f t="shared" ca="1" si="68"/>
        <v>54.597103423652804</v>
      </c>
      <c r="G187" s="306">
        <f t="shared" ca="1" si="69"/>
        <v>27.741081550475275</v>
      </c>
      <c r="H187" s="307">
        <f t="shared" ca="1" si="70"/>
        <v>126.6688349170482</v>
      </c>
      <c r="I187" s="304">
        <f t="shared" ca="1" si="71"/>
        <v>129.6709734089805</v>
      </c>
      <c r="J187" s="306">
        <f t="shared" ca="1" si="72"/>
        <v>25.286334349714423</v>
      </c>
      <c r="K187" s="307">
        <f t="shared" ca="1" si="73"/>
        <v>123.09257797646873</v>
      </c>
      <c r="L187" s="304">
        <f t="shared" ca="1" si="58"/>
        <v>125.66296772613077</v>
      </c>
      <c r="M187" s="306">
        <f t="shared" ca="1" si="74"/>
        <v>1.3551954856674426</v>
      </c>
      <c r="N187" s="304">
        <f t="shared" ca="1" si="75"/>
        <v>77.646981743926304</v>
      </c>
      <c r="P187" s="310">
        <f t="shared" ca="1" si="76"/>
        <v>5</v>
      </c>
      <c r="Q187" s="304">
        <f t="shared" ca="1" si="77"/>
        <v>611.54999999999973</v>
      </c>
      <c r="R187" s="306">
        <f t="shared" ca="1" si="78"/>
        <v>0.30690845183324655</v>
      </c>
      <c r="S187" s="307">
        <f t="shared" ca="1" si="79"/>
        <v>8.4954700321613696</v>
      </c>
      <c r="T187" s="304">
        <f t="shared" ca="1" si="59"/>
        <v>83.340561015503042</v>
      </c>
      <c r="U187" s="311">
        <f t="shared" ca="1" si="60"/>
        <v>0</v>
      </c>
      <c r="V187" s="306">
        <f t="shared" ca="1" si="61"/>
        <v>1.210013396182831</v>
      </c>
      <c r="W187" s="304">
        <f t="shared" ca="1" si="62"/>
        <v>67.206202022088505</v>
      </c>
      <c r="Y187" s="314" t="str">
        <f t="shared" ca="1" si="80"/>
        <v/>
      </c>
      <c r="Z187" s="315" t="str">
        <f t="shared" ca="1" si="81"/>
        <v/>
      </c>
      <c r="AA187" s="316" t="str">
        <f t="shared" ca="1" si="82"/>
        <v/>
      </c>
      <c r="AC187" s="310" t="e">
        <f t="shared" ca="1" si="83"/>
        <v>#N/A</v>
      </c>
      <c r="AD187" s="323" t="e">
        <f t="shared" ca="1" si="84"/>
        <v>#N/A</v>
      </c>
      <c r="AE187" s="324">
        <f t="shared" ca="1" si="63"/>
        <v>123.09257797646873</v>
      </c>
      <c r="AG187" s="306">
        <f t="shared" ca="1" si="85"/>
        <v>54.556811476131202</v>
      </c>
      <c r="AH187" s="304">
        <f t="shared" ca="1" si="86"/>
        <v>64.140029943278861</v>
      </c>
    </row>
    <row r="188" spans="1:34" x14ac:dyDescent="0.2">
      <c r="A188" s="347">
        <f t="shared" ca="1" si="64"/>
        <v>0.01</v>
      </c>
      <c r="B188" s="304">
        <f t="shared" ca="1" si="65"/>
        <v>1.8400000000000014</v>
      </c>
      <c r="D188" s="306">
        <f t="shared" ca="1" si="66"/>
        <v>13.675922588328262</v>
      </c>
      <c r="E188" s="307">
        <f t="shared" ca="1" si="67"/>
        <v>52.63576937374684</v>
      </c>
      <c r="F188" s="304">
        <f t="shared" ca="1" si="68"/>
        <v>54.383408096663203</v>
      </c>
      <c r="G188" s="306">
        <f t="shared" ca="1" si="69"/>
        <v>27.877840776358557</v>
      </c>
      <c r="H188" s="307">
        <f t="shared" ca="1" si="70"/>
        <v>127.19519261078567</v>
      </c>
      <c r="I188" s="304">
        <f t="shared" ca="1" si="71"/>
        <v>130.21440407899146</v>
      </c>
      <c r="J188" s="306">
        <f t="shared" ca="1" si="72"/>
        <v>25.564428961348593</v>
      </c>
      <c r="K188" s="307">
        <f t="shared" ca="1" si="73"/>
        <v>124.3618981141079</v>
      </c>
      <c r="L188" s="304">
        <f t="shared" ca="1" si="58"/>
        <v>126.96228467802393</v>
      </c>
      <c r="M188" s="306">
        <f t="shared" ca="1" si="74"/>
        <v>1.3550343132946958</v>
      </c>
      <c r="N188" s="304">
        <f t="shared" ca="1" si="75"/>
        <v>77.637747247193801</v>
      </c>
      <c r="P188" s="310">
        <f t="shared" ca="1" si="76"/>
        <v>5</v>
      </c>
      <c r="Q188" s="304">
        <f t="shared" ca="1" si="77"/>
        <v>610.0899999999998</v>
      </c>
      <c r="R188" s="306">
        <f t="shared" ca="1" si="78"/>
        <v>0.30617574585715868</v>
      </c>
      <c r="S188" s="307">
        <f t="shared" ca="1" si="79"/>
        <v>8.4924082747027985</v>
      </c>
      <c r="T188" s="304">
        <f t="shared" ca="1" si="59"/>
        <v>83.310525174834453</v>
      </c>
      <c r="U188" s="311">
        <f t="shared" ca="1" si="60"/>
        <v>0</v>
      </c>
      <c r="V188" s="306">
        <f t="shared" ca="1" si="61"/>
        <v>1.209859810615505</v>
      </c>
      <c r="W188" s="304">
        <f t="shared" ca="1" si="62"/>
        <v>67.762081583626809</v>
      </c>
      <c r="Y188" s="314" t="str">
        <f t="shared" ca="1" si="80"/>
        <v/>
      </c>
      <c r="Z188" s="315" t="str">
        <f t="shared" ca="1" si="81"/>
        <v/>
      </c>
      <c r="AA188" s="316" t="str">
        <f t="shared" ca="1" si="82"/>
        <v/>
      </c>
      <c r="AC188" s="310" t="e">
        <f t="shared" ca="1" si="83"/>
        <v>#N/A</v>
      </c>
      <c r="AD188" s="323" t="e">
        <f t="shared" ca="1" si="84"/>
        <v>#N/A</v>
      </c>
      <c r="AE188" s="324">
        <f t="shared" ca="1" si="63"/>
        <v>124.3618981141079</v>
      </c>
      <c r="AG188" s="306">
        <f t="shared" ca="1" si="85"/>
        <v>54.342897875151877</v>
      </c>
      <c r="AH188" s="304">
        <f t="shared" ca="1" si="86"/>
        <v>63.925777049020894</v>
      </c>
    </row>
    <row r="189" spans="1:34" x14ac:dyDescent="0.2">
      <c r="A189" s="347">
        <f t="shared" ca="1" si="64"/>
        <v>0.01</v>
      </c>
      <c r="B189" s="304">
        <f t="shared" ca="1" si="65"/>
        <v>1.8500000000000014</v>
      </c>
      <c r="D189" s="306">
        <f t="shared" ca="1" si="66"/>
        <v>13.640072911849579</v>
      </c>
      <c r="E189" s="307">
        <f t="shared" ca="1" si="67"/>
        <v>52.424077422494278</v>
      </c>
      <c r="F189" s="304">
        <f t="shared" ca="1" si="68"/>
        <v>54.169506944777034</v>
      </c>
      <c r="G189" s="306">
        <f t="shared" ca="1" si="69"/>
        <v>28.014241505477052</v>
      </c>
      <c r="H189" s="307">
        <f t="shared" ca="1" si="70"/>
        <v>127.71943338501062</v>
      </c>
      <c r="I189" s="304">
        <f t="shared" ca="1" si="71"/>
        <v>130.75569353307472</v>
      </c>
      <c r="J189" s="306">
        <f t="shared" ca="1" si="72"/>
        <v>25.843889372757772</v>
      </c>
      <c r="K189" s="307">
        <f t="shared" ca="1" si="73"/>
        <v>125.63647124408688</v>
      </c>
      <c r="L189" s="304">
        <f t="shared" ca="1" si="58"/>
        <v>128.26702430701982</v>
      </c>
      <c r="M189" s="306">
        <f t="shared" ca="1" si="74"/>
        <v>1.3548736900087472</v>
      </c>
      <c r="N189" s="304">
        <f t="shared" ca="1" si="75"/>
        <v>77.628544210817424</v>
      </c>
      <c r="P189" s="310">
        <f t="shared" ca="1" si="76"/>
        <v>5</v>
      </c>
      <c r="Q189" s="304">
        <f t="shared" ca="1" si="77"/>
        <v>608.62999999999977</v>
      </c>
      <c r="R189" s="306">
        <f t="shared" ca="1" si="78"/>
        <v>0.3054430398810708</v>
      </c>
      <c r="S189" s="307">
        <f t="shared" ca="1" si="79"/>
        <v>8.489353844303988</v>
      </c>
      <c r="T189" s="304">
        <f t="shared" ca="1" si="59"/>
        <v>83.280561212622132</v>
      </c>
      <c r="U189" s="311">
        <f t="shared" ca="1" si="60"/>
        <v>0</v>
      </c>
      <c r="V189" s="306">
        <f t="shared" ca="1" si="61"/>
        <v>1.2097056089387375</v>
      </c>
      <c r="W189" s="304">
        <f t="shared" ca="1" si="62"/>
        <v>68.317905633871689</v>
      </c>
      <c r="Y189" s="314" t="str">
        <f t="shared" ca="1" si="80"/>
        <v/>
      </c>
      <c r="Z189" s="315" t="str">
        <f t="shared" ca="1" si="81"/>
        <v/>
      </c>
      <c r="AA189" s="316" t="str">
        <f t="shared" ca="1" si="82"/>
        <v/>
      </c>
      <c r="AC189" s="310" t="e">
        <f t="shared" ca="1" si="83"/>
        <v>#N/A</v>
      </c>
      <c r="AD189" s="323" t="e">
        <f t="shared" ca="1" si="84"/>
        <v>#N/A</v>
      </c>
      <c r="AE189" s="324">
        <f t="shared" ca="1" si="63"/>
        <v>125.63647124408688</v>
      </c>
      <c r="AG189" s="306">
        <f t="shared" ca="1" si="85"/>
        <v>54.128776734528188</v>
      </c>
      <c r="AH189" s="304">
        <f t="shared" ca="1" si="86"/>
        <v>63.711317532049087</v>
      </c>
    </row>
    <row r="190" spans="1:34" x14ac:dyDescent="0.2">
      <c r="A190" s="347">
        <f t="shared" ca="1" si="64"/>
        <v>0.01</v>
      </c>
      <c r="B190" s="304">
        <f t="shared" ca="1" si="65"/>
        <v>1.8600000000000014</v>
      </c>
      <c r="D190" s="306">
        <f t="shared" ca="1" si="66"/>
        <v>13.604077878638087</v>
      </c>
      <c r="E190" s="307">
        <f t="shared" ca="1" si="67"/>
        <v>52.212208170280611</v>
      </c>
      <c r="F190" s="304">
        <f t="shared" ca="1" si="68"/>
        <v>53.955403964244098</v>
      </c>
      <c r="G190" s="306">
        <f t="shared" ca="1" si="69"/>
        <v>28.150282284263433</v>
      </c>
      <c r="H190" s="307">
        <f t="shared" ca="1" si="70"/>
        <v>128.24155546671344</v>
      </c>
      <c r="I190" s="304">
        <f t="shared" ca="1" si="71"/>
        <v>131.29483973563413</v>
      </c>
      <c r="J190" s="306">
        <f t="shared" ca="1" si="72"/>
        <v>26.124711991706473</v>
      </c>
      <c r="K190" s="307">
        <f t="shared" ca="1" si="73"/>
        <v>126.91627618834549</v>
      </c>
      <c r="L190" s="304">
        <f t="shared" ca="1" si="58"/>
        <v>129.57716518802997</v>
      </c>
      <c r="M190" s="306">
        <f t="shared" ca="1" si="74"/>
        <v>1.354713609074002</v>
      </c>
      <c r="N190" s="304">
        <f t="shared" ca="1" si="75"/>
        <v>77.619372248876019</v>
      </c>
      <c r="P190" s="310">
        <f t="shared" ca="1" si="76"/>
        <v>5</v>
      </c>
      <c r="Q190" s="304">
        <f t="shared" ca="1" si="77"/>
        <v>607.16999999999973</v>
      </c>
      <c r="R190" s="306">
        <f t="shared" ca="1" si="78"/>
        <v>0.30471033390498292</v>
      </c>
      <c r="S190" s="307">
        <f t="shared" ca="1" si="79"/>
        <v>8.4863067409649382</v>
      </c>
      <c r="T190" s="304">
        <f t="shared" ca="1" si="59"/>
        <v>83.250669128866051</v>
      </c>
      <c r="U190" s="311">
        <f t="shared" ca="1" si="60"/>
        <v>0</v>
      </c>
      <c r="V190" s="306">
        <f t="shared" ca="1" si="61"/>
        <v>1.2095507939520116</v>
      </c>
      <c r="W190" s="304">
        <f t="shared" ca="1" si="62"/>
        <v>68.873643502998078</v>
      </c>
      <c r="Y190" s="314" t="str">
        <f t="shared" ca="1" si="80"/>
        <v/>
      </c>
      <c r="Z190" s="315" t="str">
        <f t="shared" ca="1" si="81"/>
        <v/>
      </c>
      <c r="AA190" s="316" t="str">
        <f t="shared" ca="1" si="82"/>
        <v/>
      </c>
      <c r="AC190" s="310" t="e">
        <f t="shared" ca="1" si="83"/>
        <v>#N/A</v>
      </c>
      <c r="AD190" s="323" t="e">
        <f t="shared" ca="1" si="84"/>
        <v>#N/A</v>
      </c>
      <c r="AE190" s="324">
        <f t="shared" ca="1" si="63"/>
        <v>126.91627618834549</v>
      </c>
      <c r="AG190" s="306">
        <f t="shared" ca="1" si="85"/>
        <v>53.914452028482735</v>
      </c>
      <c r="AH190" s="304">
        <f t="shared" ca="1" si="86"/>
        <v>63.49665535479545</v>
      </c>
    </row>
    <row r="191" spans="1:34" x14ac:dyDescent="0.2">
      <c r="A191" s="347">
        <f t="shared" ca="1" si="64"/>
        <v>0.01</v>
      </c>
      <c r="B191" s="304">
        <f t="shared" ca="1" si="65"/>
        <v>1.8700000000000014</v>
      </c>
      <c r="D191" s="306">
        <f t="shared" ca="1" si="66"/>
        <v>13.567939009516023</v>
      </c>
      <c r="E191" s="307">
        <f t="shared" ca="1" si="67"/>
        <v>52.000165364860806</v>
      </c>
      <c r="F191" s="304">
        <f t="shared" ca="1" si="68"/>
        <v>53.741103142183597</v>
      </c>
      <c r="G191" s="306">
        <f t="shared" ca="1" si="69"/>
        <v>28.285961674358592</v>
      </c>
      <c r="H191" s="307">
        <f t="shared" ca="1" si="70"/>
        <v>128.76155712036206</v>
      </c>
      <c r="I191" s="304">
        <f t="shared" ca="1" si="71"/>
        <v>131.83184069072064</v>
      </c>
      <c r="J191" s="306">
        <f t="shared" ca="1" si="72"/>
        <v>26.406893211499582</v>
      </c>
      <c r="K191" s="307">
        <f t="shared" ca="1" si="73"/>
        <v>128.20129175128088</v>
      </c>
      <c r="L191" s="304">
        <f t="shared" ca="1" si="58"/>
        <v>130.89268587579895</v>
      </c>
      <c r="M191" s="306">
        <f t="shared" ca="1" si="74"/>
        <v>1.3545540638566047</v>
      </c>
      <c r="N191" s="304">
        <f t="shared" ca="1" si="75"/>
        <v>77.610230981277653</v>
      </c>
      <c r="P191" s="310">
        <f t="shared" ca="1" si="76"/>
        <v>5</v>
      </c>
      <c r="Q191" s="304">
        <f t="shared" ca="1" si="77"/>
        <v>605.70999999999981</v>
      </c>
      <c r="R191" s="306">
        <f t="shared" ca="1" si="78"/>
        <v>0.30397762792889504</v>
      </c>
      <c r="S191" s="307">
        <f t="shared" ca="1" si="79"/>
        <v>8.4832669646856491</v>
      </c>
      <c r="T191" s="304">
        <f t="shared" ca="1" si="59"/>
        <v>83.220848923566223</v>
      </c>
      <c r="U191" s="311">
        <f t="shared" ca="1" si="60"/>
        <v>0</v>
      </c>
      <c r="V191" s="306">
        <f t="shared" ca="1" si="61"/>
        <v>1.2093953684565271</v>
      </c>
      <c r="W191" s="304">
        <f t="shared" ca="1" si="62"/>
        <v>69.429264658230267</v>
      </c>
      <c r="Y191" s="314" t="str">
        <f t="shared" ca="1" si="80"/>
        <v/>
      </c>
      <c r="Z191" s="315" t="str">
        <f t="shared" ca="1" si="81"/>
        <v/>
      </c>
      <c r="AA191" s="316" t="str">
        <f t="shared" ca="1" si="82"/>
        <v/>
      </c>
      <c r="AC191" s="310" t="e">
        <f t="shared" ca="1" si="83"/>
        <v>#N/A</v>
      </c>
      <c r="AD191" s="323" t="e">
        <f t="shared" ca="1" si="84"/>
        <v>#N/A</v>
      </c>
      <c r="AE191" s="324">
        <f t="shared" ca="1" si="63"/>
        <v>128.20129175128088</v>
      </c>
      <c r="AG191" s="306">
        <f t="shared" ca="1" si="85"/>
        <v>53.699927721805679</v>
      </c>
      <c r="AH191" s="304">
        <f t="shared" ca="1" si="86"/>
        <v>63.281794470427158</v>
      </c>
    </row>
    <row r="192" spans="1:34" x14ac:dyDescent="0.2">
      <c r="A192" s="347">
        <f t="shared" ca="1" si="64"/>
        <v>0.01</v>
      </c>
      <c r="B192" s="304">
        <f t="shared" ca="1" si="65"/>
        <v>1.8800000000000014</v>
      </c>
      <c r="D192" s="306">
        <f t="shared" ca="1" si="66"/>
        <v>13.531657814362735</v>
      </c>
      <c r="E192" s="307">
        <f t="shared" ca="1" si="67"/>
        <v>51.787952746175137</v>
      </c>
      <c r="F192" s="304">
        <f t="shared" ca="1" si="68"/>
        <v>53.526608456402997</v>
      </c>
      <c r="G192" s="306">
        <f t="shared" ca="1" si="69"/>
        <v>28.421278252502219</v>
      </c>
      <c r="H192" s="307">
        <f t="shared" ca="1" si="70"/>
        <v>129.27943664782381</v>
      </c>
      <c r="I192" s="304">
        <f t="shared" ca="1" si="71"/>
        <v>132.36669444193598</v>
      </c>
      <c r="J192" s="306">
        <f t="shared" ca="1" si="72"/>
        <v>26.690429411133888</v>
      </c>
      <c r="K192" s="307">
        <f t="shared" ca="1" si="73"/>
        <v>129.4914967201218</v>
      </c>
      <c r="L192" s="304">
        <f t="shared" ca="1" si="58"/>
        <v>132.21356490530025</v>
      </c>
      <c r="M192" s="306">
        <f t="shared" ca="1" si="74"/>
        <v>1.3543950478222957</v>
      </c>
      <c r="N192" s="304">
        <f t="shared" ca="1" si="75"/>
        <v>77.601120033636846</v>
      </c>
      <c r="P192" s="310">
        <f t="shared" ca="1" si="76"/>
        <v>5</v>
      </c>
      <c r="Q192" s="304">
        <f t="shared" ca="1" si="77"/>
        <v>604.24999999999977</v>
      </c>
      <c r="R192" s="306">
        <f t="shared" ca="1" si="78"/>
        <v>0.30324492195280717</v>
      </c>
      <c r="S192" s="307">
        <f t="shared" ca="1" si="79"/>
        <v>8.4802345154661207</v>
      </c>
      <c r="T192" s="304">
        <f t="shared" ca="1" si="59"/>
        <v>83.191100596722649</v>
      </c>
      <c r="U192" s="311">
        <f t="shared" ca="1" si="60"/>
        <v>0</v>
      </c>
      <c r="V192" s="306">
        <f t="shared" ca="1" si="61"/>
        <v>1.2092393352551409</v>
      </c>
      <c r="W192" s="304">
        <f t="shared" ca="1" si="62"/>
        <v>69.984738705013982</v>
      </c>
      <c r="Y192" s="314" t="str">
        <f t="shared" ca="1" si="80"/>
        <v/>
      </c>
      <c r="Z192" s="315" t="str">
        <f t="shared" ca="1" si="81"/>
        <v/>
      </c>
      <c r="AA192" s="316" t="str">
        <f t="shared" ca="1" si="82"/>
        <v/>
      </c>
      <c r="AC192" s="310" t="e">
        <f t="shared" ca="1" si="83"/>
        <v>#N/A</v>
      </c>
      <c r="AD192" s="323" t="e">
        <f t="shared" ca="1" si="84"/>
        <v>#N/A</v>
      </c>
      <c r="AE192" s="324">
        <f t="shared" ca="1" si="63"/>
        <v>129.4914967201218</v>
      </c>
      <c r="AG192" s="306">
        <f t="shared" ca="1" si="85"/>
        <v>53.485207769667056</v>
      </c>
      <c r="AH192" s="304">
        <f t="shared" ca="1" si="86"/>
        <v>63.066738822655395</v>
      </c>
    </row>
    <row r="193" spans="1:34" x14ac:dyDescent="0.2">
      <c r="A193" s="347">
        <f t="shared" ca="1" si="64"/>
        <v>0.01</v>
      </c>
      <c r="B193" s="304">
        <f t="shared" ca="1" si="65"/>
        <v>1.8900000000000015</v>
      </c>
      <c r="D193" s="306">
        <f t="shared" ca="1" si="66"/>
        <v>13.495235792273764</v>
      </c>
      <c r="E193" s="307">
        <f t="shared" ca="1" si="67"/>
        <v>51.575574046132147</v>
      </c>
      <c r="F193" s="304">
        <f t="shared" ca="1" si="68"/>
        <v>53.311923875218824</v>
      </c>
      <c r="G193" s="306">
        <f t="shared" ca="1" si="69"/>
        <v>28.556230610424958</v>
      </c>
      <c r="H193" s="307">
        <f t="shared" ca="1" si="70"/>
        <v>129.79519238828513</v>
      </c>
      <c r="I193" s="304">
        <f t="shared" ca="1" si="71"/>
        <v>132.89939907233486</v>
      </c>
      <c r="J193" s="306">
        <f t="shared" ca="1" si="72"/>
        <v>26.975316955448523</v>
      </c>
      <c r="K193" s="307">
        <f t="shared" ca="1" si="73"/>
        <v>130.78686986530235</v>
      </c>
      <c r="L193" s="304">
        <f t="shared" ca="1" si="58"/>
        <v>133.53978079213115</v>
      </c>
      <c r="M193" s="306">
        <f t="shared" ca="1" si="74"/>
        <v>1.3542365545343218</v>
      </c>
      <c r="N193" s="304">
        <f t="shared" ca="1" si="75"/>
        <v>77.592039037154791</v>
      </c>
      <c r="P193" s="310">
        <f t="shared" ca="1" si="76"/>
        <v>5</v>
      </c>
      <c r="Q193" s="304">
        <f t="shared" ca="1" si="77"/>
        <v>602.78999999999974</v>
      </c>
      <c r="R193" s="306">
        <f t="shared" ca="1" si="78"/>
        <v>0.30251221597671929</v>
      </c>
      <c r="S193" s="307">
        <f t="shared" ca="1" si="79"/>
        <v>8.477209393306353</v>
      </c>
      <c r="T193" s="304">
        <f t="shared" ca="1" si="59"/>
        <v>83.161424148335328</v>
      </c>
      <c r="U193" s="311">
        <f t="shared" ca="1" si="60"/>
        <v>0</v>
      </c>
      <c r="V193" s="306">
        <f t="shared" ca="1" si="61"/>
        <v>1.2090826971523079</v>
      </c>
      <c r="W193" s="304">
        <f t="shared" ca="1" si="62"/>
        <v>70.540035388171702</v>
      </c>
      <c r="Y193" s="314" t="str">
        <f t="shared" ca="1" si="80"/>
        <v/>
      </c>
      <c r="Z193" s="315" t="str">
        <f t="shared" ca="1" si="81"/>
        <v/>
      </c>
      <c r="AA193" s="316" t="str">
        <f t="shared" ca="1" si="82"/>
        <v/>
      </c>
      <c r="AC193" s="310" t="e">
        <f t="shared" ca="1" si="83"/>
        <v>#N/A</v>
      </c>
      <c r="AD193" s="323" t="e">
        <f t="shared" ca="1" si="84"/>
        <v>#N/A</v>
      </c>
      <c r="AE193" s="324">
        <f t="shared" ca="1" si="63"/>
        <v>130.78686986530235</v>
      </c>
      <c r="AG193" s="306">
        <f t="shared" ca="1" si="85"/>
        <v>53.270296117430917</v>
      </c>
      <c r="AH193" s="304">
        <f t="shared" ca="1" si="86"/>
        <v>62.851492345546099</v>
      </c>
    </row>
    <row r="194" spans="1:34" x14ac:dyDescent="0.2">
      <c r="A194" s="347">
        <f t="shared" ca="1" si="64"/>
        <v>0.01</v>
      </c>
      <c r="B194" s="304">
        <f t="shared" ca="1" si="65"/>
        <v>1.9000000000000015</v>
      </c>
      <c r="D194" s="306">
        <f t="shared" ca="1" si="66"/>
        <v>13.458674431714783</v>
      </c>
      <c r="E194" s="307">
        <f t="shared" ca="1" si="67"/>
        <v>51.363032988394082</v>
      </c>
      <c r="F194" s="304">
        <f t="shared" ca="1" si="68"/>
        <v>53.097053357279179</v>
      </c>
      <c r="G194" s="306">
        <f t="shared" ca="1" si="69"/>
        <v>28.690817354742105</v>
      </c>
      <c r="H194" s="307">
        <f t="shared" ca="1" si="70"/>
        <v>130.30882271816907</v>
      </c>
      <c r="I194" s="304">
        <f t="shared" ca="1" si="71"/>
        <v>133.42995270432493</v>
      </c>
      <c r="J194" s="306">
        <f t="shared" ca="1" si="72"/>
        <v>27.261552195274358</v>
      </c>
      <c r="K194" s="307">
        <f t="shared" ca="1" si="73"/>
        <v>132.08738994083461</v>
      </c>
      <c r="L194" s="304">
        <f t="shared" ca="1" si="58"/>
        <v>134.87131203290699</v>
      </c>
      <c r="M194" s="306">
        <f t="shared" ca="1" si="74"/>
        <v>1.3540785776514006</v>
      </c>
      <c r="N194" s="304">
        <f t="shared" ca="1" si="75"/>
        <v>77.582987628502764</v>
      </c>
      <c r="P194" s="310">
        <f t="shared" ca="1" si="76"/>
        <v>5</v>
      </c>
      <c r="Q194" s="304">
        <f t="shared" ca="1" si="77"/>
        <v>601.32999999999981</v>
      </c>
      <c r="R194" s="306">
        <f t="shared" ca="1" si="78"/>
        <v>0.30177951000063147</v>
      </c>
      <c r="S194" s="307">
        <f t="shared" ca="1" si="79"/>
        <v>8.474191598206346</v>
      </c>
      <c r="T194" s="304">
        <f t="shared" ca="1" si="59"/>
        <v>83.131819578404262</v>
      </c>
      <c r="U194" s="311">
        <f t="shared" ca="1" si="60"/>
        <v>0</v>
      </c>
      <c r="V194" s="306">
        <f t="shared" ca="1" si="61"/>
        <v>1.2089254569540193</v>
      </c>
      <c r="W194" s="304">
        <f t="shared" ca="1" si="62"/>
        <v>71.095124593039586</v>
      </c>
      <c r="Y194" s="314" t="str">
        <f t="shared" ca="1" si="80"/>
        <v/>
      </c>
      <c r="Z194" s="315" t="str">
        <f t="shared" ca="1" si="81"/>
        <v/>
      </c>
      <c r="AA194" s="316" t="str">
        <f t="shared" ca="1" si="82"/>
        <v/>
      </c>
      <c r="AC194" s="310" t="e">
        <f t="shared" ca="1" si="83"/>
        <v>#N/A</v>
      </c>
      <c r="AD194" s="323" t="e">
        <f t="shared" ca="1" si="84"/>
        <v>#N/A</v>
      </c>
      <c r="AE194" s="324">
        <f t="shared" ca="1" si="63"/>
        <v>132.08738994083461</v>
      </c>
      <c r="AG194" s="306">
        <f t="shared" ca="1" si="85"/>
        <v>53.055196700471022</v>
      </c>
      <c r="AH194" s="304">
        <f t="shared" ca="1" si="86"/>
        <v>62.636058963332324</v>
      </c>
    </row>
    <row r="195" spans="1:34" x14ac:dyDescent="0.2">
      <c r="A195" s="347">
        <f t="shared" ca="1" si="64"/>
        <v>0.01</v>
      </c>
      <c r="B195" s="304">
        <f t="shared" ca="1" si="65"/>
        <v>1.9100000000000015</v>
      </c>
      <c r="D195" s="306">
        <f t="shared" ca="1" si="66"/>
        <v>13.421975210670691</v>
      </c>
      <c r="E195" s="307">
        <f t="shared" ca="1" si="67"/>
        <v>51.15033328816498</v>
      </c>
      <c r="F195" s="304">
        <f t="shared" ca="1" si="68"/>
        <v>52.882000851388149</v>
      </c>
      <c r="G195" s="306">
        <f t="shared" ca="1" si="69"/>
        <v>28.825037106848811</v>
      </c>
      <c r="H195" s="307">
        <f t="shared" ca="1" si="70"/>
        <v>130.82032605105073</v>
      </c>
      <c r="I195" s="304">
        <f t="shared" ca="1" si="71"/>
        <v>133.95835349956505</v>
      </c>
      <c r="J195" s="306">
        <f t="shared" ca="1" si="72"/>
        <v>27.549131467582313</v>
      </c>
      <c r="K195" s="307">
        <f t="shared" ca="1" si="73"/>
        <v>133.39303568468071</v>
      </c>
      <c r="L195" s="304">
        <f t="shared" ca="1" si="58"/>
        <v>136.20813710565398</v>
      </c>
      <c r="M195" s="306">
        <f t="shared" ca="1" si="74"/>
        <v>1.3539211109257399</v>
      </c>
      <c r="N195" s="304">
        <f t="shared" ca="1" si="75"/>
        <v>77.573965449708666</v>
      </c>
      <c r="P195" s="310">
        <f t="shared" ca="1" si="76"/>
        <v>5</v>
      </c>
      <c r="Q195" s="304">
        <f t="shared" ca="1" si="77"/>
        <v>599.86999999999978</v>
      </c>
      <c r="R195" s="306">
        <f t="shared" ca="1" si="78"/>
        <v>0.30104680402454354</v>
      </c>
      <c r="S195" s="307">
        <f t="shared" ca="1" si="79"/>
        <v>8.4711811301660997</v>
      </c>
      <c r="T195" s="304">
        <f t="shared" ca="1" si="59"/>
        <v>83.102286886929448</v>
      </c>
      <c r="U195" s="311">
        <f t="shared" ca="1" si="60"/>
        <v>0</v>
      </c>
      <c r="V195" s="306">
        <f t="shared" ca="1" si="61"/>
        <v>1.2087676174677455</v>
      </c>
      <c r="W195" s="304">
        <f t="shared" ca="1" si="62"/>
        <v>71.649976346587067</v>
      </c>
      <c r="Y195" s="314" t="str">
        <f t="shared" ca="1" si="80"/>
        <v/>
      </c>
      <c r="Z195" s="315" t="str">
        <f t="shared" ca="1" si="81"/>
        <v/>
      </c>
      <c r="AA195" s="316" t="str">
        <f t="shared" ca="1" si="82"/>
        <v/>
      </c>
      <c r="AC195" s="310" t="e">
        <f t="shared" ca="1" si="83"/>
        <v>#N/A</v>
      </c>
      <c r="AD195" s="323" t="e">
        <f t="shared" ca="1" si="84"/>
        <v>#N/A</v>
      </c>
      <c r="AE195" s="324">
        <f t="shared" ca="1" si="63"/>
        <v>133.39303568468071</v>
      </c>
      <c r="AG195" s="306">
        <f t="shared" ca="1" si="85"/>
        <v>52.839913443988301</v>
      </c>
      <c r="AH195" s="304">
        <f t="shared" ca="1" si="86"/>
        <v>62.420442590228518</v>
      </c>
    </row>
    <row r="196" spans="1:34" x14ac:dyDescent="0.2">
      <c r="A196" s="347">
        <f t="shared" ca="1" si="64"/>
        <v>0.01</v>
      </c>
      <c r="B196" s="304">
        <f t="shared" ca="1" si="65"/>
        <v>1.9200000000000015</v>
      </c>
      <c r="D196" s="306">
        <f t="shared" ca="1" si="66"/>
        <v>13.385139596789806</v>
      </c>
      <c r="E196" s="307">
        <f t="shared" ca="1" si="67"/>
        <v>50.9374786519815</v>
      </c>
      <c r="F196" s="304">
        <f t="shared" ca="1" si="68"/>
        <v>52.666770296332217</v>
      </c>
      <c r="G196" s="306">
        <f t="shared" ca="1" si="69"/>
        <v>28.958888502816709</v>
      </c>
      <c r="H196" s="307">
        <f t="shared" ca="1" si="70"/>
        <v>131.32970083757056</v>
      </c>
      <c r="I196" s="304">
        <f t="shared" ca="1" si="71"/>
        <v>134.48459965886187</v>
      </c>
      <c r="J196" s="306">
        <f t="shared" ca="1" si="72"/>
        <v>27.83805109563064</v>
      </c>
      <c r="K196" s="307">
        <f t="shared" ca="1" si="73"/>
        <v>134.70378581912382</v>
      </c>
      <c r="L196" s="304">
        <f t="shared" ref="L196:L259" ca="1" si="87">SQRT(pos_x^2+pos_z^2)</f>
        <v>137.55023447020119</v>
      </c>
      <c r="M196" s="306">
        <f t="shared" ca="1" si="74"/>
        <v>1.3537641482011042</v>
      </c>
      <c r="N196" s="304">
        <f t="shared" ca="1" si="75"/>
        <v>77.564972148046166</v>
      </c>
      <c r="P196" s="310">
        <f t="shared" ca="1" si="76"/>
        <v>5</v>
      </c>
      <c r="Q196" s="304">
        <f t="shared" ca="1" si="77"/>
        <v>598.40999999999974</v>
      </c>
      <c r="R196" s="306">
        <f t="shared" ca="1" si="78"/>
        <v>0.30031409804845566</v>
      </c>
      <c r="S196" s="307">
        <f t="shared" ca="1" si="79"/>
        <v>8.4681779891856159</v>
      </c>
      <c r="T196" s="304">
        <f t="shared" ref="T196:T259" ca="1" si="88">m*g</f>
        <v>83.072826073910903</v>
      </c>
      <c r="U196" s="311">
        <f t="shared" ref="U196:U259" ca="1" si="89">IF(pos_xz&lt;L_rampe,Poids*COS(Beta),0)</f>
        <v>0</v>
      </c>
      <c r="V196" s="306">
        <f t="shared" ref="V196:V259" ca="1" si="90">Rho_moyen*(20000-Alt_rampe-pos_z)/(20000+Alt_rampe+pos_z)</f>
        <v>1.2086091815023725</v>
      </c>
      <c r="W196" s="304">
        <f t="shared" ref="W196:W259" ca="1" si="91">1/2*Rho*Sref*Cx*vit_xz^2</f>
        <v>72.204560818519056</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134.70378581912382</v>
      </c>
      <c r="AG196" s="306">
        <f t="shared" ca="1" si="85"/>
        <v>52.624450262830102</v>
      </c>
      <c r="AH196" s="304">
        <f t="shared" ca="1" si="86"/>
        <v>62.20464713024662</v>
      </c>
    </row>
    <row r="197" spans="1:34" x14ac:dyDescent="0.2">
      <c r="A197" s="347">
        <f t="shared" ref="A197:A260" ca="1" si="93">IF(B196+0.01&lt;=T_ini+ROUNDUP(Temps_fin_propu,0), 0.01, IF(K196&gt;0, 0.1, 0.0001))</f>
        <v>0.01</v>
      </c>
      <c r="B197" s="304">
        <f t="shared" ref="B197:B260" ca="1" si="94">B196+pas</f>
        <v>1.9300000000000015</v>
      </c>
      <c r="D197" s="306">
        <f t="shared" ref="D197:D260" ca="1" si="95">IF(AND(L196&lt;L_rampe,Poussee&lt;Poids*SIN(M196)),0,(-W196+Poussee)/m*COS(M196)-U196/m*SIN(M196))</f>
        <v>13.34816904752361</v>
      </c>
      <c r="E197" s="307">
        <f t="shared" ref="E197:E260" ca="1" si="96">IF(AND(L196&lt;L_rampe,Poussee&lt;Poids*SIN(M196)),0,(-W196+Poussee)/m*SIN(M196)+U196/m*COS(M196)-Poids/m)</f>
        <v>50.724472777506172</v>
      </c>
      <c r="F197" s="304">
        <f t="shared" ref="F197:F260" ca="1" si="97">SQRT(acc_x^2+acc_z^2)</f>
        <v>52.451365620708408</v>
      </c>
      <c r="G197" s="306">
        <f t="shared" ref="G197:G260" ca="1" si="98">G196+acc_x*pas</f>
        <v>29.092370193291945</v>
      </c>
      <c r="H197" s="307">
        <f t="shared" ref="H197:H260" ca="1" si="99">H196+acc_z*pas</f>
        <v>131.83694556534562</v>
      </c>
      <c r="I197" s="304">
        <f t="shared" ref="I197:I260" ca="1" si="100">SQRT(vit_x^2+vit_z^2)</f>
        <v>135.00868942206441</v>
      </c>
      <c r="J197" s="306">
        <f t="shared" ref="J197:J260" ca="1" si="101">J196+0.5*(vit_x+G196)*pas*(K196&gt;=0)</f>
        <v>28.128307389111182</v>
      </c>
      <c r="K197" s="307">
        <f t="shared" ref="K197:K260" ca="1" si="102">K196+0.5*(vit_z+H196)*pas</f>
        <v>136.01961905113839</v>
      </c>
      <c r="L197" s="304">
        <f t="shared" ca="1" si="87"/>
        <v>138.89758256857149</v>
      </c>
      <c r="M197" s="306">
        <f t="shared" ref="M197:M260" ca="1" si="103">IF(AND(L196&gt;L_rampe,G197&gt;0),ATAN2(G197,H197),$M$4)</f>
        <v>1.3536076834109352</v>
      </c>
      <c r="N197" s="304">
        <f t="shared" ref="N197:N260" ca="1" si="104">DEGREES(Beta)</f>
        <v>77.556007375927081</v>
      </c>
      <c r="P197" s="310">
        <f t="shared" ref="P197:P260" ca="1" si="105">MATCH(t-pas/2-T_ini,CdP_t)</f>
        <v>5</v>
      </c>
      <c r="Q197" s="304">
        <f t="shared" ref="Q197:Q260" ca="1" si="106">(INDEX(CdP,2,i_P+1)-INDEX(CdP,2,i_P+0))/(INDEX(CdP,1,i_P+1)-INDEX(CdP,1,i_P+0))*(t-pas/2-T_ini-INDEX(CdP,1,i_P+0))+INDEX(CdP,2,i_P+0)</f>
        <v>596.94999999999982</v>
      </c>
      <c r="R197" s="306">
        <f t="shared" ref="R197:R260" ca="1" si="107">Poussee/(g*ISP)</f>
        <v>0.29958139207236784</v>
      </c>
      <c r="S197" s="307">
        <f t="shared" ref="S197:S260" ca="1" si="108">S196-Débit*pas</f>
        <v>8.4651821752648928</v>
      </c>
      <c r="T197" s="304">
        <f t="shared" ca="1" si="88"/>
        <v>83.043437139348597</v>
      </c>
      <c r="U197" s="311">
        <f t="shared" ca="1" si="89"/>
        <v>0</v>
      </c>
      <c r="V197" s="306">
        <f t="shared" ca="1" si="90"/>
        <v>1.2084501518681483</v>
      </c>
      <c r="W197" s="304">
        <f t="shared" ca="1" si="91"/>
        <v>72.75884832236018</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136.01961905113839</v>
      </c>
      <c r="AG197" s="306">
        <f t="shared" ref="AG197:AG260" ca="1" si="114">IF(AND(L196&lt;L_rampe,Poussee&lt;Poids*SIN(M196)),0,(-W196+Poussee)/m-Poids*SIN(M196)/m)</f>
        <v>52.408811061311162</v>
      </c>
      <c r="AH197" s="304">
        <f t="shared" ref="AH197:AH260" ca="1" si="115">IF(AND(L196&lt;L_rampe,Poussee&lt;Poids*SIN(M196)), g*SIN(M196), (-W196+Poussee)/m)</f>
        <v>61.988676477013961</v>
      </c>
    </row>
    <row r="198" spans="1:34" x14ac:dyDescent="0.2">
      <c r="A198" s="347">
        <f t="shared" ca="1" si="93"/>
        <v>0.01</v>
      </c>
      <c r="B198" s="304">
        <f t="shared" ca="1" si="94"/>
        <v>1.9400000000000015</v>
      </c>
      <c r="D198" s="306">
        <f t="shared" ca="1" si="95"/>
        <v>13.311065010261832</v>
      </c>
      <c r="E198" s="307">
        <f t="shared" ca="1" si="96"/>
        <v>50.511319353323216</v>
      </c>
      <c r="F198" s="304">
        <f t="shared" ca="1" si="97"/>
        <v>52.235790742754354</v>
      </c>
      <c r="G198" s="306">
        <f t="shared" ca="1" si="98"/>
        <v>29.225480843394564</v>
      </c>
      <c r="H198" s="307">
        <f t="shared" ca="1" si="99"/>
        <v>132.34205875887884</v>
      </c>
      <c r="I198" s="304">
        <f t="shared" ca="1" si="100"/>
        <v>135.53062106795704</v>
      </c>
      <c r="J198" s="306">
        <f t="shared" ca="1" si="101"/>
        <v>28.419896644294614</v>
      </c>
      <c r="K198" s="307">
        <f t="shared" ca="1" si="102"/>
        <v>137.3405140727595</v>
      </c>
      <c r="L198" s="304">
        <f t="shared" ca="1" si="87"/>
        <v>140.25015982537147</v>
      </c>
      <c r="M198" s="306">
        <f t="shared" ca="1" si="103"/>
        <v>1.3534517105765156</v>
      </c>
      <c r="N198" s="304">
        <f t="shared" ca="1" si="104"/>
        <v>77.547070790796141</v>
      </c>
      <c r="P198" s="310">
        <f t="shared" ca="1" si="105"/>
        <v>5</v>
      </c>
      <c r="Q198" s="304">
        <f t="shared" ca="1" si="106"/>
        <v>595.48999999999978</v>
      </c>
      <c r="R198" s="306">
        <f t="shared" ca="1" si="107"/>
        <v>0.2988486860962799</v>
      </c>
      <c r="S198" s="307">
        <f t="shared" ca="1" si="108"/>
        <v>8.4621936884039304</v>
      </c>
      <c r="T198" s="304">
        <f t="shared" ca="1" si="88"/>
        <v>83.01412008324256</v>
      </c>
      <c r="U198" s="311">
        <f t="shared" ca="1" si="89"/>
        <v>0</v>
      </c>
      <c r="V198" s="306">
        <f t="shared" ca="1" si="90"/>
        <v>1.2082905313766181</v>
      </c>
      <c r="W198" s="304">
        <f t="shared" ca="1" si="91"/>
        <v>73.312809316521609</v>
      </c>
      <c r="Y198" s="314" t="str">
        <f t="shared" ca="1" si="109"/>
        <v/>
      </c>
      <c r="Z198" s="315" t="str">
        <f t="shared" ca="1" si="110"/>
        <v/>
      </c>
      <c r="AA198" s="316" t="str">
        <f t="shared" ca="1" si="111"/>
        <v/>
      </c>
      <c r="AC198" s="310" t="e">
        <f t="shared" ca="1" si="112"/>
        <v>#N/A</v>
      </c>
      <c r="AD198" s="323" t="e">
        <f t="shared" ca="1" si="113"/>
        <v>#N/A</v>
      </c>
      <c r="AE198" s="324">
        <f t="shared" ca="1" si="92"/>
        <v>137.3405140727595</v>
      </c>
      <c r="AG198" s="306">
        <f t="shared" ca="1" si="114"/>
        <v>52.192999733036196</v>
      </c>
      <c r="AH198" s="304">
        <f t="shared" ca="1" si="115"/>
        <v>61.772534513592873</v>
      </c>
    </row>
    <row r="199" spans="1:34" x14ac:dyDescent="0.2">
      <c r="A199" s="347">
        <f t="shared" ca="1" si="93"/>
        <v>0.01</v>
      </c>
      <c r="B199" s="304">
        <f t="shared" ca="1" si="94"/>
        <v>1.9500000000000015</v>
      </c>
      <c r="D199" s="306">
        <f t="shared" ca="1" si="95"/>
        <v>13.273828922463411</v>
      </c>
      <c r="E199" s="307">
        <f t="shared" ca="1" si="96"/>
        <v>50.298022058737047</v>
      </c>
      <c r="F199" s="304">
        <f t="shared" ca="1" si="97"/>
        <v>52.020049570180383</v>
      </c>
      <c r="G199" s="306">
        <f t="shared" ca="1" si="98"/>
        <v>29.358219132619197</v>
      </c>
      <c r="H199" s="307">
        <f t="shared" ca="1" si="99"/>
        <v>132.84503897946621</v>
      </c>
      <c r="I199" s="304">
        <f t="shared" ca="1" si="100"/>
        <v>136.05039291415068</v>
      </c>
      <c r="J199" s="306">
        <f t="shared" ca="1" si="101"/>
        <v>28.712815144174684</v>
      </c>
      <c r="K199" s="307">
        <f t="shared" ca="1" si="102"/>
        <v>138.66644956145123</v>
      </c>
      <c r="L199" s="304">
        <f t="shared" ca="1" si="87"/>
        <v>141.60794464818011</v>
      </c>
      <c r="M199" s="306">
        <f t="shared" ca="1" si="103"/>
        <v>1.353296223805182</v>
      </c>
      <c r="N199" s="304">
        <f t="shared" ca="1" si="104"/>
        <v>77.538162055028621</v>
      </c>
      <c r="P199" s="310">
        <f t="shared" ca="1" si="105"/>
        <v>5</v>
      </c>
      <c r="Q199" s="304">
        <f t="shared" ca="1" si="106"/>
        <v>594.02999999999975</v>
      </c>
      <c r="R199" s="306">
        <f t="shared" ca="1" si="107"/>
        <v>0.29811598012019203</v>
      </c>
      <c r="S199" s="307">
        <f t="shared" ca="1" si="108"/>
        <v>8.4592125286027287</v>
      </c>
      <c r="T199" s="304">
        <f t="shared" ca="1" si="88"/>
        <v>82.984874905592775</v>
      </c>
      <c r="U199" s="311">
        <f t="shared" ca="1" si="89"/>
        <v>0</v>
      </c>
      <c r="V199" s="306">
        <f t="shared" ca="1" si="90"/>
        <v>1.2081303228405698</v>
      </c>
      <c r="W199" s="304">
        <f t="shared" ca="1" si="91"/>
        <v>73.866414405350255</v>
      </c>
      <c r="Y199" s="314" t="str">
        <f t="shared" ca="1" si="109"/>
        <v/>
      </c>
      <c r="Z199" s="315" t="str">
        <f t="shared" ca="1" si="110"/>
        <v/>
      </c>
      <c r="AA199" s="316" t="str">
        <f t="shared" ca="1" si="111"/>
        <v/>
      </c>
      <c r="AC199" s="310" t="e">
        <f t="shared" ca="1" si="112"/>
        <v>#N/A</v>
      </c>
      <c r="AD199" s="323" t="e">
        <f t="shared" ca="1" si="113"/>
        <v>#N/A</v>
      </c>
      <c r="AE199" s="324">
        <f t="shared" ca="1" si="92"/>
        <v>138.66644956145123</v>
      </c>
      <c r="AG199" s="306">
        <f t="shared" ca="1" si="114"/>
        <v>51.977020160724479</v>
      </c>
      <c r="AH199" s="304">
        <f t="shared" ca="1" si="115"/>
        <v>61.556225112302378</v>
      </c>
    </row>
    <row r="200" spans="1:34" x14ac:dyDescent="0.2">
      <c r="A200" s="347">
        <f t="shared" ca="1" si="93"/>
        <v>0.01</v>
      </c>
      <c r="B200" s="304">
        <f t="shared" ca="1" si="94"/>
        <v>1.9600000000000015</v>
      </c>
      <c r="D200" s="306">
        <f t="shared" ca="1" si="95"/>
        <v>13.236462211783216</v>
      </c>
      <c r="E200" s="307">
        <f t="shared" ca="1" si="96"/>
        <v>50.084584563573166</v>
      </c>
      <c r="F200" s="304">
        <f t="shared" ca="1" si="97"/>
        <v>51.804146000003477</v>
      </c>
      <c r="G200" s="306">
        <f t="shared" ca="1" si="98"/>
        <v>29.490583754737031</v>
      </c>
      <c r="H200" s="307">
        <f t="shared" ca="1" si="99"/>
        <v>133.34588482510193</v>
      </c>
      <c r="I200" s="304">
        <f t="shared" ca="1" si="100"/>
        <v>136.56800331697212</v>
      </c>
      <c r="J200" s="306">
        <f t="shared" ca="1" si="101"/>
        <v>29.007059158611465</v>
      </c>
      <c r="K200" s="307">
        <f t="shared" ca="1" si="102"/>
        <v>139.99740418047406</v>
      </c>
      <c r="L200" s="304">
        <f t="shared" ca="1" si="87"/>
        <v>142.9709154279366</v>
      </c>
      <c r="M200" s="306">
        <f t="shared" ca="1" si="103"/>
        <v>1.3531412172885824</v>
      </c>
      <c r="N200" s="304">
        <f t="shared" ca="1" si="104"/>
        <v>77.529280835830434</v>
      </c>
      <c r="P200" s="310">
        <f t="shared" ca="1" si="105"/>
        <v>5</v>
      </c>
      <c r="Q200" s="304">
        <f t="shared" ca="1" si="106"/>
        <v>592.56999999999971</v>
      </c>
      <c r="R200" s="306">
        <f t="shared" ca="1" si="107"/>
        <v>0.29738327414410415</v>
      </c>
      <c r="S200" s="307">
        <f t="shared" ca="1" si="108"/>
        <v>8.4562386958612876</v>
      </c>
      <c r="T200" s="304">
        <f t="shared" ca="1" si="88"/>
        <v>82.955701606399231</v>
      </c>
      <c r="U200" s="311">
        <f t="shared" ca="1" si="89"/>
        <v>0</v>
      </c>
      <c r="V200" s="306">
        <f t="shared" ca="1" si="90"/>
        <v>1.2079695290739727</v>
      </c>
      <c r="W200" s="304">
        <f t="shared" ca="1" si="91"/>
        <v>74.419634340160343</v>
      </c>
      <c r="Y200" s="314" t="str">
        <f t="shared" ca="1" si="109"/>
        <v/>
      </c>
      <c r="Z200" s="315" t="str">
        <f t="shared" ca="1" si="110"/>
        <v/>
      </c>
      <c r="AA200" s="316" t="str">
        <f t="shared" ca="1" si="111"/>
        <v/>
      </c>
      <c r="AC200" s="310" t="e">
        <f t="shared" ca="1" si="112"/>
        <v>#N/A</v>
      </c>
      <c r="AD200" s="323" t="e">
        <f t="shared" ca="1" si="113"/>
        <v>#N/A</v>
      </c>
      <c r="AE200" s="324">
        <f t="shared" ca="1" si="92"/>
        <v>139.99740418047406</v>
      </c>
      <c r="AG200" s="306">
        <f t="shared" ca="1" si="114"/>
        <v>51.760876216035996</v>
      </c>
      <c r="AH200" s="304">
        <f t="shared" ca="1" si="115"/>
        <v>61.339752134541449</v>
      </c>
    </row>
    <row r="201" spans="1:34" x14ac:dyDescent="0.2">
      <c r="A201" s="347">
        <f t="shared" ca="1" si="93"/>
        <v>0.01</v>
      </c>
      <c r="B201" s="304">
        <f t="shared" ca="1" si="94"/>
        <v>1.9700000000000015</v>
      </c>
      <c r="D201" s="306">
        <f t="shared" ca="1" si="95"/>
        <v>13.198966296194751</v>
      </c>
      <c r="E201" s="307">
        <f t="shared" ca="1" si="96"/>
        <v>49.871010527981724</v>
      </c>
      <c r="F201" s="304">
        <f t="shared" ca="1" si="97"/>
        <v>51.588083918383212</v>
      </c>
      <c r="G201" s="306">
        <f t="shared" ca="1" si="98"/>
        <v>29.62257341769898</v>
      </c>
      <c r="H201" s="307">
        <f t="shared" ca="1" si="99"/>
        <v>133.84459493038176</v>
      </c>
      <c r="I201" s="304">
        <f t="shared" ca="1" si="100"/>
        <v>137.08345067135178</v>
      </c>
      <c r="J201" s="306">
        <f t="shared" ca="1" si="101"/>
        <v>29.302624944473646</v>
      </c>
      <c r="K201" s="307">
        <f t="shared" ca="1" si="102"/>
        <v>141.33335657925147</v>
      </c>
      <c r="L201" s="304">
        <f t="shared" ca="1" si="87"/>
        <v>144.33905053932679</v>
      </c>
      <c r="M201" s="306">
        <f t="shared" ca="1" si="103"/>
        <v>1.352986685300976</v>
      </c>
      <c r="N201" s="304">
        <f t="shared" ca="1" si="104"/>
        <v>77.520426805140815</v>
      </c>
      <c r="P201" s="310">
        <f t="shared" ca="1" si="105"/>
        <v>5</v>
      </c>
      <c r="Q201" s="304">
        <f t="shared" ca="1" si="106"/>
        <v>591.10999999999979</v>
      </c>
      <c r="R201" s="306">
        <f t="shared" ca="1" si="107"/>
        <v>0.29665056816801633</v>
      </c>
      <c r="S201" s="307">
        <f t="shared" ca="1" si="108"/>
        <v>8.4532721901796073</v>
      </c>
      <c r="T201" s="304">
        <f t="shared" ca="1" si="88"/>
        <v>82.926600185661954</v>
      </c>
      <c r="U201" s="311">
        <f t="shared" ca="1" si="89"/>
        <v>0</v>
      </c>
      <c r="V201" s="306">
        <f t="shared" ca="1" si="90"/>
        <v>1.2078081528919209</v>
      </c>
      <c r="W201" s="304">
        <f t="shared" ca="1" si="91"/>
        <v>74.972440020247177</v>
      </c>
      <c r="Y201" s="314" t="str">
        <f t="shared" ca="1" si="109"/>
        <v/>
      </c>
      <c r="Z201" s="315" t="str">
        <f t="shared" ca="1" si="110"/>
        <v/>
      </c>
      <c r="AA201" s="316" t="str">
        <f t="shared" ca="1" si="111"/>
        <v/>
      </c>
      <c r="AC201" s="310" t="e">
        <f t="shared" ca="1" si="112"/>
        <v>#N/A</v>
      </c>
      <c r="AD201" s="323" t="e">
        <f t="shared" ca="1" si="113"/>
        <v>#N/A</v>
      </c>
      <c r="AE201" s="324">
        <f t="shared" ca="1" si="92"/>
        <v>141.33335657925147</v>
      </c>
      <c r="AG201" s="306">
        <f t="shared" ca="1" si="114"/>
        <v>51.54457175939951</v>
      </c>
      <c r="AH201" s="304">
        <f t="shared" ca="1" si="115"/>
        <v>61.123119430614395</v>
      </c>
    </row>
    <row r="202" spans="1:34" x14ac:dyDescent="0.2">
      <c r="A202" s="347">
        <f t="shared" ca="1" si="93"/>
        <v>0.01</v>
      </c>
      <c r="B202" s="304">
        <f t="shared" ca="1" si="94"/>
        <v>1.9800000000000015</v>
      </c>
      <c r="D202" s="306">
        <f t="shared" ca="1" si="95"/>
        <v>13.16134258410897</v>
      </c>
      <c r="E202" s="307">
        <f t="shared" ca="1" si="96"/>
        <v>49.657303602243388</v>
      </c>
      <c r="F202" s="304">
        <f t="shared" ca="1" si="97"/>
        <v>51.371867200459576</v>
      </c>
      <c r="G202" s="306">
        <f t="shared" ca="1" si="98"/>
        <v>29.754186843540069</v>
      </c>
      <c r="H202" s="307">
        <f t="shared" ca="1" si="99"/>
        <v>134.34116796640419</v>
      </c>
      <c r="I202" s="304">
        <f t="shared" ca="1" si="100"/>
        <v>137.5967334107097</v>
      </c>
      <c r="J202" s="306">
        <f t="shared" ca="1" si="101"/>
        <v>29.59950874577984</v>
      </c>
      <c r="K202" s="307">
        <f t="shared" ca="1" si="102"/>
        <v>142.6742853937354</v>
      </c>
      <c r="L202" s="304">
        <f t="shared" ca="1" si="87"/>
        <v>145.7123283411687</v>
      </c>
      <c r="M202" s="306">
        <f t="shared" ca="1" si="103"/>
        <v>1.3528326221975766</v>
      </c>
      <c r="N202" s="304">
        <f t="shared" ca="1" si="104"/>
        <v>77.511599639537351</v>
      </c>
      <c r="P202" s="310">
        <f t="shared" ca="1" si="105"/>
        <v>5</v>
      </c>
      <c r="Q202" s="304">
        <f t="shared" ca="1" si="106"/>
        <v>589.64999999999975</v>
      </c>
      <c r="R202" s="306">
        <f t="shared" ca="1" si="107"/>
        <v>0.29591786219192839</v>
      </c>
      <c r="S202" s="307">
        <f t="shared" ca="1" si="108"/>
        <v>8.4503130115576877</v>
      </c>
      <c r="T202" s="304">
        <f t="shared" ca="1" si="88"/>
        <v>82.897570643380917</v>
      </c>
      <c r="U202" s="311">
        <f t="shared" ca="1" si="89"/>
        <v>0</v>
      </c>
      <c r="V202" s="306">
        <f t="shared" ca="1" si="90"/>
        <v>1.207646197110573</v>
      </c>
      <c r="W202" s="304">
        <f t="shared" ca="1" si="91"/>
        <v>75.524802493883556</v>
      </c>
      <c r="Y202" s="314" t="str">
        <f t="shared" ca="1" si="109"/>
        <v/>
      </c>
      <c r="Z202" s="315" t="str">
        <f t="shared" ca="1" si="110"/>
        <v/>
      </c>
      <c r="AA202" s="316" t="str">
        <f t="shared" ca="1" si="111"/>
        <v/>
      </c>
      <c r="AC202" s="310" t="e">
        <f t="shared" ca="1" si="112"/>
        <v>#N/A</v>
      </c>
      <c r="AD202" s="323" t="e">
        <f t="shared" ca="1" si="113"/>
        <v>#N/A</v>
      </c>
      <c r="AE202" s="324">
        <f t="shared" ca="1" si="92"/>
        <v>142.6742853937354</v>
      </c>
      <c r="AG202" s="306">
        <f t="shared" ca="1" si="114"/>
        <v>51.328110639842308</v>
      </c>
      <c r="AH202" s="304">
        <f t="shared" ca="1" si="115"/>
        <v>60.906330839557803</v>
      </c>
    </row>
    <row r="203" spans="1:34" x14ac:dyDescent="0.2">
      <c r="A203" s="347">
        <f t="shared" ca="1" si="93"/>
        <v>0.01</v>
      </c>
      <c r="B203" s="304">
        <f t="shared" ca="1" si="94"/>
        <v>1.9900000000000015</v>
      </c>
      <c r="D203" s="306">
        <f t="shared" ca="1" si="95"/>
        <v>13.123592474489381</v>
      </c>
      <c r="E203" s="307">
        <f t="shared" ca="1" si="96"/>
        <v>49.443467426577939</v>
      </c>
      <c r="F203" s="304">
        <f t="shared" ca="1" si="97"/>
        <v>51.15549971019292</v>
      </c>
      <c r="G203" s="306">
        <f t="shared" ca="1" si="98"/>
        <v>29.885422768284961</v>
      </c>
      <c r="H203" s="307">
        <f t="shared" ca="1" si="99"/>
        <v>134.83560264066998</v>
      </c>
      <c r="I203" s="304">
        <f t="shared" ca="1" si="100"/>
        <v>138.10785000683984</v>
      </c>
      <c r="J203" s="306">
        <f t="shared" ca="1" si="101"/>
        <v>29.897706793838964</v>
      </c>
      <c r="K203" s="307">
        <f t="shared" ca="1" si="102"/>
        <v>144.02016924677076</v>
      </c>
      <c r="L203" s="304">
        <f t="shared" ca="1" si="87"/>
        <v>147.09072717679678</v>
      </c>
      <c r="M203" s="306">
        <f t="shared" ca="1" si="103"/>
        <v>1.3526790224129372</v>
      </c>
      <c r="N203" s="304">
        <f t="shared" ca="1" si="104"/>
        <v>77.502799020143399</v>
      </c>
      <c r="P203" s="310">
        <f t="shared" ca="1" si="105"/>
        <v>5</v>
      </c>
      <c r="Q203" s="304">
        <f t="shared" ca="1" si="106"/>
        <v>588.18999999999971</v>
      </c>
      <c r="R203" s="306">
        <f t="shared" ca="1" si="107"/>
        <v>0.29518515621584052</v>
      </c>
      <c r="S203" s="307">
        <f t="shared" ca="1" si="108"/>
        <v>8.4473611599955287</v>
      </c>
      <c r="T203" s="304">
        <f t="shared" ca="1" si="88"/>
        <v>82.868612979556147</v>
      </c>
      <c r="U203" s="311">
        <f t="shared" ca="1" si="89"/>
        <v>0</v>
      </c>
      <c r="V203" s="306">
        <f t="shared" ca="1" si="90"/>
        <v>1.2074836645470961</v>
      </c>
      <c r="W203" s="304">
        <f t="shared" ca="1" si="91"/>
        <v>76.076692959298597</v>
      </c>
      <c r="Y203" s="314" t="str">
        <f t="shared" ca="1" si="109"/>
        <v/>
      </c>
      <c r="Z203" s="315" t="str">
        <f t="shared" ca="1" si="110"/>
        <v/>
      </c>
      <c r="AA203" s="316" t="str">
        <f t="shared" ca="1" si="111"/>
        <v/>
      </c>
      <c r="AC203" s="310" t="e">
        <f t="shared" ca="1" si="112"/>
        <v>#N/A</v>
      </c>
      <c r="AD203" s="323" t="e">
        <f t="shared" ca="1" si="113"/>
        <v>#N/A</v>
      </c>
      <c r="AE203" s="324">
        <f t="shared" ca="1" si="92"/>
        <v>144.02016924677076</v>
      </c>
      <c r="AG203" s="306">
        <f t="shared" ca="1" si="114"/>
        <v>51.111496694821874</v>
      </c>
      <c r="AH203" s="304">
        <f t="shared" ca="1" si="115"/>
        <v>60.689390188969668</v>
      </c>
    </row>
    <row r="204" spans="1:34" x14ac:dyDescent="0.2">
      <c r="A204" s="347">
        <f t="shared" ca="1" si="93"/>
        <v>0.01</v>
      </c>
      <c r="B204" s="304">
        <f t="shared" ca="1" si="94"/>
        <v>2.0000000000000013</v>
      </c>
      <c r="D204" s="306">
        <f t="shared" ca="1" si="95"/>
        <v>13.085717356963423</v>
      </c>
      <c r="E204" s="307">
        <f t="shared" ca="1" si="96"/>
        <v>49.229505630955238</v>
      </c>
      <c r="F204" s="304">
        <f t="shared" ca="1" si="97"/>
        <v>50.938985300205843</v>
      </c>
      <c r="G204" s="306">
        <f t="shared" ca="1" si="98"/>
        <v>30.016279941854595</v>
      </c>
      <c r="H204" s="307">
        <f t="shared" ca="1" si="99"/>
        <v>135.32789769697953</v>
      </c>
      <c r="I204" s="304">
        <f t="shared" ca="1" si="100"/>
        <v>138.61679896979277</v>
      </c>
      <c r="J204" s="306">
        <f t="shared" ca="1" si="101"/>
        <v>30.197215307389662</v>
      </c>
      <c r="K204" s="307">
        <f t="shared" ca="1" si="102"/>
        <v>145.37098674845902</v>
      </c>
      <c r="L204" s="304">
        <f t="shared" ca="1" si="87"/>
        <v>148.47422537444504</v>
      </c>
      <c r="M204" s="306">
        <f t="shared" ca="1" si="103"/>
        <v>1.3525258804593727</v>
      </c>
      <c r="N204" s="304">
        <f t="shared" ca="1" si="104"/>
        <v>77.494024632537759</v>
      </c>
      <c r="P204" s="310">
        <f t="shared" ca="1" si="105"/>
        <v>5</v>
      </c>
      <c r="Q204" s="304">
        <f t="shared" ca="1" si="106"/>
        <v>586.72999999999979</v>
      </c>
      <c r="R204" s="306">
        <f t="shared" ca="1" si="107"/>
        <v>0.29445245023975269</v>
      </c>
      <c r="S204" s="307">
        <f t="shared" ca="1" si="108"/>
        <v>8.4444166354931305</v>
      </c>
      <c r="T204" s="304">
        <f t="shared" ca="1" si="88"/>
        <v>82.839727194187617</v>
      </c>
      <c r="U204" s="311">
        <f t="shared" ca="1" si="89"/>
        <v>0</v>
      </c>
      <c r="V204" s="306">
        <f t="shared" ca="1" si="90"/>
        <v>1.2073205580196065</v>
      </c>
      <c r="W204" s="304">
        <f t="shared" ca="1" si="91"/>
        <v>76.62808276563868</v>
      </c>
      <c r="Y204" s="314" t="str">
        <f t="shared" ca="1" si="109"/>
        <v/>
      </c>
      <c r="Z204" s="315" t="str">
        <f t="shared" ca="1" si="110"/>
        <v/>
      </c>
      <c r="AA204" s="316" t="str">
        <f t="shared" ca="1" si="111"/>
        <v/>
      </c>
      <c r="AC204" s="310">
        <f t="shared" ca="1" si="112"/>
        <v>2.0000000000000013</v>
      </c>
      <c r="AD204" s="323">
        <f t="shared" ca="1" si="113"/>
        <v>30.197215307389662</v>
      </c>
      <c r="AE204" s="324">
        <f t="shared" ca="1" si="92"/>
        <v>145.37098674845902</v>
      </c>
      <c r="AG204" s="306">
        <f t="shared" ca="1" si="114"/>
        <v>50.894733750059316</v>
      </c>
      <c r="AH204" s="304">
        <f t="shared" ca="1" si="115"/>
        <v>60.472301294840179</v>
      </c>
    </row>
    <row r="205" spans="1:34" x14ac:dyDescent="0.2">
      <c r="A205" s="347">
        <f t="shared" ca="1" si="93"/>
        <v>0.01</v>
      </c>
      <c r="B205" s="304">
        <f t="shared" ca="1" si="94"/>
        <v>2.0100000000000011</v>
      </c>
      <c r="D205" s="306">
        <f t="shared" ca="1" si="95"/>
        <v>13.047718611930451</v>
      </c>
      <c r="E205" s="307">
        <f t="shared" ca="1" si="96"/>
        <v>49.015421834908508</v>
      </c>
      <c r="F205" s="304">
        <f t="shared" ca="1" si="97"/>
        <v>50.722327811626919</v>
      </c>
      <c r="G205" s="306">
        <f t="shared" ca="1" si="98"/>
        <v>30.146757127973899</v>
      </c>
      <c r="H205" s="307">
        <f t="shared" ca="1" si="99"/>
        <v>135.81805191532862</v>
      </c>
      <c r="I205" s="304">
        <f t="shared" ca="1" si="100"/>
        <v>139.12357884775659</v>
      </c>
      <c r="J205" s="306">
        <f t="shared" ca="1" si="101"/>
        <v>30.498030492738806</v>
      </c>
      <c r="K205" s="307">
        <f t="shared" ca="1" si="102"/>
        <v>146.72671649652057</v>
      </c>
      <c r="L205" s="304">
        <f t="shared" ca="1" si="87"/>
        <v>149.86280124762899</v>
      </c>
      <c r="M205" s="306">
        <f t="shared" ca="1" si="103"/>
        <v>1.3523731909254226</v>
      </c>
      <c r="N205" s="304">
        <f t="shared" ca="1" si="104"/>
        <v>77.485276166666594</v>
      </c>
      <c r="P205" s="310">
        <f t="shared" ca="1" si="105"/>
        <v>6</v>
      </c>
      <c r="Q205" s="304">
        <f t="shared" ca="1" si="106"/>
        <v>585.26999999999987</v>
      </c>
      <c r="R205" s="306">
        <f t="shared" ca="1" si="107"/>
        <v>0.29371974426366482</v>
      </c>
      <c r="S205" s="307">
        <f t="shared" ca="1" si="108"/>
        <v>8.4414794380504947</v>
      </c>
      <c r="T205" s="304">
        <f t="shared" ca="1" si="88"/>
        <v>82.810913287275355</v>
      </c>
      <c r="U205" s="311">
        <f t="shared" ca="1" si="89"/>
        <v>0</v>
      </c>
      <c r="V205" s="306">
        <f t="shared" ca="1" si="90"/>
        <v>1.2071568803471124</v>
      </c>
      <c r="W205" s="304">
        <f t="shared" ca="1" si="91"/>
        <v>77.178943413911057</v>
      </c>
      <c r="Y205" s="314" t="str">
        <f t="shared" ca="1" si="109"/>
        <v/>
      </c>
      <c r="Z205" s="315" t="str">
        <f t="shared" ca="1" si="110"/>
        <v/>
      </c>
      <c r="AA205" s="316" t="str">
        <f t="shared" ca="1" si="111"/>
        <v/>
      </c>
      <c r="AC205" s="310" t="e">
        <f t="shared" ca="1" si="112"/>
        <v>#N/A</v>
      </c>
      <c r="AD205" s="323" t="e">
        <f t="shared" ca="1" si="113"/>
        <v>#N/A</v>
      </c>
      <c r="AE205" s="324">
        <f t="shared" ca="1" si="92"/>
        <v>146.72671649652057</v>
      </c>
      <c r="AG205" s="306">
        <f t="shared" ca="1" si="114"/>
        <v>50.677825619374488</v>
      </c>
      <c r="AH205" s="304">
        <f t="shared" ca="1" si="115"/>
        <v>60.255067961384356</v>
      </c>
    </row>
    <row r="206" spans="1:34" x14ac:dyDescent="0.2">
      <c r="A206" s="347">
        <f t="shared" ca="1" si="93"/>
        <v>0.01</v>
      </c>
      <c r="B206" s="304">
        <f t="shared" ca="1" si="94"/>
        <v>2.0200000000000009</v>
      </c>
      <c r="D206" s="306">
        <f t="shared" ca="1" si="95"/>
        <v>13.009597610666264</v>
      </c>
      <c r="E206" s="307">
        <f t="shared" ca="1" si="96"/>
        <v>48.801219647350429</v>
      </c>
      <c r="F206" s="304">
        <f t="shared" ca="1" si="97"/>
        <v>50.505531073936794</v>
      </c>
      <c r="G206" s="306">
        <f t="shared" ca="1" si="98"/>
        <v>30.276853104080562</v>
      </c>
      <c r="H206" s="307">
        <f t="shared" ca="1" si="99"/>
        <v>136.30606411180213</v>
      </c>
      <c r="I206" s="304">
        <f t="shared" ca="1" si="100"/>
        <v>139.62818822693643</v>
      </c>
      <c r="J206" s="306">
        <f t="shared" ca="1" si="101"/>
        <v>30.800148543899077</v>
      </c>
      <c r="K206" s="307">
        <f t="shared" ca="1" si="102"/>
        <v>148.08733707665621</v>
      </c>
      <c r="L206" s="304">
        <f t="shared" ca="1" si="87"/>
        <v>151.25643309552638</v>
      </c>
      <c r="M206" s="306">
        <f t="shared" ca="1" si="103"/>
        <v>1.3522209484743515</v>
      </c>
      <c r="N206" s="304">
        <f t="shared" ca="1" si="104"/>
        <v>77.476553316757489</v>
      </c>
      <c r="P206" s="310">
        <f t="shared" ca="1" si="105"/>
        <v>6</v>
      </c>
      <c r="Q206" s="304">
        <f t="shared" ca="1" si="106"/>
        <v>583.80999999999983</v>
      </c>
      <c r="R206" s="306">
        <f t="shared" ca="1" si="107"/>
        <v>0.29298703828757694</v>
      </c>
      <c r="S206" s="307">
        <f t="shared" ca="1" si="108"/>
        <v>8.4385495676676197</v>
      </c>
      <c r="T206" s="304">
        <f t="shared" ca="1" si="88"/>
        <v>82.782171258819346</v>
      </c>
      <c r="U206" s="311">
        <f t="shared" ca="1" si="89"/>
        <v>0</v>
      </c>
      <c r="V206" s="306">
        <f t="shared" ca="1" si="90"/>
        <v>1.2069926343494575</v>
      </c>
      <c r="W206" s="304">
        <f t="shared" ca="1" si="91"/>
        <v>77.729246557910017</v>
      </c>
      <c r="Y206" s="314" t="str">
        <f t="shared" ca="1" si="109"/>
        <v/>
      </c>
      <c r="Z206" s="315" t="str">
        <f t="shared" ca="1" si="110"/>
        <v/>
      </c>
      <c r="AA206" s="316" t="str">
        <f t="shared" ca="1" si="111"/>
        <v/>
      </c>
      <c r="AC206" s="310" t="e">
        <f t="shared" ca="1" si="112"/>
        <v>#N/A</v>
      </c>
      <c r="AD206" s="323" t="e">
        <f t="shared" ca="1" si="113"/>
        <v>#N/A</v>
      </c>
      <c r="AE206" s="324">
        <f t="shared" ca="1" si="92"/>
        <v>148.08733707665621</v>
      </c>
      <c r="AG206" s="306">
        <f t="shared" ca="1" si="114"/>
        <v>50.460776104523177</v>
      </c>
      <c r="AH206" s="304">
        <f t="shared" ca="1" si="115"/>
        <v>60.037693980876803</v>
      </c>
    </row>
    <row r="207" spans="1:34" x14ac:dyDescent="0.2">
      <c r="A207" s="347">
        <f t="shared" ca="1" si="93"/>
        <v>0.01</v>
      </c>
      <c r="B207" s="304">
        <f t="shared" ca="1" si="94"/>
        <v>2.0300000000000007</v>
      </c>
      <c r="D207" s="306">
        <f t="shared" ca="1" si="95"/>
        <v>12.971355715424339</v>
      </c>
      <c r="E207" s="307">
        <f t="shared" ca="1" si="96"/>
        <v>48.58690266639136</v>
      </c>
      <c r="F207" s="304">
        <f t="shared" ca="1" si="97"/>
        <v>50.288598904815984</v>
      </c>
      <c r="G207" s="306">
        <f t="shared" ca="1" si="98"/>
        <v>30.406566661234805</v>
      </c>
      <c r="H207" s="307">
        <f t="shared" ca="1" si="99"/>
        <v>136.79193313846605</v>
      </c>
      <c r="I207" s="304">
        <f t="shared" ca="1" si="100"/>
        <v>140.13062573143205</v>
      </c>
      <c r="J207" s="306">
        <f t="shared" ca="1" si="101"/>
        <v>31.103565642725655</v>
      </c>
      <c r="K207" s="307">
        <f t="shared" ca="1" si="102"/>
        <v>149.45282706290755</v>
      </c>
      <c r="L207" s="304">
        <f t="shared" ca="1" si="87"/>
        <v>152.65509920335677</v>
      </c>
      <c r="M207" s="306">
        <f t="shared" ca="1" si="103"/>
        <v>1.3520691478426838</v>
      </c>
      <c r="N207" s="304">
        <f t="shared" ca="1" si="104"/>
        <v>77.467855781235514</v>
      </c>
      <c r="P207" s="310">
        <f t="shared" ca="1" si="105"/>
        <v>6</v>
      </c>
      <c r="Q207" s="304">
        <f t="shared" ca="1" si="106"/>
        <v>582.34999999999991</v>
      </c>
      <c r="R207" s="306">
        <f t="shared" ca="1" si="107"/>
        <v>0.29225433231148912</v>
      </c>
      <c r="S207" s="307">
        <f t="shared" ca="1" si="108"/>
        <v>8.4356270243445053</v>
      </c>
      <c r="T207" s="304">
        <f t="shared" ca="1" si="88"/>
        <v>82.753501108819606</v>
      </c>
      <c r="U207" s="311">
        <f t="shared" ca="1" si="89"/>
        <v>0</v>
      </c>
      <c r="V207" s="306">
        <f t="shared" ca="1" si="90"/>
        <v>1.206827822847262</v>
      </c>
      <c r="W207" s="304">
        <f t="shared" ca="1" si="91"/>
        <v>78.27896400512499</v>
      </c>
      <c r="Y207" s="314" t="str">
        <f t="shared" ca="1" si="109"/>
        <v/>
      </c>
      <c r="Z207" s="315" t="str">
        <f t="shared" ca="1" si="110"/>
        <v/>
      </c>
      <c r="AA207" s="316" t="str">
        <f t="shared" ca="1" si="111"/>
        <v/>
      </c>
      <c r="AC207" s="310" t="e">
        <f t="shared" ca="1" si="112"/>
        <v>#N/A</v>
      </c>
      <c r="AD207" s="323" t="e">
        <f t="shared" ca="1" si="113"/>
        <v>#N/A</v>
      </c>
      <c r="AE207" s="324">
        <f t="shared" ca="1" si="92"/>
        <v>149.45282706290755</v>
      </c>
      <c r="AG207" s="306">
        <f t="shared" ca="1" si="114"/>
        <v>50.243588995035942</v>
      </c>
      <c r="AH207" s="304">
        <f t="shared" ca="1" si="115"/>
        <v>59.820183133488136</v>
      </c>
    </row>
    <row r="208" spans="1:34" x14ac:dyDescent="0.2">
      <c r="A208" s="347">
        <f t="shared" ca="1" si="93"/>
        <v>0.01</v>
      </c>
      <c r="B208" s="304">
        <f t="shared" ca="1" si="94"/>
        <v>2.0400000000000005</v>
      </c>
      <c r="D208" s="306">
        <f t="shared" ca="1" si="95"/>
        <v>12.932994279533974</v>
      </c>
      <c r="E208" s="307">
        <f t="shared" ca="1" si="96"/>
        <v>48.372474479160132</v>
      </c>
      <c r="F208" s="304">
        <f t="shared" ca="1" si="97"/>
        <v>50.071535109994947</v>
      </c>
      <c r="G208" s="306">
        <f t="shared" ca="1" si="98"/>
        <v>30.535896604030146</v>
      </c>
      <c r="H208" s="307">
        <f t="shared" ca="1" si="99"/>
        <v>137.27565788325765</v>
      </c>
      <c r="I208" s="304">
        <f t="shared" ca="1" si="100"/>
        <v>140.63089002311412</v>
      </c>
      <c r="J208" s="306">
        <f t="shared" ca="1" si="101"/>
        <v>31.408277959051979</v>
      </c>
      <c r="K208" s="307">
        <f t="shared" ca="1" si="102"/>
        <v>150.82316501801617</v>
      </c>
      <c r="L208" s="304">
        <f t="shared" ca="1" si="87"/>
        <v>154.05877784275975</v>
      </c>
      <c r="M208" s="306">
        <f t="shared" ca="1" si="103"/>
        <v>1.3519177838387773</v>
      </c>
      <c r="N208" s="304">
        <f t="shared" ca="1" si="104"/>
        <v>77.459183262641474</v>
      </c>
      <c r="P208" s="310">
        <f t="shared" ca="1" si="105"/>
        <v>6</v>
      </c>
      <c r="Q208" s="304">
        <f t="shared" ca="1" si="106"/>
        <v>580.88999999999987</v>
      </c>
      <c r="R208" s="306">
        <f t="shared" ca="1" si="107"/>
        <v>0.29152162633540124</v>
      </c>
      <c r="S208" s="307">
        <f t="shared" ca="1" si="108"/>
        <v>8.4327118080811516</v>
      </c>
      <c r="T208" s="304">
        <f t="shared" ca="1" si="88"/>
        <v>82.724902837276105</v>
      </c>
      <c r="U208" s="311">
        <f t="shared" ca="1" si="89"/>
        <v>0</v>
      </c>
      <c r="V208" s="306">
        <f t="shared" ca="1" si="90"/>
        <v>1.206662448661868</v>
      </c>
      <c r="W208" s="304">
        <f t="shared" ca="1" si="91"/>
        <v>78.82806771763191</v>
      </c>
      <c r="Y208" s="314" t="str">
        <f t="shared" ca="1" si="109"/>
        <v/>
      </c>
      <c r="Z208" s="315" t="str">
        <f t="shared" ca="1" si="110"/>
        <v/>
      </c>
      <c r="AA208" s="316" t="str">
        <f t="shared" ca="1" si="111"/>
        <v/>
      </c>
      <c r="AC208" s="310" t="e">
        <f t="shared" ca="1" si="112"/>
        <v>#N/A</v>
      </c>
      <c r="AD208" s="323" t="e">
        <f t="shared" ca="1" si="113"/>
        <v>#N/A</v>
      </c>
      <c r="AE208" s="324">
        <f t="shared" ca="1" si="92"/>
        <v>150.82316501801617</v>
      </c>
      <c r="AG208" s="306">
        <f t="shared" ca="1" si="114"/>
        <v>50.026268068058862</v>
      </c>
      <c r="AH208" s="304">
        <f t="shared" ca="1" si="115"/>
        <v>59.602539187123384</v>
      </c>
    </row>
    <row r="209" spans="1:34" x14ac:dyDescent="0.2">
      <c r="A209" s="347">
        <f t="shared" ca="1" si="93"/>
        <v>0.01</v>
      </c>
      <c r="B209" s="304">
        <f t="shared" ca="1" si="94"/>
        <v>2.0500000000000003</v>
      </c>
      <c r="D209" s="306">
        <f t="shared" ca="1" si="95"/>
        <v>12.894514647495237</v>
      </c>
      <c r="E209" s="307">
        <f t="shared" ca="1" si="96"/>
        <v>48.15793866162722</v>
      </c>
      <c r="F209" s="304">
        <f t="shared" ca="1" si="97"/>
        <v>49.854343483106049</v>
      </c>
      <c r="G209" s="306">
        <f t="shared" ca="1" si="98"/>
        <v>30.664841750505097</v>
      </c>
      <c r="H209" s="307">
        <f t="shared" ca="1" si="99"/>
        <v>137.75723726987391</v>
      </c>
      <c r="I209" s="304">
        <f t="shared" ca="1" si="100"/>
        <v>141.12897980149882</v>
      </c>
      <c r="J209" s="306">
        <f t="shared" ca="1" si="101"/>
        <v>31.714281650824656</v>
      </c>
      <c r="K209" s="307">
        <f t="shared" ca="1" si="102"/>
        <v>152.19832949378184</v>
      </c>
      <c r="L209" s="304">
        <f t="shared" ca="1" si="87"/>
        <v>155.46744727217211</v>
      </c>
      <c r="M209" s="306">
        <f t="shared" ca="1" si="103"/>
        <v>1.3517668513414272</v>
      </c>
      <c r="N209" s="304">
        <f t="shared" ca="1" si="104"/>
        <v>77.450535467551944</v>
      </c>
      <c r="P209" s="310">
        <f t="shared" ca="1" si="105"/>
        <v>6</v>
      </c>
      <c r="Q209" s="304">
        <f t="shared" ca="1" si="106"/>
        <v>579.42999999999995</v>
      </c>
      <c r="R209" s="306">
        <f t="shared" ca="1" si="107"/>
        <v>0.29078892035931336</v>
      </c>
      <c r="S209" s="307">
        <f t="shared" ca="1" si="108"/>
        <v>8.4298039188775586</v>
      </c>
      <c r="T209" s="304">
        <f t="shared" ca="1" si="88"/>
        <v>82.696376444188857</v>
      </c>
      <c r="U209" s="311">
        <f t="shared" ca="1" si="89"/>
        <v>0</v>
      </c>
      <c r="V209" s="306">
        <f t="shared" ca="1" si="90"/>
        <v>1.2064965146152802</v>
      </c>
      <c r="W209" s="304">
        <f t="shared" ca="1" si="91"/>
        <v>79.376529812966368</v>
      </c>
      <c r="Y209" s="314" t="str">
        <f t="shared" ca="1" si="109"/>
        <v/>
      </c>
      <c r="Z209" s="315" t="str">
        <f t="shared" ca="1" si="110"/>
        <v/>
      </c>
      <c r="AA209" s="316" t="str">
        <f t="shared" ca="1" si="111"/>
        <v/>
      </c>
      <c r="AC209" s="310" t="e">
        <f t="shared" ca="1" si="112"/>
        <v>#N/A</v>
      </c>
      <c r="AD209" s="323" t="e">
        <f t="shared" ca="1" si="113"/>
        <v>#N/A</v>
      </c>
      <c r="AE209" s="324">
        <f t="shared" ca="1" si="92"/>
        <v>152.19832949378184</v>
      </c>
      <c r="AG209" s="306">
        <f t="shared" ca="1" si="114"/>
        <v>49.808817088196093</v>
      </c>
      <c r="AH209" s="304">
        <f t="shared" ca="1" si="115"/>
        <v>59.384765897262284</v>
      </c>
    </row>
    <row r="210" spans="1:34" x14ac:dyDescent="0.2">
      <c r="A210" s="347">
        <f t="shared" ca="1" si="93"/>
        <v>0.01</v>
      </c>
      <c r="B210" s="304">
        <f t="shared" ca="1" si="94"/>
        <v>2.06</v>
      </c>
      <c r="D210" s="306">
        <f t="shared" ca="1" si="95"/>
        <v>12.855918155071087</v>
      </c>
      <c r="E210" s="307">
        <f t="shared" ca="1" si="96"/>
        <v>47.943298778430396</v>
      </c>
      <c r="F210" s="304">
        <f t="shared" ca="1" si="97"/>
        <v>49.637027805537791</v>
      </c>
      <c r="G210" s="306">
        <f t="shared" ca="1" si="98"/>
        <v>30.793400932055807</v>
      </c>
      <c r="H210" s="307">
        <f t="shared" ca="1" si="99"/>
        <v>138.2366702576582</v>
      </c>
      <c r="I210" s="304">
        <f t="shared" ca="1" si="100"/>
        <v>141.62489380362075</v>
      </c>
      <c r="J210" s="306">
        <f t="shared" ca="1" si="101"/>
        <v>32.021572864237463</v>
      </c>
      <c r="K210" s="307">
        <f t="shared" ca="1" si="102"/>
        <v>153.5782990314195</v>
      </c>
      <c r="L210" s="304">
        <f t="shared" ca="1" si="87"/>
        <v>156.88108573720345</v>
      </c>
      <c r="M210" s="306">
        <f t="shared" ca="1" si="103"/>
        <v>1.3516163452985059</v>
      </c>
      <c r="N210" s="304">
        <f t="shared" ca="1" si="104"/>
        <v>77.441912106501334</v>
      </c>
      <c r="P210" s="310">
        <f t="shared" ca="1" si="105"/>
        <v>6</v>
      </c>
      <c r="Q210" s="304">
        <f t="shared" ca="1" si="106"/>
        <v>577.97</v>
      </c>
      <c r="R210" s="306">
        <f t="shared" ca="1" si="107"/>
        <v>0.29005621438322554</v>
      </c>
      <c r="S210" s="307">
        <f t="shared" ca="1" si="108"/>
        <v>8.4269033567337264</v>
      </c>
      <c r="T210" s="304">
        <f t="shared" ca="1" si="88"/>
        <v>82.667921929557863</v>
      </c>
      <c r="U210" s="311">
        <f t="shared" ca="1" si="89"/>
        <v>0</v>
      </c>
      <c r="V210" s="306">
        <f t="shared" ca="1" si="90"/>
        <v>1.2063300235301115</v>
      </c>
      <c r="W210" s="304">
        <f t="shared" ca="1" si="91"/>
        <v>79.924322564979704</v>
      </c>
      <c r="Y210" s="314" t="str">
        <f t="shared" ca="1" si="109"/>
        <v/>
      </c>
      <c r="Z210" s="315" t="str">
        <f t="shared" ca="1" si="110"/>
        <v/>
      </c>
      <c r="AA210" s="316" t="str">
        <f t="shared" ca="1" si="111"/>
        <v/>
      </c>
      <c r="AC210" s="310" t="e">
        <f t="shared" ca="1" si="112"/>
        <v>#N/A</v>
      </c>
      <c r="AD210" s="323" t="e">
        <f t="shared" ca="1" si="113"/>
        <v>#N/A</v>
      </c>
      <c r="AE210" s="324">
        <f t="shared" ca="1" si="92"/>
        <v>153.5782990314195</v>
      </c>
      <c r="AG210" s="306">
        <f t="shared" ca="1" si="114"/>
        <v>49.591239807354334</v>
      </c>
      <c r="AH210" s="304">
        <f t="shared" ca="1" si="115"/>
        <v>59.16686700680151</v>
      </c>
    </row>
    <row r="211" spans="1:34" x14ac:dyDescent="0.2">
      <c r="A211" s="347">
        <f t="shared" ca="1" si="93"/>
        <v>0.01</v>
      </c>
      <c r="B211" s="304">
        <f t="shared" ca="1" si="94"/>
        <v>2.0699999999999998</v>
      </c>
      <c r="D211" s="306">
        <f t="shared" ca="1" si="95"/>
        <v>12.81720612937656</v>
      </c>
      <c r="E211" s="307">
        <f t="shared" ca="1" si="96"/>
        <v>47.728558382702658</v>
      </c>
      <c r="F211" s="304">
        <f t="shared" ca="1" si="97"/>
        <v>49.419591846290921</v>
      </c>
      <c r="G211" s="306">
        <f t="shared" ca="1" si="98"/>
        <v>30.921572993349571</v>
      </c>
      <c r="H211" s="307">
        <f t="shared" ca="1" si="99"/>
        <v>138.71395584148524</v>
      </c>
      <c r="I211" s="304">
        <f t="shared" ca="1" si="100"/>
        <v>142.11863080390469</v>
      </c>
      <c r="J211" s="306">
        <f t="shared" ca="1" si="101"/>
        <v>32.330147733864493</v>
      </c>
      <c r="K211" s="307">
        <f t="shared" ca="1" si="102"/>
        <v>154.96305216191521</v>
      </c>
      <c r="L211" s="304">
        <f t="shared" ca="1" si="87"/>
        <v>158.29967147101084</v>
      </c>
      <c r="M211" s="306">
        <f t="shared" ca="1" si="103"/>
        <v>1.3514662607256347</v>
      </c>
      <c r="N211" s="304">
        <f t="shared" ca="1" si="104"/>
        <v>77.433312893905793</v>
      </c>
      <c r="P211" s="310">
        <f t="shared" ca="1" si="105"/>
        <v>6</v>
      </c>
      <c r="Q211" s="304">
        <f t="shared" ca="1" si="106"/>
        <v>576.51</v>
      </c>
      <c r="R211" s="306">
        <f t="shared" ca="1" si="107"/>
        <v>0.28932350840713766</v>
      </c>
      <c r="S211" s="307">
        <f t="shared" ca="1" si="108"/>
        <v>8.4240101216496548</v>
      </c>
      <c r="T211" s="304">
        <f t="shared" ca="1" si="88"/>
        <v>82.639539293383123</v>
      </c>
      <c r="U211" s="311">
        <f t="shared" ca="1" si="89"/>
        <v>0</v>
      </c>
      <c r="V211" s="306">
        <f t="shared" ca="1" si="90"/>
        <v>1.2061629782295251</v>
      </c>
      <c r="W211" s="304">
        <f t="shared" ca="1" si="91"/>
        <v>80.471418404677593</v>
      </c>
      <c r="Y211" s="314" t="str">
        <f t="shared" ca="1" si="109"/>
        <v/>
      </c>
      <c r="Z211" s="315" t="str">
        <f t="shared" ca="1" si="110"/>
        <v/>
      </c>
      <c r="AA211" s="316" t="str">
        <f t="shared" ca="1" si="111"/>
        <v/>
      </c>
      <c r="AC211" s="310" t="e">
        <f t="shared" ca="1" si="112"/>
        <v>#N/A</v>
      </c>
      <c r="AD211" s="323" t="e">
        <f t="shared" ca="1" si="113"/>
        <v>#N/A</v>
      </c>
      <c r="AE211" s="324">
        <f t="shared" ca="1" si="92"/>
        <v>154.96305216191521</v>
      </c>
      <c r="AG211" s="306">
        <f t="shared" ca="1" si="114"/>
        <v>49.373539964589057</v>
      </c>
      <c r="AH211" s="304">
        <f t="shared" ca="1" si="115"/>
        <v>58.948846245898743</v>
      </c>
    </row>
    <row r="212" spans="1:34" x14ac:dyDescent="0.2">
      <c r="A212" s="347">
        <f t="shared" ca="1" si="93"/>
        <v>0.01</v>
      </c>
      <c r="B212" s="304">
        <f t="shared" ca="1" si="94"/>
        <v>2.0799999999999996</v>
      </c>
      <c r="D212" s="306">
        <f t="shared" ca="1" si="95"/>
        <v>12.778379888965199</v>
      </c>
      <c r="E212" s="307">
        <f t="shared" ca="1" si="96"/>
        <v>47.513721015902661</v>
      </c>
      <c r="F212" s="304">
        <f t="shared" ca="1" si="97"/>
        <v>49.202039361836825</v>
      </c>
      <c r="G212" s="306">
        <f t="shared" ca="1" si="98"/>
        <v>31.049356792239223</v>
      </c>
      <c r="H212" s="307">
        <f t="shared" ca="1" si="99"/>
        <v>139.18909305164428</v>
      </c>
      <c r="I212" s="304">
        <f t="shared" ca="1" si="100"/>
        <v>142.61018961403516</v>
      </c>
      <c r="J212" s="306">
        <f t="shared" ca="1" si="101"/>
        <v>32.640002382792439</v>
      </c>
      <c r="K212" s="307">
        <f t="shared" ca="1" si="102"/>
        <v>156.35256740638087</v>
      </c>
      <c r="L212" s="304">
        <f t="shared" ca="1" si="87"/>
        <v>159.723182694672</v>
      </c>
      <c r="M212" s="306">
        <f t="shared" ca="1" si="103"/>
        <v>1.3513165927048865</v>
      </c>
      <c r="N212" s="304">
        <f t="shared" ca="1" si="104"/>
        <v>77.42473754798884</v>
      </c>
      <c r="P212" s="310">
        <f t="shared" ca="1" si="105"/>
        <v>6</v>
      </c>
      <c r="Q212" s="304">
        <f t="shared" ca="1" si="106"/>
        <v>575.05000000000007</v>
      </c>
      <c r="R212" s="306">
        <f t="shared" ca="1" si="107"/>
        <v>0.28859080243104984</v>
      </c>
      <c r="S212" s="307">
        <f t="shared" ca="1" si="108"/>
        <v>8.4211242136253439</v>
      </c>
      <c r="T212" s="304">
        <f t="shared" ca="1" si="88"/>
        <v>82.611228535664623</v>
      </c>
      <c r="U212" s="311">
        <f t="shared" ca="1" si="89"/>
        <v>0</v>
      </c>
      <c r="V212" s="306">
        <f t="shared" ca="1" si="90"/>
        <v>1.2059953815371802</v>
      </c>
      <c r="W212" s="304">
        <f t="shared" ca="1" si="91"/>
        <v>81.017789921040901</v>
      </c>
      <c r="Y212" s="314" t="str">
        <f t="shared" ca="1" si="109"/>
        <v/>
      </c>
      <c r="Z212" s="315" t="str">
        <f t="shared" ca="1" si="110"/>
        <v/>
      </c>
      <c r="AA212" s="316" t="str">
        <f t="shared" ca="1" si="111"/>
        <v/>
      </c>
      <c r="AC212" s="310" t="e">
        <f t="shared" ca="1" si="112"/>
        <v>#N/A</v>
      </c>
      <c r="AD212" s="323" t="e">
        <f t="shared" ca="1" si="113"/>
        <v>#N/A</v>
      </c>
      <c r="AE212" s="324">
        <f t="shared" ca="1" si="92"/>
        <v>156.35256740638087</v>
      </c>
      <c r="AG212" s="306">
        <f t="shared" ca="1" si="114"/>
        <v>49.155721285952758</v>
      </c>
      <c r="AH212" s="304">
        <f t="shared" ca="1" si="115"/>
        <v>58.730707331818763</v>
      </c>
    </row>
    <row r="213" spans="1:34" x14ac:dyDescent="0.2">
      <c r="A213" s="347">
        <f t="shared" ca="1" si="93"/>
        <v>0.01</v>
      </c>
      <c r="B213" s="304">
        <f t="shared" ca="1" si="94"/>
        <v>2.0899999999999994</v>
      </c>
      <c r="D213" s="306">
        <f t="shared" ca="1" si="95"/>
        <v>12.739440743912768</v>
      </c>
      <c r="E213" s="307">
        <f t="shared" ca="1" si="96"/>
        <v>47.29879020764745</v>
      </c>
      <c r="F213" s="304">
        <f t="shared" ca="1" si="97"/>
        <v>48.984374095977905</v>
      </c>
      <c r="G213" s="306">
        <f t="shared" ca="1" si="98"/>
        <v>31.17675119967835</v>
      </c>
      <c r="H213" s="307">
        <f t="shared" ca="1" si="99"/>
        <v>139.66208095372076</v>
      </c>
      <c r="I213" s="304">
        <f t="shared" ca="1" si="100"/>
        <v>143.09956908282533</v>
      </c>
      <c r="J213" s="306">
        <f t="shared" ca="1" si="101"/>
        <v>32.951132922752024</v>
      </c>
      <c r="K213" s="307">
        <f t="shared" ca="1" si="102"/>
        <v>157.7468232764077</v>
      </c>
      <c r="L213" s="304">
        <f t="shared" ca="1" si="87"/>
        <v>161.1515976175572</v>
      </c>
      <c r="M213" s="306">
        <f t="shared" ca="1" si="103"/>
        <v>1.3511673363835182</v>
      </c>
      <c r="N213" s="304">
        <f t="shared" ca="1" si="104"/>
        <v>77.416185790708795</v>
      </c>
      <c r="P213" s="310">
        <f t="shared" ca="1" si="105"/>
        <v>6</v>
      </c>
      <c r="Q213" s="304">
        <f t="shared" ca="1" si="106"/>
        <v>573.59</v>
      </c>
      <c r="R213" s="306">
        <f t="shared" ca="1" si="107"/>
        <v>0.28785809645496191</v>
      </c>
      <c r="S213" s="307">
        <f t="shared" ca="1" si="108"/>
        <v>8.4182456326607937</v>
      </c>
      <c r="T213" s="304">
        <f t="shared" ca="1" si="88"/>
        <v>82.58298965640239</v>
      </c>
      <c r="U213" s="311">
        <f t="shared" ca="1" si="89"/>
        <v>0</v>
      </c>
      <c r="V213" s="306">
        <f t="shared" ca="1" si="90"/>
        <v>1.2058272362771754</v>
      </c>
      <c r="W213" s="304">
        <f t="shared" ca="1" si="91"/>
        <v>81.563409861829882</v>
      </c>
      <c r="Y213" s="314" t="str">
        <f t="shared" ca="1" si="109"/>
        <v/>
      </c>
      <c r="Z213" s="315" t="str">
        <f t="shared" ca="1" si="110"/>
        <v/>
      </c>
      <c r="AA213" s="316" t="str">
        <f t="shared" ca="1" si="111"/>
        <v/>
      </c>
      <c r="AC213" s="310" t="e">
        <f t="shared" ca="1" si="112"/>
        <v>#N/A</v>
      </c>
      <c r="AD213" s="323" t="e">
        <f t="shared" ca="1" si="113"/>
        <v>#N/A</v>
      </c>
      <c r="AE213" s="324">
        <f t="shared" ca="1" si="92"/>
        <v>157.7468232764077</v>
      </c>
      <c r="AG213" s="306">
        <f t="shared" ca="1" si="114"/>
        <v>48.937787484344874</v>
      </c>
      <c r="AH213" s="304">
        <f t="shared" ca="1" si="115"/>
        <v>58.51245396878133</v>
      </c>
    </row>
    <row r="214" spans="1:34" x14ac:dyDescent="0.2">
      <c r="A214" s="347">
        <f t="shared" ca="1" si="93"/>
        <v>0.01</v>
      </c>
      <c r="B214" s="304">
        <f t="shared" ca="1" si="94"/>
        <v>2.0999999999999992</v>
      </c>
      <c r="D214" s="306">
        <f t="shared" ca="1" si="95"/>
        <v>12.70038999589851</v>
      </c>
      <c r="E214" s="307">
        <f t="shared" ca="1" si="96"/>
        <v>47.083769475547641</v>
      </c>
      <c r="F214" s="304">
        <f t="shared" ca="1" si="97"/>
        <v>48.766599779710198</v>
      </c>
      <c r="G214" s="306">
        <f t="shared" ca="1" si="98"/>
        <v>31.303755099637335</v>
      </c>
      <c r="H214" s="307">
        <f t="shared" ca="1" si="99"/>
        <v>140.13291864847625</v>
      </c>
      <c r="I214" s="304">
        <f t="shared" ca="1" si="100"/>
        <v>143.58676809608374</v>
      </c>
      <c r="J214" s="306">
        <f t="shared" ca="1" si="101"/>
        <v>33.263535454248604</v>
      </c>
      <c r="K214" s="307">
        <f t="shared" ca="1" si="102"/>
        <v>159.14579827441867</v>
      </c>
      <c r="L214" s="304">
        <f t="shared" ca="1" si="87"/>
        <v>162.58489443769989</v>
      </c>
      <c r="M214" s="306">
        <f t="shared" ca="1" si="103"/>
        <v>1.3510184869727351</v>
      </c>
      <c r="N214" s="304">
        <f t="shared" ca="1" si="104"/>
        <v>77.407657347687916</v>
      </c>
      <c r="P214" s="310">
        <f t="shared" ca="1" si="105"/>
        <v>6</v>
      </c>
      <c r="Q214" s="304">
        <f t="shared" ca="1" si="106"/>
        <v>572.13000000000011</v>
      </c>
      <c r="R214" s="306">
        <f t="shared" ca="1" si="107"/>
        <v>0.28712539047887409</v>
      </c>
      <c r="S214" s="307">
        <f t="shared" ca="1" si="108"/>
        <v>8.4153743787560042</v>
      </c>
      <c r="T214" s="304">
        <f t="shared" ca="1" si="88"/>
        <v>82.554822655596411</v>
      </c>
      <c r="U214" s="311">
        <f t="shared" ca="1" si="89"/>
        <v>0</v>
      </c>
      <c r="V214" s="306">
        <f t="shared" ca="1" si="90"/>
        <v>1.2056585452739919</v>
      </c>
      <c r="W214" s="304">
        <f t="shared" ca="1" si="91"/>
        <v>82.108251134370121</v>
      </c>
      <c r="Y214" s="314" t="str">
        <f t="shared" ca="1" si="109"/>
        <v/>
      </c>
      <c r="Z214" s="315" t="str">
        <f t="shared" ca="1" si="110"/>
        <v/>
      </c>
      <c r="AA214" s="316" t="str">
        <f t="shared" ca="1" si="111"/>
        <v/>
      </c>
      <c r="AC214" s="310" t="e">
        <f t="shared" ca="1" si="112"/>
        <v>#N/A</v>
      </c>
      <c r="AD214" s="323" t="e">
        <f t="shared" ca="1" si="113"/>
        <v>#N/A</v>
      </c>
      <c r="AE214" s="324">
        <f t="shared" ca="1" si="92"/>
        <v>159.14579827441867</v>
      </c>
      <c r="AG214" s="306">
        <f t="shared" ca="1" si="114"/>
        <v>48.719742259363791</v>
      </c>
      <c r="AH214" s="304">
        <f t="shared" ca="1" si="115"/>
        <v>58.294089847811122</v>
      </c>
    </row>
    <row r="215" spans="1:34" x14ac:dyDescent="0.2">
      <c r="A215" s="347">
        <f t="shared" ca="1" si="93"/>
        <v>0.01</v>
      </c>
      <c r="B215" s="304">
        <f t="shared" ca="1" si="94"/>
        <v>2.109999999999999</v>
      </c>
      <c r="D215" s="306">
        <f t="shared" ca="1" si="95"/>
        <v>12.66122893828372</v>
      </c>
      <c r="E215" s="307">
        <f t="shared" ca="1" si="96"/>
        <v>46.868662325044852</v>
      </c>
      <c r="F215" s="304">
        <f t="shared" ca="1" si="97"/>
        <v>48.548720131088032</v>
      </c>
      <c r="G215" s="306">
        <f t="shared" ca="1" si="98"/>
        <v>31.430367389020173</v>
      </c>
      <c r="H215" s="307">
        <f t="shared" ca="1" si="99"/>
        <v>140.6016052717267</v>
      </c>
      <c r="I215" s="304">
        <f t="shared" ca="1" si="100"/>
        <v>144.07178557647998</v>
      </c>
      <c r="J215" s="306">
        <f t="shared" ca="1" si="101"/>
        <v>33.577206066691893</v>
      </c>
      <c r="K215" s="307">
        <f t="shared" ca="1" si="102"/>
        <v>160.54947089401969</v>
      </c>
      <c r="L215" s="304">
        <f t="shared" ca="1" si="87"/>
        <v>164.02305134216584</v>
      </c>
      <c r="M215" s="306">
        <f t="shared" ca="1" si="103"/>
        <v>1.3508700397464823</v>
      </c>
      <c r="N215" s="304">
        <f t="shared" ca="1" si="104"/>
        <v>77.399151948143199</v>
      </c>
      <c r="P215" s="310">
        <f t="shared" ca="1" si="105"/>
        <v>6</v>
      </c>
      <c r="Q215" s="304">
        <f t="shared" ca="1" si="106"/>
        <v>570.67000000000019</v>
      </c>
      <c r="R215" s="306">
        <f t="shared" ca="1" si="107"/>
        <v>0.28639268450278627</v>
      </c>
      <c r="S215" s="307">
        <f t="shared" ca="1" si="108"/>
        <v>8.4125104519109772</v>
      </c>
      <c r="T215" s="304">
        <f t="shared" ca="1" si="88"/>
        <v>82.526727533246685</v>
      </c>
      <c r="U215" s="311">
        <f t="shared" ca="1" si="89"/>
        <v>0</v>
      </c>
      <c r="V215" s="306">
        <f t="shared" ca="1" si="90"/>
        <v>1.2054893113524399</v>
      </c>
      <c r="W215" s="304">
        <f t="shared" ca="1" si="91"/>
        <v>82.652286806321882</v>
      </c>
      <c r="Y215" s="314" t="str">
        <f t="shared" ca="1" si="109"/>
        <v/>
      </c>
      <c r="Z215" s="315" t="str">
        <f t="shared" ca="1" si="110"/>
        <v/>
      </c>
      <c r="AA215" s="316" t="str">
        <f t="shared" ca="1" si="111"/>
        <v/>
      </c>
      <c r="AC215" s="310" t="e">
        <f t="shared" ca="1" si="112"/>
        <v>#N/A</v>
      </c>
      <c r="AD215" s="323" t="e">
        <f t="shared" ca="1" si="113"/>
        <v>#N/A</v>
      </c>
      <c r="AE215" s="324">
        <f t="shared" ca="1" si="92"/>
        <v>160.54947089401969</v>
      </c>
      <c r="AG215" s="306">
        <f t="shared" ca="1" si="114"/>
        <v>48.50158929716055</v>
      </c>
      <c r="AH215" s="304">
        <f t="shared" ca="1" si="115"/>
        <v>58.075618646589483</v>
      </c>
    </row>
    <row r="216" spans="1:34" x14ac:dyDescent="0.2">
      <c r="A216" s="347">
        <f t="shared" ca="1" si="93"/>
        <v>0.01</v>
      </c>
      <c r="B216" s="304">
        <f t="shared" ca="1" si="94"/>
        <v>2.1199999999999988</v>
      </c>
      <c r="D216" s="306">
        <f t="shared" ca="1" si="95"/>
        <v>12.621958856188014</v>
      </c>
      <c r="E216" s="307">
        <f t="shared" ca="1" si="96"/>
        <v>46.653472249251557</v>
      </c>
      <c r="F216" s="304">
        <f t="shared" ca="1" si="97"/>
        <v>48.33073885509085</v>
      </c>
      <c r="G216" s="306">
        <f t="shared" ca="1" si="98"/>
        <v>31.556586977582054</v>
      </c>
      <c r="H216" s="307">
        <f t="shared" ca="1" si="99"/>
        <v>141.06813999421922</v>
      </c>
      <c r="I216" s="304">
        <f t="shared" ca="1" si="100"/>
        <v>144.55462048340874</v>
      </c>
      <c r="J216" s="306">
        <f t="shared" ca="1" si="101"/>
        <v>33.892140838524902</v>
      </c>
      <c r="K216" s="307">
        <f t="shared" ca="1" si="102"/>
        <v>161.95781962034943</v>
      </c>
      <c r="L216" s="304">
        <f t="shared" ca="1" si="87"/>
        <v>165.46604650742111</v>
      </c>
      <c r="M216" s="306">
        <f t="shared" ca="1" si="103"/>
        <v>1.3507219900402643</v>
      </c>
      <c r="N216" s="304">
        <f t="shared" ca="1" si="104"/>
        <v>77.390669324818759</v>
      </c>
      <c r="P216" s="310">
        <f t="shared" ca="1" si="105"/>
        <v>6</v>
      </c>
      <c r="Q216" s="304">
        <f t="shared" ca="1" si="106"/>
        <v>569.21000000000015</v>
      </c>
      <c r="R216" s="306">
        <f t="shared" ca="1" si="107"/>
        <v>0.28565997852669833</v>
      </c>
      <c r="S216" s="307">
        <f t="shared" ca="1" si="108"/>
        <v>8.4096538521257109</v>
      </c>
      <c r="T216" s="304">
        <f t="shared" ca="1" si="88"/>
        <v>82.498704289353228</v>
      </c>
      <c r="U216" s="311">
        <f t="shared" ca="1" si="89"/>
        <v>0</v>
      </c>
      <c r="V216" s="306">
        <f t="shared" ca="1" si="90"/>
        <v>1.2053195373376031</v>
      </c>
      <c r="W216" s="304">
        <f t="shared" ca="1" si="91"/>
        <v>83.195490106431933</v>
      </c>
      <c r="Y216" s="314" t="str">
        <f t="shared" ca="1" si="109"/>
        <v/>
      </c>
      <c r="Z216" s="315" t="str">
        <f t="shared" ca="1" si="110"/>
        <v/>
      </c>
      <c r="AA216" s="316" t="str">
        <f t="shared" ca="1" si="111"/>
        <v/>
      </c>
      <c r="AC216" s="310" t="e">
        <f t="shared" ca="1" si="112"/>
        <v>#N/A</v>
      </c>
      <c r="AD216" s="323" t="e">
        <f t="shared" ca="1" si="113"/>
        <v>#N/A</v>
      </c>
      <c r="AE216" s="324">
        <f t="shared" ca="1" si="92"/>
        <v>161.95781962034943</v>
      </c>
      <c r="AG216" s="306">
        <f t="shared" ca="1" si="114"/>
        <v>48.283332270294522</v>
      </c>
      <c r="AH216" s="304">
        <f t="shared" ca="1" si="115"/>
        <v>57.85704402930817</v>
      </c>
    </row>
    <row r="217" spans="1:34" x14ac:dyDescent="0.2">
      <c r="A217" s="347">
        <f t="shared" ca="1" si="93"/>
        <v>0.01</v>
      </c>
      <c r="B217" s="304">
        <f t="shared" ca="1" si="94"/>
        <v>2.1299999999999986</v>
      </c>
      <c r="D217" s="306">
        <f t="shared" ca="1" si="95"/>
        <v>12.582581026563259</v>
      </c>
      <c r="E217" s="307">
        <f t="shared" ca="1" si="96"/>
        <v>46.438202728793264</v>
      </c>
      <c r="F217" s="304">
        <f t="shared" ca="1" si="97"/>
        <v>48.112659643492293</v>
      </c>
      <c r="G217" s="306">
        <f t="shared" ca="1" si="98"/>
        <v>31.682412787847685</v>
      </c>
      <c r="H217" s="307">
        <f t="shared" ca="1" si="99"/>
        <v>141.53252202150716</v>
      </c>
      <c r="I217" s="304">
        <f t="shared" ca="1" si="100"/>
        <v>145.03527181285241</v>
      </c>
      <c r="J217" s="306">
        <f t="shared" ca="1" si="101"/>
        <v>34.208335837352053</v>
      </c>
      <c r="K217" s="307">
        <f t="shared" ca="1" si="102"/>
        <v>163.37082293042806</v>
      </c>
      <c r="L217" s="304">
        <f t="shared" ca="1" si="87"/>
        <v>166.91385809969867</v>
      </c>
      <c r="M217" s="306">
        <f t="shared" ca="1" si="103"/>
        <v>1.3505743332499915</v>
      </c>
      <c r="N217" s="304">
        <f t="shared" ca="1" si="104"/>
        <v>77.38220921391968</v>
      </c>
      <c r="P217" s="310">
        <f t="shared" ca="1" si="105"/>
        <v>6</v>
      </c>
      <c r="Q217" s="304">
        <f t="shared" ca="1" si="106"/>
        <v>567.75000000000023</v>
      </c>
      <c r="R217" s="306">
        <f t="shared" ca="1" si="107"/>
        <v>0.28492727255061051</v>
      </c>
      <c r="S217" s="307">
        <f t="shared" ca="1" si="108"/>
        <v>8.4068045794002053</v>
      </c>
      <c r="T217" s="304">
        <f t="shared" ca="1" si="88"/>
        <v>82.470752923916024</v>
      </c>
      <c r="U217" s="311">
        <f t="shared" ca="1" si="89"/>
        <v>0</v>
      </c>
      <c r="V217" s="306">
        <f t="shared" ca="1" si="90"/>
        <v>1.2051492260547845</v>
      </c>
      <c r="W217" s="304">
        <f t="shared" ca="1" si="91"/>
        <v>83.737834425268062</v>
      </c>
      <c r="Y217" s="314" t="str">
        <f t="shared" ca="1" si="109"/>
        <v/>
      </c>
      <c r="Z217" s="315" t="str">
        <f t="shared" ca="1" si="110"/>
        <v/>
      </c>
      <c r="AA217" s="316" t="str">
        <f t="shared" ca="1" si="111"/>
        <v/>
      </c>
      <c r="AC217" s="310" t="e">
        <f t="shared" ca="1" si="112"/>
        <v>#N/A</v>
      </c>
      <c r="AD217" s="323" t="e">
        <f t="shared" ca="1" si="113"/>
        <v>#N/A</v>
      </c>
      <c r="AE217" s="324">
        <f t="shared" ca="1" si="92"/>
        <v>163.37082293042806</v>
      </c>
      <c r="AG217" s="306">
        <f t="shared" ca="1" si="114"/>
        <v>48.064974837591009</v>
      </c>
      <c r="AH217" s="304">
        <f t="shared" ca="1" si="115"/>
        <v>57.638369646525014</v>
      </c>
    </row>
    <row r="218" spans="1:34" x14ac:dyDescent="0.2">
      <c r="A218" s="347">
        <f t="shared" ca="1" si="93"/>
        <v>0.01</v>
      </c>
      <c r="B218" s="304">
        <f t="shared" ca="1" si="94"/>
        <v>2.1399999999999983</v>
      </c>
      <c r="D218" s="306">
        <f t="shared" ca="1" si="95"/>
        <v>12.543096718265211</v>
      </c>
      <c r="E218" s="307">
        <f t="shared" ca="1" si="96"/>
        <v>46.222857231652981</v>
      </c>
      <c r="F218" s="304">
        <f t="shared" ca="1" si="97"/>
        <v>47.89448617473132</v>
      </c>
      <c r="G218" s="306">
        <f t="shared" ca="1" si="98"/>
        <v>31.807843755030337</v>
      </c>
      <c r="H218" s="307">
        <f t="shared" ca="1" si="99"/>
        <v>141.99475059382368</v>
      </c>
      <c r="I218" s="304">
        <f t="shared" ca="1" si="100"/>
        <v>145.51373859724248</v>
      </c>
      <c r="J218" s="306">
        <f t="shared" ca="1" si="101"/>
        <v>34.52578712006644</v>
      </c>
      <c r="K218" s="307">
        <f t="shared" ca="1" si="102"/>
        <v>164.78845929350473</v>
      </c>
      <c r="L218" s="304">
        <f t="shared" ca="1" si="87"/>
        <v>168.36646427536337</v>
      </c>
      <c r="M218" s="306">
        <f t="shared" ca="1" si="103"/>
        <v>1.350427064830855</v>
      </c>
      <c r="N218" s="304">
        <f t="shared" ca="1" si="104"/>
        <v>77.373771355047595</v>
      </c>
      <c r="P218" s="310">
        <f t="shared" ca="1" si="105"/>
        <v>6</v>
      </c>
      <c r="Q218" s="304">
        <f t="shared" ca="1" si="106"/>
        <v>566.29000000000019</v>
      </c>
      <c r="R218" s="306">
        <f t="shared" ca="1" si="107"/>
        <v>0.28419456657452263</v>
      </c>
      <c r="S218" s="307">
        <f t="shared" ca="1" si="108"/>
        <v>8.4039626337344604</v>
      </c>
      <c r="T218" s="304">
        <f t="shared" ca="1" si="88"/>
        <v>82.442873436935059</v>
      </c>
      <c r="U218" s="311">
        <f t="shared" ca="1" si="89"/>
        <v>0</v>
      </c>
      <c r="V218" s="306">
        <f t="shared" ca="1" si="90"/>
        <v>1.2049783803294494</v>
      </c>
      <c r="W218" s="304">
        <f t="shared" ca="1" si="91"/>
        <v>84.279293315936414</v>
      </c>
      <c r="Y218" s="314" t="str">
        <f t="shared" ca="1" si="109"/>
        <v/>
      </c>
      <c r="Z218" s="315" t="str">
        <f t="shared" ca="1" si="110"/>
        <v/>
      </c>
      <c r="AA218" s="316" t="str">
        <f t="shared" ca="1" si="111"/>
        <v/>
      </c>
      <c r="AC218" s="310" t="e">
        <f t="shared" ca="1" si="112"/>
        <v>#N/A</v>
      </c>
      <c r="AD218" s="323" t="e">
        <f t="shared" ca="1" si="113"/>
        <v>#N/A</v>
      </c>
      <c r="AE218" s="324">
        <f t="shared" ca="1" si="92"/>
        <v>164.78845929350473</v>
      </c>
      <c r="AG218" s="306">
        <f t="shared" ca="1" si="114"/>
        <v>47.846520644000606</v>
      </c>
      <c r="AH218" s="304">
        <f t="shared" ca="1" si="115"/>
        <v>57.419599135021492</v>
      </c>
    </row>
    <row r="219" spans="1:34" x14ac:dyDescent="0.2">
      <c r="A219" s="347">
        <f t="shared" ca="1" si="93"/>
        <v>0.01</v>
      </c>
      <c r="B219" s="304">
        <f t="shared" ca="1" si="94"/>
        <v>2.1499999999999981</v>
      </c>
      <c r="D219" s="306">
        <f t="shared" ca="1" si="95"/>
        <v>12.503507192122965</v>
      </c>
      <c r="E219" s="307">
        <f t="shared" ca="1" si="96"/>
        <v>46.007439213018031</v>
      </c>
      <c r="F219" s="304">
        <f t="shared" ca="1" si="97"/>
        <v>47.676222113785606</v>
      </c>
      <c r="G219" s="306">
        <f t="shared" ca="1" si="98"/>
        <v>31.932878826951566</v>
      </c>
      <c r="H219" s="307">
        <f t="shared" ca="1" si="99"/>
        <v>142.45482498595385</v>
      </c>
      <c r="I219" s="304">
        <f t="shared" ca="1" si="100"/>
        <v>145.99001990531926</v>
      </c>
      <c r="J219" s="306">
        <f t="shared" ca="1" si="101"/>
        <v>34.844490732976347</v>
      </c>
      <c r="K219" s="307">
        <f t="shared" ca="1" si="102"/>
        <v>166.21070717140361</v>
      </c>
      <c r="L219" s="304">
        <f t="shared" ca="1" si="87"/>
        <v>169.82384318127581</v>
      </c>
      <c r="M219" s="306">
        <f t="shared" ca="1" si="103"/>
        <v>1.350280180296225</v>
      </c>
      <c r="N219" s="304">
        <f t="shared" ca="1" si="104"/>
        <v>77.365355491137549</v>
      </c>
      <c r="P219" s="310">
        <f t="shared" ca="1" si="105"/>
        <v>6</v>
      </c>
      <c r="Q219" s="304">
        <f t="shared" ca="1" si="106"/>
        <v>564.83000000000027</v>
      </c>
      <c r="R219" s="306">
        <f t="shared" ca="1" si="107"/>
        <v>0.28346186059843481</v>
      </c>
      <c r="S219" s="307">
        <f t="shared" ca="1" si="108"/>
        <v>8.4011280151284762</v>
      </c>
      <c r="T219" s="304">
        <f t="shared" ca="1" si="88"/>
        <v>82.415065828410349</v>
      </c>
      <c r="U219" s="311">
        <f t="shared" ca="1" si="89"/>
        <v>0</v>
      </c>
      <c r="V219" s="306">
        <f t="shared" ca="1" si="90"/>
        <v>1.2048070029871736</v>
      </c>
      <c r="W219" s="304">
        <f t="shared" ca="1" si="91"/>
        <v>84.819840494781872</v>
      </c>
      <c r="Y219" s="314" t="str">
        <f t="shared" ca="1" si="109"/>
        <v/>
      </c>
      <c r="Z219" s="315" t="str">
        <f t="shared" ca="1" si="110"/>
        <v/>
      </c>
      <c r="AA219" s="316" t="str">
        <f t="shared" ca="1" si="111"/>
        <v/>
      </c>
      <c r="AC219" s="310" t="e">
        <f t="shared" ca="1" si="112"/>
        <v>#N/A</v>
      </c>
      <c r="AD219" s="323" t="e">
        <f t="shared" ca="1" si="113"/>
        <v>#N/A</v>
      </c>
      <c r="AE219" s="324">
        <f t="shared" ca="1" si="92"/>
        <v>166.21070717140361</v>
      </c>
      <c r="AG219" s="306">
        <f t="shared" ca="1" si="114"/>
        <v>47.627973320460619</v>
      </c>
      <c r="AH219" s="304">
        <f t="shared" ca="1" si="115"/>
        <v>57.200736117662281</v>
      </c>
    </row>
    <row r="220" spans="1:34" x14ac:dyDescent="0.2">
      <c r="A220" s="347">
        <f t="shared" ca="1" si="93"/>
        <v>0.01</v>
      </c>
      <c r="B220" s="304">
        <f t="shared" ca="1" si="94"/>
        <v>2.1599999999999979</v>
      </c>
      <c r="D220" s="306">
        <f t="shared" ca="1" si="95"/>
        <v>12.463813701006284</v>
      </c>
      <c r="E220" s="307">
        <f t="shared" ca="1" si="96"/>
        <v>45.791952115129213</v>
      </c>
      <c r="F220" s="304">
        <f t="shared" ca="1" si="97"/>
        <v>47.457871112047144</v>
      </c>
      <c r="G220" s="306">
        <f t="shared" ca="1" si="98"/>
        <v>32.057516963961625</v>
      </c>
      <c r="H220" s="307">
        <f t="shared" ca="1" si="99"/>
        <v>142.91274450710515</v>
      </c>
      <c r="I220" s="304">
        <f t="shared" ca="1" si="100"/>
        <v>146.46411484199055</v>
      </c>
      <c r="J220" s="306">
        <f t="shared" ca="1" si="101"/>
        <v>35.16444271193091</v>
      </c>
      <c r="K220" s="307">
        <f t="shared" ca="1" si="102"/>
        <v>167.63754501886891</v>
      </c>
      <c r="L220" s="304">
        <f t="shared" ca="1" si="87"/>
        <v>171.28597295515465</v>
      </c>
      <c r="M220" s="306">
        <f t="shared" ca="1" si="103"/>
        <v>1.3501336752165749</v>
      </c>
      <c r="N220" s="304">
        <f t="shared" ca="1" si="104"/>
        <v>77.356961368396369</v>
      </c>
      <c r="P220" s="310">
        <f t="shared" ca="1" si="105"/>
        <v>6</v>
      </c>
      <c r="Q220" s="304">
        <f t="shared" ca="1" si="106"/>
        <v>563.37000000000035</v>
      </c>
      <c r="R220" s="306">
        <f t="shared" ca="1" si="107"/>
        <v>0.28272915462234693</v>
      </c>
      <c r="S220" s="307">
        <f t="shared" ca="1" si="108"/>
        <v>8.3983007235822527</v>
      </c>
      <c r="T220" s="304">
        <f t="shared" ca="1" si="88"/>
        <v>82.387330098341906</v>
      </c>
      <c r="U220" s="311">
        <f t="shared" ca="1" si="89"/>
        <v>0</v>
      </c>
      <c r="V220" s="306">
        <f t="shared" ca="1" si="90"/>
        <v>1.2046350968535895</v>
      </c>
      <c r="W220" s="304">
        <f t="shared" ca="1" si="91"/>
        <v>85.359449842071314</v>
      </c>
      <c r="Y220" s="314" t="str">
        <f t="shared" ca="1" si="109"/>
        <v/>
      </c>
      <c r="Z220" s="315" t="str">
        <f t="shared" ca="1" si="110"/>
        <v/>
      </c>
      <c r="AA220" s="316" t="str">
        <f t="shared" ca="1" si="111"/>
        <v/>
      </c>
      <c r="AC220" s="310" t="e">
        <f t="shared" ca="1" si="112"/>
        <v>#N/A</v>
      </c>
      <c r="AD220" s="323" t="e">
        <f t="shared" ca="1" si="113"/>
        <v>#N/A</v>
      </c>
      <c r="AE220" s="324">
        <f t="shared" ca="1" si="92"/>
        <v>167.63754501886891</v>
      </c>
      <c r="AG220" s="306">
        <f t="shared" ca="1" si="114"/>
        <v>47.409336483758239</v>
      </c>
      <c r="AH220" s="304">
        <f t="shared" ca="1" si="115"/>
        <v>56.981784203256694</v>
      </c>
    </row>
    <row r="221" spans="1:34" x14ac:dyDescent="0.2">
      <c r="A221" s="347">
        <f t="shared" ca="1" si="93"/>
        <v>0.01</v>
      </c>
      <c r="B221" s="304">
        <f t="shared" ca="1" si="94"/>
        <v>2.1699999999999977</v>
      </c>
      <c r="D221" s="306">
        <f t="shared" ca="1" si="95"/>
        <v>12.424017489890952</v>
      </c>
      <c r="E221" s="307">
        <f t="shared" ca="1" si="96"/>
        <v>45.576399367132105</v>
      </c>
      <c r="F221" s="304">
        <f t="shared" ca="1" si="97"/>
        <v>47.239436807199937</v>
      </c>
      <c r="G221" s="306">
        <f t="shared" ca="1" si="98"/>
        <v>32.181757138860533</v>
      </c>
      <c r="H221" s="307">
        <f t="shared" ca="1" si="99"/>
        <v>143.36850850077647</v>
      </c>
      <c r="I221" s="304">
        <f t="shared" ca="1" si="100"/>
        <v>146.9360225481887</v>
      </c>
      <c r="J221" s="306">
        <f t="shared" ca="1" si="101"/>
        <v>35.485639082445019</v>
      </c>
      <c r="K221" s="307">
        <f t="shared" ca="1" si="102"/>
        <v>169.06895128390832</v>
      </c>
      <c r="L221" s="304">
        <f t="shared" ca="1" si="87"/>
        <v>172.7528317259376</v>
      </c>
      <c r="M221" s="306">
        <f t="shared" ca="1" si="103"/>
        <v>1.3499875452184309</v>
      </c>
      <c r="N221" s="304">
        <f t="shared" ca="1" si="104"/>
        <v>77.348588736242462</v>
      </c>
      <c r="P221" s="310">
        <f t="shared" ca="1" si="105"/>
        <v>6</v>
      </c>
      <c r="Q221" s="304">
        <f t="shared" ca="1" si="106"/>
        <v>561.91000000000031</v>
      </c>
      <c r="R221" s="306">
        <f t="shared" ca="1" si="107"/>
        <v>0.28199644864625906</v>
      </c>
      <c r="S221" s="307">
        <f t="shared" ca="1" si="108"/>
        <v>8.3954807590957898</v>
      </c>
      <c r="T221" s="304">
        <f t="shared" ca="1" si="88"/>
        <v>82.359666246729702</v>
      </c>
      <c r="U221" s="311">
        <f t="shared" ca="1" si="89"/>
        <v>0</v>
      </c>
      <c r="V221" s="306">
        <f t="shared" ca="1" si="90"/>
        <v>1.2044626647543288</v>
      </c>
      <c r="W221" s="304">
        <f t="shared" ca="1" si="91"/>
        <v>85.898095402659465</v>
      </c>
      <c r="Y221" s="314" t="str">
        <f t="shared" ca="1" si="109"/>
        <v/>
      </c>
      <c r="Z221" s="315" t="str">
        <f t="shared" ca="1" si="110"/>
        <v/>
      </c>
      <c r="AA221" s="316" t="str">
        <f t="shared" ca="1" si="111"/>
        <v/>
      </c>
      <c r="AC221" s="310" t="e">
        <f t="shared" ca="1" si="112"/>
        <v>#N/A</v>
      </c>
      <c r="AD221" s="323" t="e">
        <f t="shared" ca="1" si="113"/>
        <v>#N/A</v>
      </c>
      <c r="AE221" s="324">
        <f t="shared" ca="1" si="92"/>
        <v>169.06895128390832</v>
      </c>
      <c r="AG221" s="306">
        <f t="shared" ca="1" si="114"/>
        <v>47.190613736395683</v>
      </c>
      <c r="AH221" s="304">
        <f t="shared" ca="1" si="115"/>
        <v>56.762746986422073</v>
      </c>
    </row>
    <row r="222" spans="1:34" x14ac:dyDescent="0.2">
      <c r="A222" s="347">
        <f t="shared" ca="1" si="93"/>
        <v>0.01</v>
      </c>
      <c r="B222" s="304">
        <f t="shared" ca="1" si="94"/>
        <v>2.1799999999999975</v>
      </c>
      <c r="D222" s="306">
        <f t="shared" ca="1" si="95"/>
        <v>12.38411979592205</v>
      </c>
      <c r="E222" s="307">
        <f t="shared" ca="1" si="96"/>
        <v>45.360784384930888</v>
      </c>
      <c r="F222" s="304">
        <f t="shared" ca="1" si="97"/>
        <v>47.020922823100129</v>
      </c>
      <c r="G222" s="306">
        <f t="shared" ca="1" si="98"/>
        <v>32.305598336819756</v>
      </c>
      <c r="H222" s="307">
        <f t="shared" ca="1" si="99"/>
        <v>143.82211634462578</v>
      </c>
      <c r="I222" s="304">
        <f t="shared" ca="1" si="100"/>
        <v>147.40574220072637</v>
      </c>
      <c r="J222" s="306">
        <f t="shared" ca="1" si="101"/>
        <v>35.808075859823418</v>
      </c>
      <c r="K222" s="307">
        <f t="shared" ca="1" si="102"/>
        <v>170.50490440813533</v>
      </c>
      <c r="L222" s="304">
        <f t="shared" ca="1" si="87"/>
        <v>174.22439761414083</v>
      </c>
      <c r="M222" s="306">
        <f t="shared" ca="1" si="103"/>
        <v>1.3498417859833427</v>
      </c>
      <c r="N222" s="304">
        <f t="shared" ca="1" si="104"/>
        <v>77.340237347246855</v>
      </c>
      <c r="P222" s="310">
        <f t="shared" ca="1" si="105"/>
        <v>6</v>
      </c>
      <c r="Q222" s="304">
        <f t="shared" ca="1" si="106"/>
        <v>560.45000000000039</v>
      </c>
      <c r="R222" s="306">
        <f t="shared" ca="1" si="107"/>
        <v>0.28126374267017124</v>
      </c>
      <c r="S222" s="307">
        <f t="shared" ca="1" si="108"/>
        <v>8.3926681216690877</v>
      </c>
      <c r="T222" s="304">
        <f t="shared" ca="1" si="88"/>
        <v>82.332074273573753</v>
      </c>
      <c r="U222" s="311">
        <f t="shared" ca="1" si="89"/>
        <v>0</v>
      </c>
      <c r="V222" s="306">
        <f t="shared" ca="1" si="90"/>
        <v>1.2042897095149743</v>
      </c>
      <c r="W222" s="304">
        <f t="shared" ca="1" si="91"/>
        <v>86.435751386638131</v>
      </c>
      <c r="Y222" s="314" t="str">
        <f t="shared" ca="1" si="109"/>
        <v/>
      </c>
      <c r="Z222" s="315" t="str">
        <f t="shared" ca="1" si="110"/>
        <v/>
      </c>
      <c r="AA222" s="316" t="str">
        <f t="shared" ca="1" si="111"/>
        <v/>
      </c>
      <c r="AC222" s="310" t="e">
        <f t="shared" ca="1" si="112"/>
        <v>#N/A</v>
      </c>
      <c r="AD222" s="323" t="e">
        <f t="shared" ca="1" si="113"/>
        <v>#N/A</v>
      </c>
      <c r="AE222" s="324">
        <f t="shared" ca="1" si="92"/>
        <v>170.50490440813533</v>
      </c>
      <c r="AG222" s="306">
        <f t="shared" ca="1" si="114"/>
        <v>46.971808666457278</v>
      </c>
      <c r="AH222" s="304">
        <f t="shared" ca="1" si="115"/>
        <v>56.543628047449189</v>
      </c>
    </row>
    <row r="223" spans="1:34" x14ac:dyDescent="0.2">
      <c r="A223" s="347">
        <f t="shared" ca="1" si="93"/>
        <v>0.01</v>
      </c>
      <c r="B223" s="304">
        <f t="shared" ca="1" si="94"/>
        <v>2.1899999999999973</v>
      </c>
      <c r="D223" s="306">
        <f t="shared" ca="1" si="95"/>
        <v>12.344121848475448</v>
      </c>
      <c r="E223" s="307">
        <f t="shared" ca="1" si="96"/>
        <v>45.145110571044242</v>
      </c>
      <c r="F223" s="304">
        <f t="shared" ca="1" si="97"/>
        <v>46.802332769658179</v>
      </c>
      <c r="G223" s="306">
        <f t="shared" ca="1" si="98"/>
        <v>32.429039555304513</v>
      </c>
      <c r="H223" s="307">
        <f t="shared" ca="1" si="99"/>
        <v>144.27356745033623</v>
      </c>
      <c r="I223" s="304">
        <f t="shared" ca="1" si="100"/>
        <v>147.87327301215126</v>
      </c>
      <c r="J223" s="306">
        <f t="shared" ca="1" si="101"/>
        <v>36.131749049284039</v>
      </c>
      <c r="K223" s="307">
        <f t="shared" ca="1" si="102"/>
        <v>171.94538282711014</v>
      </c>
      <c r="L223" s="304">
        <f t="shared" ca="1" si="87"/>
        <v>175.70064873221699</v>
      </c>
      <c r="M223" s="306">
        <f t="shared" ca="1" si="103"/>
        <v>1.3496963932468804</v>
      </c>
      <c r="N223" s="304">
        <f t="shared" ca="1" si="104"/>
        <v>77.331906957075716</v>
      </c>
      <c r="P223" s="310">
        <f t="shared" ca="1" si="105"/>
        <v>6</v>
      </c>
      <c r="Q223" s="304">
        <f t="shared" ca="1" si="106"/>
        <v>558.99000000000035</v>
      </c>
      <c r="R223" s="306">
        <f t="shared" ca="1" si="107"/>
        <v>0.28053103669408336</v>
      </c>
      <c r="S223" s="307">
        <f t="shared" ca="1" si="108"/>
        <v>8.3898628113021463</v>
      </c>
      <c r="T223" s="304">
        <f t="shared" ca="1" si="88"/>
        <v>82.304554178874056</v>
      </c>
      <c r="U223" s="311">
        <f t="shared" ca="1" si="89"/>
        <v>0</v>
      </c>
      <c r="V223" s="306">
        <f t="shared" ca="1" si="90"/>
        <v>1.2041162339610014</v>
      </c>
      <c r="W223" s="304">
        <f t="shared" ca="1" si="91"/>
        <v>86.972392169968643</v>
      </c>
      <c r="Y223" s="314" t="str">
        <f t="shared" ca="1" si="109"/>
        <v/>
      </c>
      <c r="Z223" s="315" t="str">
        <f t="shared" ca="1" si="110"/>
        <v/>
      </c>
      <c r="AA223" s="316" t="str">
        <f t="shared" ca="1" si="111"/>
        <v/>
      </c>
      <c r="AC223" s="310" t="e">
        <f t="shared" ca="1" si="112"/>
        <v>#N/A</v>
      </c>
      <c r="AD223" s="323" t="e">
        <f t="shared" ca="1" si="113"/>
        <v>#N/A</v>
      </c>
      <c r="AE223" s="324">
        <f t="shared" ca="1" si="92"/>
        <v>171.94538282711014</v>
      </c>
      <c r="AG223" s="306">
        <f t="shared" ca="1" si="114"/>
        <v>46.752924847478354</v>
      </c>
      <c r="AH223" s="304">
        <f t="shared" ca="1" si="115"/>
        <v>56.324430952169479</v>
      </c>
    </row>
    <row r="224" spans="1:34" x14ac:dyDescent="0.2">
      <c r="A224" s="347">
        <f t="shared" ca="1" si="93"/>
        <v>0.01</v>
      </c>
      <c r="B224" s="304">
        <f t="shared" ca="1" si="94"/>
        <v>2.1999999999999971</v>
      </c>
      <c r="D224" s="306">
        <f t="shared" ca="1" si="95"/>
        <v>12.304024869217308</v>
      </c>
      <c r="E224" s="307">
        <f t="shared" ca="1" si="96"/>
        <v>44.929381314463591</v>
      </c>
      <c r="F224" s="304">
        <f t="shared" ca="1" si="97"/>
        <v>46.583670242723343</v>
      </c>
      <c r="G224" s="306">
        <f t="shared" ca="1" si="98"/>
        <v>32.552079803996683</v>
      </c>
      <c r="H224" s="307">
        <f t="shared" ca="1" si="99"/>
        <v>144.72286126348087</v>
      </c>
      <c r="I224" s="304">
        <f t="shared" ca="1" si="100"/>
        <v>148.33861423059912</v>
      </c>
      <c r="J224" s="306">
        <f t="shared" ca="1" si="101"/>
        <v>36.456654646080544</v>
      </c>
      <c r="K224" s="307">
        <f t="shared" ca="1" si="102"/>
        <v>173.39036497067923</v>
      </c>
      <c r="L224" s="304">
        <f t="shared" ca="1" si="87"/>
        <v>177.18156318491191</v>
      </c>
      <c r="M224" s="306">
        <f t="shared" ca="1" si="103"/>
        <v>1.3495513627976514</v>
      </c>
      <c r="N224" s="304">
        <f t="shared" ca="1" si="104"/>
        <v>77.323597324434004</v>
      </c>
      <c r="P224" s="310">
        <f t="shared" ca="1" si="105"/>
        <v>6</v>
      </c>
      <c r="Q224" s="304">
        <f t="shared" ca="1" si="106"/>
        <v>557.53000000000043</v>
      </c>
      <c r="R224" s="306">
        <f t="shared" ca="1" si="107"/>
        <v>0.27979833071799548</v>
      </c>
      <c r="S224" s="307">
        <f t="shared" ca="1" si="108"/>
        <v>8.3870648279949656</v>
      </c>
      <c r="T224" s="304">
        <f t="shared" ca="1" si="88"/>
        <v>82.277105962630614</v>
      </c>
      <c r="U224" s="311">
        <f t="shared" ca="1" si="89"/>
        <v>0</v>
      </c>
      <c r="V224" s="306">
        <f t="shared" ca="1" si="90"/>
        <v>1.2039422409177287</v>
      </c>
      <c r="W224" s="304">
        <f t="shared" ca="1" si="91"/>
        <v>87.507992295096713</v>
      </c>
      <c r="Y224" s="314" t="str">
        <f t="shared" ca="1" si="109"/>
        <v/>
      </c>
      <c r="Z224" s="315" t="str">
        <f t="shared" ca="1" si="110"/>
        <v/>
      </c>
      <c r="AA224" s="316" t="str">
        <f t="shared" ca="1" si="111"/>
        <v/>
      </c>
      <c r="AC224" s="310" t="e">
        <f t="shared" ca="1" si="112"/>
        <v>#N/A</v>
      </c>
      <c r="AD224" s="323" t="e">
        <f t="shared" ca="1" si="113"/>
        <v>#N/A</v>
      </c>
      <c r="AE224" s="324">
        <f t="shared" ca="1" si="92"/>
        <v>173.39036497067923</v>
      </c>
      <c r="AG224" s="306">
        <f t="shared" ca="1" si="114"/>
        <v>46.533965838316107</v>
      </c>
      <c r="AH224" s="304">
        <f t="shared" ca="1" si="115"/>
        <v>56.105159251824283</v>
      </c>
    </row>
    <row r="225" spans="1:34" x14ac:dyDescent="0.2">
      <c r="A225" s="347">
        <f t="shared" ca="1" si="93"/>
        <v>0.01</v>
      </c>
      <c r="B225" s="304">
        <f t="shared" ca="1" si="94"/>
        <v>2.2099999999999969</v>
      </c>
      <c r="D225" s="306">
        <f t="shared" ca="1" si="95"/>
        <v>12.263830072161911</v>
      </c>
      <c r="E225" s="307">
        <f t="shared" ca="1" si="96"/>
        <v>44.713599990513629</v>
      </c>
      <c r="F225" s="304">
        <f t="shared" ca="1" si="97"/>
        <v>46.364938823970455</v>
      </c>
      <c r="G225" s="306">
        <f t="shared" ca="1" si="98"/>
        <v>32.674718104718302</v>
      </c>
      <c r="H225" s="307">
        <f t="shared" ca="1" si="99"/>
        <v>145.16999726338599</v>
      </c>
      <c r="I225" s="304">
        <f t="shared" ca="1" si="100"/>
        <v>148.80176513964577</v>
      </c>
      <c r="J225" s="306">
        <f t="shared" ca="1" si="101"/>
        <v>36.782788635624122</v>
      </c>
      <c r="K225" s="307">
        <f t="shared" ca="1" si="102"/>
        <v>174.83982926331356</v>
      </c>
      <c r="L225" s="304">
        <f t="shared" ca="1" si="87"/>
        <v>178.66711906961962</v>
      </c>
      <c r="M225" s="306">
        <f t="shared" ca="1" si="103"/>
        <v>1.3494066904763395</v>
      </c>
      <c r="N225" s="304">
        <f t="shared" ca="1" si="104"/>
        <v>77.315308211010475</v>
      </c>
      <c r="P225" s="310">
        <f t="shared" ca="1" si="105"/>
        <v>6</v>
      </c>
      <c r="Q225" s="304">
        <f t="shared" ca="1" si="106"/>
        <v>556.07000000000039</v>
      </c>
      <c r="R225" s="306">
        <f t="shared" ca="1" si="107"/>
        <v>0.2790656247419076</v>
      </c>
      <c r="S225" s="307">
        <f t="shared" ca="1" si="108"/>
        <v>8.3842741717475473</v>
      </c>
      <c r="T225" s="304">
        <f t="shared" ca="1" si="88"/>
        <v>82.24972962484344</v>
      </c>
      <c r="U225" s="311">
        <f t="shared" ca="1" si="89"/>
        <v>0</v>
      </c>
      <c r="V225" s="306">
        <f t="shared" ca="1" si="90"/>
        <v>1.2037677332102636</v>
      </c>
      <c r="W225" s="304">
        <f t="shared" ca="1" si="91"/>
        <v>88.04252647155117</v>
      </c>
      <c r="Y225" s="314" t="str">
        <f t="shared" ca="1" si="109"/>
        <v/>
      </c>
      <c r="Z225" s="315" t="str">
        <f t="shared" ca="1" si="110"/>
        <v/>
      </c>
      <c r="AA225" s="316" t="str">
        <f t="shared" ca="1" si="111"/>
        <v/>
      </c>
      <c r="AC225" s="310" t="e">
        <f t="shared" ca="1" si="112"/>
        <v>#N/A</v>
      </c>
      <c r="AD225" s="323" t="e">
        <f t="shared" ca="1" si="113"/>
        <v>#N/A</v>
      </c>
      <c r="AE225" s="324">
        <f t="shared" ca="1" si="92"/>
        <v>174.83982926331356</v>
      </c>
      <c r="AG225" s="306">
        <f t="shared" ca="1" si="114"/>
        <v>46.314935183022342</v>
      </c>
      <c r="AH225" s="304">
        <f t="shared" ca="1" si="115"/>
        <v>55.885816482936001</v>
      </c>
    </row>
    <row r="226" spans="1:34" x14ac:dyDescent="0.2">
      <c r="A226" s="347">
        <f t="shared" ca="1" si="93"/>
        <v>0.01</v>
      </c>
      <c r="B226" s="304">
        <f t="shared" ca="1" si="94"/>
        <v>2.2199999999999966</v>
      </c>
      <c r="D226" s="306">
        <f t="shared" ca="1" si="95"/>
        <v>12.223538663727776</v>
      </c>
      <c r="E226" s="307">
        <f t="shared" ca="1" si="96"/>
        <v>44.497769960715104</v>
      </c>
      <c r="F226" s="304">
        <f t="shared" ca="1" si="97"/>
        <v>46.146142080789019</v>
      </c>
      <c r="G226" s="306">
        <f t="shared" ca="1" si="98"/>
        <v>32.79695349135558</v>
      </c>
      <c r="H226" s="307">
        <f t="shared" ca="1" si="99"/>
        <v>145.61497496299316</v>
      </c>
      <c r="I226" s="304">
        <f t="shared" ca="1" si="100"/>
        <v>149.262725058158</v>
      </c>
      <c r="J226" s="306">
        <f t="shared" ca="1" si="101"/>
        <v>37.110146993604495</v>
      </c>
      <c r="K226" s="307">
        <f t="shared" ca="1" si="102"/>
        <v>176.29375412444546</v>
      </c>
      <c r="L226" s="304">
        <f t="shared" ca="1" si="87"/>
        <v>180.15729447673596</v>
      </c>
      <c r="M226" s="306">
        <f t="shared" ca="1" si="103"/>
        <v>1.3492623721747665</v>
      </c>
      <c r="N226" s="304">
        <f t="shared" ca="1" si="104"/>
        <v>77.307039381423849</v>
      </c>
      <c r="P226" s="310">
        <f t="shared" ca="1" si="105"/>
        <v>6</v>
      </c>
      <c r="Q226" s="304">
        <f t="shared" ca="1" si="106"/>
        <v>554.61000000000047</v>
      </c>
      <c r="R226" s="306">
        <f t="shared" ca="1" si="107"/>
        <v>0.27833291876581978</v>
      </c>
      <c r="S226" s="307">
        <f t="shared" ca="1" si="108"/>
        <v>8.3814908425598897</v>
      </c>
      <c r="T226" s="304">
        <f t="shared" ca="1" si="88"/>
        <v>82.222425165512519</v>
      </c>
      <c r="U226" s="311">
        <f t="shared" ca="1" si="89"/>
        <v>0</v>
      </c>
      <c r="V226" s="306">
        <f t="shared" ca="1" si="90"/>
        <v>1.2035927136634497</v>
      </c>
      <c r="W226" s="304">
        <f t="shared" ca="1" si="91"/>
        <v>88.575969576525779</v>
      </c>
      <c r="Y226" s="314" t="str">
        <f t="shared" ca="1" si="109"/>
        <v/>
      </c>
      <c r="Z226" s="315" t="str">
        <f t="shared" ca="1" si="110"/>
        <v/>
      </c>
      <c r="AA226" s="316" t="str">
        <f t="shared" ca="1" si="111"/>
        <v/>
      </c>
      <c r="AC226" s="310" t="e">
        <f t="shared" ca="1" si="112"/>
        <v>#N/A</v>
      </c>
      <c r="AD226" s="323" t="e">
        <f t="shared" ca="1" si="113"/>
        <v>#N/A</v>
      </c>
      <c r="AE226" s="324">
        <f t="shared" ca="1" si="92"/>
        <v>176.29375412444546</v>
      </c>
      <c r="AG226" s="306">
        <f t="shared" ca="1" si="114"/>
        <v>46.095836410718192</v>
      </c>
      <c r="AH226" s="304">
        <f t="shared" ca="1" si="115"/>
        <v>55.666406167181279</v>
      </c>
    </row>
    <row r="227" spans="1:34" x14ac:dyDescent="0.2">
      <c r="A227" s="347">
        <f t="shared" ca="1" si="93"/>
        <v>0.01</v>
      </c>
      <c r="B227" s="304">
        <f t="shared" ca="1" si="94"/>
        <v>2.2299999999999964</v>
      </c>
      <c r="D227" s="306">
        <f t="shared" ca="1" si="95"/>
        <v>12.183151842791998</v>
      </c>
      <c r="E227" s="307">
        <f t="shared" ca="1" si="96"/>
        <v>44.281894572649691</v>
      </c>
      <c r="F227" s="304">
        <f t="shared" ca="1" si="97"/>
        <v>45.927283566174346</v>
      </c>
      <c r="G227" s="306">
        <f t="shared" ca="1" si="98"/>
        <v>32.918785009783498</v>
      </c>
      <c r="H227" s="307">
        <f t="shared" ca="1" si="99"/>
        <v>146.05779390871965</v>
      </c>
      <c r="I227" s="304">
        <f t="shared" ca="1" si="100"/>
        <v>149.72149334014262</v>
      </c>
      <c r="J227" s="306">
        <f t="shared" ca="1" si="101"/>
        <v>37.438725686110189</v>
      </c>
      <c r="K227" s="307">
        <f t="shared" ca="1" si="102"/>
        <v>177.75211796880401</v>
      </c>
      <c r="L227" s="304">
        <f t="shared" ca="1" si="87"/>
        <v>181.65206749001075</v>
      </c>
      <c r="M227" s="306">
        <f t="shared" ca="1" si="103"/>
        <v>1.3491184038349731</v>
      </c>
      <c r="N227" s="304">
        <f t="shared" ca="1" si="104"/>
        <v>77.298790603170175</v>
      </c>
      <c r="P227" s="310">
        <f t="shared" ca="1" si="105"/>
        <v>6</v>
      </c>
      <c r="Q227" s="304">
        <f t="shared" ca="1" si="106"/>
        <v>553.15000000000055</v>
      </c>
      <c r="R227" s="306">
        <f t="shared" ca="1" si="107"/>
        <v>0.2776002127897319</v>
      </c>
      <c r="S227" s="307">
        <f t="shared" ca="1" si="108"/>
        <v>8.3787148404319929</v>
      </c>
      <c r="T227" s="304">
        <f t="shared" ca="1" si="88"/>
        <v>82.195192584637851</v>
      </c>
      <c r="U227" s="311">
        <f t="shared" ca="1" si="89"/>
        <v>0</v>
      </c>
      <c r="V227" s="306">
        <f t="shared" ca="1" si="90"/>
        <v>1.2034171851018156</v>
      </c>
      <c r="W227" s="304">
        <f t="shared" ca="1" si="91"/>
        <v>89.108296655443752</v>
      </c>
      <c r="Y227" s="314" t="str">
        <f t="shared" ca="1" si="109"/>
        <v/>
      </c>
      <c r="Z227" s="315" t="str">
        <f t="shared" ca="1" si="110"/>
        <v/>
      </c>
      <c r="AA227" s="316" t="str">
        <f t="shared" ca="1" si="111"/>
        <v/>
      </c>
      <c r="AC227" s="310" t="e">
        <f t="shared" ca="1" si="112"/>
        <v>#N/A</v>
      </c>
      <c r="AD227" s="323" t="e">
        <f t="shared" ca="1" si="113"/>
        <v>#N/A</v>
      </c>
      <c r="AE227" s="324">
        <f t="shared" ca="1" si="92"/>
        <v>177.75211796880401</v>
      </c>
      <c r="AG227" s="306">
        <f t="shared" ca="1" si="114"/>
        <v>45.876673035470617</v>
      </c>
      <c r="AH227" s="304">
        <f t="shared" ca="1" si="115"/>
        <v>55.446931811265948</v>
      </c>
    </row>
    <row r="228" spans="1:34" x14ac:dyDescent="0.2">
      <c r="A228" s="347">
        <f t="shared" ca="1" si="93"/>
        <v>0.01</v>
      </c>
      <c r="B228" s="304">
        <f t="shared" ca="1" si="94"/>
        <v>2.2399999999999962</v>
      </c>
      <c r="D228" s="306">
        <f t="shared" ca="1" si="95"/>
        <v>12.142670800743083</v>
      </c>
      <c r="E228" s="307">
        <f t="shared" ca="1" si="96"/>
        <v>44.06597715982732</v>
      </c>
      <c r="F228" s="304">
        <f t="shared" ca="1" si="97"/>
        <v>45.708366818621307</v>
      </c>
      <c r="G228" s="306">
        <f t="shared" ca="1" si="98"/>
        <v>33.040211717790932</v>
      </c>
      <c r="H228" s="307">
        <f t="shared" ca="1" si="99"/>
        <v>146.49845368031791</v>
      </c>
      <c r="I228" s="304">
        <f t="shared" ca="1" si="100"/>
        <v>150.17806937459511</v>
      </c>
      <c r="J228" s="306">
        <f t="shared" ca="1" si="101"/>
        <v>37.768520669748064</v>
      </c>
      <c r="K228" s="307">
        <f t="shared" ca="1" si="102"/>
        <v>179.21489920674921</v>
      </c>
      <c r="L228" s="304">
        <f t="shared" ca="1" si="87"/>
        <v>183.15141618689839</v>
      </c>
      <c r="M228" s="306">
        <f t="shared" ca="1" si="103"/>
        <v>1.3489747814483199</v>
      </c>
      <c r="N228" s="304">
        <f t="shared" ca="1" si="104"/>
        <v>77.290561646571348</v>
      </c>
      <c r="P228" s="310">
        <f t="shared" ca="1" si="105"/>
        <v>6</v>
      </c>
      <c r="Q228" s="304">
        <f t="shared" ca="1" si="106"/>
        <v>551.69000000000051</v>
      </c>
      <c r="R228" s="306">
        <f t="shared" ca="1" si="107"/>
        <v>0.27686750681364403</v>
      </c>
      <c r="S228" s="307">
        <f t="shared" ca="1" si="108"/>
        <v>8.3759461653638567</v>
      </c>
      <c r="T228" s="304">
        <f t="shared" ca="1" si="88"/>
        <v>82.168031882219438</v>
      </c>
      <c r="U228" s="311">
        <f t="shared" ca="1" si="89"/>
        <v>0</v>
      </c>
      <c r="V228" s="306">
        <f t="shared" ca="1" si="90"/>
        <v>1.2032411503495217</v>
      </c>
      <c r="W228" s="304">
        <f t="shared" ca="1" si="91"/>
        <v>89.639482922506645</v>
      </c>
      <c r="Y228" s="314" t="str">
        <f t="shared" ca="1" si="109"/>
        <v/>
      </c>
      <c r="Z228" s="315" t="str">
        <f t="shared" ca="1" si="110"/>
        <v/>
      </c>
      <c r="AA228" s="316" t="str">
        <f t="shared" ca="1" si="111"/>
        <v/>
      </c>
      <c r="AC228" s="310" t="e">
        <f t="shared" ca="1" si="112"/>
        <v>#N/A</v>
      </c>
      <c r="AD228" s="323" t="e">
        <f t="shared" ca="1" si="113"/>
        <v>#N/A</v>
      </c>
      <c r="AE228" s="324">
        <f t="shared" ca="1" si="92"/>
        <v>179.21489920674921</v>
      </c>
      <c r="AG228" s="306">
        <f t="shared" ca="1" si="114"/>
        <v>45.657448556170891</v>
      </c>
      <c r="AH228" s="304">
        <f t="shared" ca="1" si="115"/>
        <v>55.227396906802099</v>
      </c>
    </row>
    <row r="229" spans="1:34" x14ac:dyDescent="0.2">
      <c r="A229" s="347">
        <f t="shared" ca="1" si="93"/>
        <v>0.01</v>
      </c>
      <c r="B229" s="304">
        <f t="shared" ca="1" si="94"/>
        <v>2.249999999999996</v>
      </c>
      <c r="D229" s="306">
        <f t="shared" ca="1" si="95"/>
        <v>12.102096721532199</v>
      </c>
      <c r="E229" s="307">
        <f t="shared" ca="1" si="96"/>
        <v>43.850021041555578</v>
      </c>
      <c r="F229" s="304">
        <f t="shared" ca="1" si="97"/>
        <v>45.489395362020225</v>
      </c>
      <c r="G229" s="306">
        <f t="shared" ca="1" si="98"/>
        <v>33.161232685006254</v>
      </c>
      <c r="H229" s="307">
        <f t="shared" ca="1" si="99"/>
        <v>146.93695389073346</v>
      </c>
      <c r="I229" s="304">
        <f t="shared" ca="1" si="100"/>
        <v>150.6324525853465</v>
      </c>
      <c r="J229" s="306">
        <f t="shared" ca="1" si="101"/>
        <v>38.099527891762051</v>
      </c>
      <c r="K229" s="307">
        <f t="shared" ca="1" si="102"/>
        <v>180.68207624460447</v>
      </c>
      <c r="L229" s="304">
        <f t="shared" ca="1" si="87"/>
        <v>184.65531863890683</v>
      </c>
      <c r="M229" s="306">
        <f t="shared" ca="1" si="103"/>
        <v>1.3488315010546099</v>
      </c>
      <c r="N229" s="304">
        <f t="shared" ca="1" si="104"/>
        <v>77.282352284724794</v>
      </c>
      <c r="P229" s="310">
        <f t="shared" ca="1" si="105"/>
        <v>6</v>
      </c>
      <c r="Q229" s="304">
        <f t="shared" ca="1" si="106"/>
        <v>550.23000000000059</v>
      </c>
      <c r="R229" s="306">
        <f t="shared" ca="1" si="107"/>
        <v>0.2761348008375562</v>
      </c>
      <c r="S229" s="307">
        <f t="shared" ca="1" si="108"/>
        <v>8.3731848173554813</v>
      </c>
      <c r="T229" s="304">
        <f t="shared" ca="1" si="88"/>
        <v>82.140943058257278</v>
      </c>
      <c r="U229" s="311">
        <f t="shared" ca="1" si="89"/>
        <v>0</v>
      </c>
      <c r="V229" s="306">
        <f t="shared" ca="1" si="90"/>
        <v>1.203064612230309</v>
      </c>
      <c r="W229" s="304">
        <f t="shared" ca="1" si="91"/>
        <v>90.169503761225712</v>
      </c>
      <c r="Y229" s="314" t="str">
        <f t="shared" ca="1" si="109"/>
        <v/>
      </c>
      <c r="Z229" s="315" t="str">
        <f t="shared" ca="1" si="110"/>
        <v/>
      </c>
      <c r="AA229" s="316" t="str">
        <f t="shared" ca="1" si="111"/>
        <v/>
      </c>
      <c r="AC229" s="310" t="e">
        <f t="shared" ca="1" si="112"/>
        <v>#N/A</v>
      </c>
      <c r="AD229" s="323" t="e">
        <f t="shared" ca="1" si="113"/>
        <v>#N/A</v>
      </c>
      <c r="AE229" s="324">
        <f t="shared" ca="1" si="92"/>
        <v>180.68207624460447</v>
      </c>
      <c r="AG229" s="306">
        <f t="shared" ca="1" si="114"/>
        <v>45.438166456415068</v>
      </c>
      <c r="AH229" s="304">
        <f t="shared" ca="1" si="115"/>
        <v>55.007804930187021</v>
      </c>
    </row>
    <row r="230" spans="1:34" x14ac:dyDescent="0.2">
      <c r="A230" s="347">
        <f t="shared" ca="1" si="93"/>
        <v>0.01</v>
      </c>
      <c r="B230" s="304">
        <f t="shared" ca="1" si="94"/>
        <v>2.2599999999999958</v>
      </c>
      <c r="D230" s="306">
        <f t="shared" ca="1" si="95"/>
        <v>12.061430781722889</v>
      </c>
      <c r="E230" s="307">
        <f t="shared" ca="1" si="96"/>
        <v>43.634029522811311</v>
      </c>
      <c r="F230" s="304">
        <f t="shared" ca="1" si="97"/>
        <v>45.270372705555026</v>
      </c>
      <c r="G230" s="306">
        <f t="shared" ca="1" si="98"/>
        <v>33.281846992823482</v>
      </c>
      <c r="H230" s="307">
        <f t="shared" ca="1" si="99"/>
        <v>147.37329418596158</v>
      </c>
      <c r="I230" s="304">
        <f t="shared" ca="1" si="100"/>
        <v>151.08464243090921</v>
      </c>
      <c r="J230" s="306">
        <f t="shared" ca="1" si="101"/>
        <v>38.431743290151196</v>
      </c>
      <c r="K230" s="307">
        <f t="shared" ca="1" si="102"/>
        <v>182.15362748498794</v>
      </c>
      <c r="L230" s="304">
        <f t="shared" ca="1" si="87"/>
        <v>186.16375291194532</v>
      </c>
      <c r="M230" s="306">
        <f t="shared" ca="1" si="103"/>
        <v>1.3486885587412267</v>
      </c>
      <c r="N230" s="304">
        <f t="shared" ca="1" si="104"/>
        <v>77.274162293454097</v>
      </c>
      <c r="P230" s="310">
        <f t="shared" ca="1" si="105"/>
        <v>6</v>
      </c>
      <c r="Q230" s="304">
        <f t="shared" ca="1" si="106"/>
        <v>548.77000000000055</v>
      </c>
      <c r="R230" s="306">
        <f t="shared" ca="1" si="107"/>
        <v>0.27540209486146833</v>
      </c>
      <c r="S230" s="307">
        <f t="shared" ca="1" si="108"/>
        <v>8.3704307964068665</v>
      </c>
      <c r="T230" s="304">
        <f t="shared" ca="1" si="88"/>
        <v>82.113926112751358</v>
      </c>
      <c r="U230" s="311">
        <f t="shared" ca="1" si="89"/>
        <v>0</v>
      </c>
      <c r="V230" s="306">
        <f t="shared" ca="1" si="90"/>
        <v>1.202887573567448</v>
      </c>
      <c r="W230" s="304">
        <f t="shared" ca="1" si="91"/>
        <v>90.698334724937268</v>
      </c>
      <c r="Y230" s="314" t="str">
        <f t="shared" ca="1" si="109"/>
        <v/>
      </c>
      <c r="Z230" s="315" t="str">
        <f t="shared" ca="1" si="110"/>
        <v/>
      </c>
      <c r="AA230" s="316" t="str">
        <f t="shared" ca="1" si="111"/>
        <v/>
      </c>
      <c r="AC230" s="310" t="e">
        <f t="shared" ca="1" si="112"/>
        <v>#N/A</v>
      </c>
      <c r="AD230" s="323" t="e">
        <f t="shared" ca="1" si="113"/>
        <v>#N/A</v>
      </c>
      <c r="AE230" s="324">
        <f t="shared" ca="1" si="92"/>
        <v>182.15362748498794</v>
      </c>
      <c r="AG230" s="306">
        <f t="shared" ca="1" si="114"/>
        <v>45.218830204386194</v>
      </c>
      <c r="AH230" s="304">
        <f t="shared" ca="1" si="115"/>
        <v>54.788159342484022</v>
      </c>
    </row>
    <row r="231" spans="1:34" x14ac:dyDescent="0.2">
      <c r="A231" s="347">
        <f t="shared" ca="1" si="93"/>
        <v>0.01</v>
      </c>
      <c r="B231" s="304">
        <f t="shared" ca="1" si="94"/>
        <v>2.2699999999999956</v>
      </c>
      <c r="D231" s="306">
        <f t="shared" ca="1" si="95"/>
        <v>12.020674150539415</v>
      </c>
      <c r="E231" s="307">
        <f t="shared" ca="1" si="96"/>
        <v>43.418005894114586</v>
      </c>
      <c r="F231" s="304">
        <f t="shared" ca="1" si="97"/>
        <v>45.051302343603957</v>
      </c>
      <c r="G231" s="306">
        <f t="shared" ca="1" si="98"/>
        <v>33.402053734328874</v>
      </c>
      <c r="H231" s="307">
        <f t="shared" ca="1" si="99"/>
        <v>147.80747424490272</v>
      </c>
      <c r="I231" s="304">
        <f t="shared" ca="1" si="100"/>
        <v>151.53463840432184</v>
      </c>
      <c r="J231" s="306">
        <f t="shared" ca="1" si="101"/>
        <v>38.765162793786956</v>
      </c>
      <c r="K231" s="307">
        <f t="shared" ca="1" si="102"/>
        <v>183.62953132714225</v>
      </c>
      <c r="L231" s="304">
        <f t="shared" ca="1" si="87"/>
        <v>187.67669706667027</v>
      </c>
      <c r="M231" s="306">
        <f t="shared" ca="1" si="103"/>
        <v>1.3485459506422948</v>
      </c>
      <c r="N231" s="304">
        <f t="shared" ca="1" si="104"/>
        <v>77.265991451260916</v>
      </c>
      <c r="P231" s="310">
        <f t="shared" ca="1" si="105"/>
        <v>6</v>
      </c>
      <c r="Q231" s="304">
        <f t="shared" ca="1" si="106"/>
        <v>547.31000000000063</v>
      </c>
      <c r="R231" s="306">
        <f t="shared" ca="1" si="107"/>
        <v>0.27466938888538045</v>
      </c>
      <c r="S231" s="307">
        <f t="shared" ca="1" si="108"/>
        <v>8.3676841025180124</v>
      </c>
      <c r="T231" s="304">
        <f t="shared" ca="1" si="88"/>
        <v>82.086981045701705</v>
      </c>
      <c r="U231" s="311">
        <f t="shared" ca="1" si="89"/>
        <v>0</v>
      </c>
      <c r="V231" s="306">
        <f t="shared" ca="1" si="90"/>
        <v>1.2027100371836879</v>
      </c>
      <c r="W231" s="304">
        <f t="shared" ca="1" si="91"/>
        <v>91.225951537301526</v>
      </c>
      <c r="Y231" s="314" t="str">
        <f t="shared" ca="1" si="109"/>
        <v/>
      </c>
      <c r="Z231" s="315" t="str">
        <f t="shared" ca="1" si="110"/>
        <v/>
      </c>
      <c r="AA231" s="316" t="str">
        <f t="shared" ca="1" si="111"/>
        <v/>
      </c>
      <c r="AC231" s="310" t="e">
        <f t="shared" ca="1" si="112"/>
        <v>#N/A</v>
      </c>
      <c r="AD231" s="323" t="e">
        <f t="shared" ca="1" si="113"/>
        <v>#N/A</v>
      </c>
      <c r="AE231" s="324">
        <f t="shared" ca="1" si="92"/>
        <v>183.62953132714225</v>
      </c>
      <c r="AG231" s="306">
        <f t="shared" ca="1" si="114"/>
        <v>44.999443252738622</v>
      </c>
      <c r="AH231" s="304">
        <f t="shared" ca="1" si="115"/>
        <v>54.568463589305352</v>
      </c>
    </row>
    <row r="232" spans="1:34" x14ac:dyDescent="0.2">
      <c r="A232" s="347">
        <f t="shared" ca="1" si="93"/>
        <v>0.01</v>
      </c>
      <c r="B232" s="304">
        <f t="shared" ca="1" si="94"/>
        <v>2.2799999999999954</v>
      </c>
      <c r="D232" s="306">
        <f t="shared" ca="1" si="95"/>
        <v>11.979827989913586</v>
      </c>
      <c r="E232" s="307">
        <f t="shared" ca="1" si="96"/>
        <v>43.201953431404611</v>
      </c>
      <c r="F232" s="304">
        <f t="shared" ca="1" si="97"/>
        <v>44.832187755642373</v>
      </c>
      <c r="G232" s="306">
        <f t="shared" ca="1" si="98"/>
        <v>33.52185201422801</v>
      </c>
      <c r="H232" s="307">
        <f t="shared" ca="1" si="99"/>
        <v>148.23949377921676</v>
      </c>
      <c r="I232" s="304">
        <f t="shared" ca="1" si="100"/>
        <v>151.98244003299277</v>
      </c>
      <c r="J232" s="306">
        <f t="shared" ca="1" si="101"/>
        <v>39.099782322529741</v>
      </c>
      <c r="K232" s="307">
        <f t="shared" ca="1" si="102"/>
        <v>185.10976616726285</v>
      </c>
      <c r="L232" s="304">
        <f t="shared" ca="1" si="87"/>
        <v>189.19412915882972</v>
      </c>
      <c r="M232" s="306">
        <f t="shared" ca="1" si="103"/>
        <v>1.3484036729378546</v>
      </c>
      <c r="N232" s="304">
        <f t="shared" ca="1" si="104"/>
        <v>77.257839539277683</v>
      </c>
      <c r="P232" s="310">
        <f t="shared" ca="1" si="105"/>
        <v>6</v>
      </c>
      <c r="Q232" s="304">
        <f t="shared" ca="1" si="106"/>
        <v>545.8500000000007</v>
      </c>
      <c r="R232" s="306">
        <f t="shared" ca="1" si="107"/>
        <v>0.27393668290929263</v>
      </c>
      <c r="S232" s="307">
        <f t="shared" ca="1" si="108"/>
        <v>8.3649447356889191</v>
      </c>
      <c r="T232" s="304">
        <f t="shared" ca="1" si="88"/>
        <v>82.060107857108306</v>
      </c>
      <c r="U232" s="311">
        <f t="shared" ca="1" si="89"/>
        <v>0</v>
      </c>
      <c r="V232" s="306">
        <f t="shared" ca="1" si="90"/>
        <v>1.2025320059012043</v>
      </c>
      <c r="W232" s="304">
        <f t="shared" ca="1" si="91"/>
        <v>91.752330092784931</v>
      </c>
      <c r="Y232" s="314" t="str">
        <f t="shared" ca="1" si="109"/>
        <v/>
      </c>
      <c r="Z232" s="315" t="str">
        <f t="shared" ca="1" si="110"/>
        <v/>
      </c>
      <c r="AA232" s="316" t="str">
        <f t="shared" ca="1" si="111"/>
        <v/>
      </c>
      <c r="AC232" s="310" t="e">
        <f t="shared" ca="1" si="112"/>
        <v>#N/A</v>
      </c>
      <c r="AD232" s="323" t="e">
        <f t="shared" ca="1" si="113"/>
        <v>#N/A</v>
      </c>
      <c r="AE232" s="324">
        <f t="shared" ca="1" si="92"/>
        <v>185.10976616726285</v>
      </c>
      <c r="AG232" s="306">
        <f t="shared" ca="1" si="114"/>
        <v>44.780009038483982</v>
      </c>
      <c r="AH232" s="304">
        <f t="shared" ca="1" si="115"/>
        <v>54.348721100696828</v>
      </c>
    </row>
    <row r="233" spans="1:34" x14ac:dyDescent="0.2">
      <c r="A233" s="347">
        <f t="shared" ca="1" si="93"/>
        <v>0.01</v>
      </c>
      <c r="B233" s="304">
        <f t="shared" ca="1" si="94"/>
        <v>2.2899999999999952</v>
      </c>
      <c r="D233" s="306">
        <f t="shared" ca="1" si="95"/>
        <v>11.938893454530369</v>
      </c>
      <c r="E233" s="307">
        <f t="shared" ca="1" si="96"/>
        <v>42.985875395918015</v>
      </c>
      <c r="F233" s="304">
        <f t="shared" ca="1" si="97"/>
        <v>44.613032406148072</v>
      </c>
      <c r="G233" s="306">
        <f t="shared" ca="1" si="98"/>
        <v>33.641240948773316</v>
      </c>
      <c r="H233" s="307">
        <f t="shared" ca="1" si="99"/>
        <v>148.66935253317592</v>
      </c>
      <c r="I233" s="304">
        <f t="shared" ca="1" si="100"/>
        <v>152.42804687854255</v>
      </c>
      <c r="J233" s="306">
        <f t="shared" ca="1" si="101"/>
        <v>39.435597787344747</v>
      </c>
      <c r="K233" s="307">
        <f t="shared" ca="1" si="102"/>
        <v>186.5943103988248</v>
      </c>
      <c r="L233" s="304">
        <f t="shared" ca="1" si="87"/>
        <v>190.71602723960621</v>
      </c>
      <c r="M233" s="306">
        <f t="shared" ca="1" si="103"/>
        <v>1.3482617218530584</v>
      </c>
      <c r="N233" s="304">
        <f t="shared" ca="1" si="104"/>
        <v>77.249706341221554</v>
      </c>
      <c r="P233" s="310">
        <f t="shared" ca="1" si="105"/>
        <v>6</v>
      </c>
      <c r="Q233" s="304">
        <f t="shared" ca="1" si="106"/>
        <v>544.39000000000067</v>
      </c>
      <c r="R233" s="306">
        <f t="shared" ca="1" si="107"/>
        <v>0.27320397693320475</v>
      </c>
      <c r="S233" s="307">
        <f t="shared" ca="1" si="108"/>
        <v>8.3622126959195864</v>
      </c>
      <c r="T233" s="304">
        <f t="shared" ca="1" si="88"/>
        <v>82.033306546971147</v>
      </c>
      <c r="U233" s="311">
        <f t="shared" ca="1" si="89"/>
        <v>0</v>
      </c>
      <c r="V233" s="306">
        <f t="shared" ca="1" si="90"/>
        <v>1.2023534825415489</v>
      </c>
      <c r="W233" s="304">
        <f t="shared" ca="1" si="91"/>
        <v>92.277446457126132</v>
      </c>
      <c r="Y233" s="314" t="str">
        <f t="shared" ca="1" si="109"/>
        <v/>
      </c>
      <c r="Z233" s="315" t="str">
        <f t="shared" ca="1" si="110"/>
        <v/>
      </c>
      <c r="AA233" s="316" t="str">
        <f t="shared" ca="1" si="111"/>
        <v/>
      </c>
      <c r="AC233" s="310" t="e">
        <f t="shared" ca="1" si="112"/>
        <v>#N/A</v>
      </c>
      <c r="AD233" s="323" t="e">
        <f t="shared" ca="1" si="113"/>
        <v>#N/A</v>
      </c>
      <c r="AE233" s="324">
        <f t="shared" ca="1" si="92"/>
        <v>186.5943103988248</v>
      </c>
      <c r="AG233" s="306">
        <f t="shared" ca="1" si="114"/>
        <v>44.560530982879349</v>
      </c>
      <c r="AH233" s="304">
        <f t="shared" ca="1" si="115"/>
        <v>54.128935291024611</v>
      </c>
    </row>
    <row r="234" spans="1:34" x14ac:dyDescent="0.2">
      <c r="A234" s="347">
        <f t="shared" ca="1" si="93"/>
        <v>0.01</v>
      </c>
      <c r="B234" s="304">
        <f t="shared" ca="1" si="94"/>
        <v>2.2999999999999949</v>
      </c>
      <c r="D234" s="306">
        <f t="shared" ca="1" si="95"/>
        <v>11.89787169187206</v>
      </c>
      <c r="E234" s="307">
        <f t="shared" ca="1" si="96"/>
        <v>42.769775034069298</v>
      </c>
      <c r="F234" s="304">
        <f t="shared" ca="1" si="97"/>
        <v>44.393839744509009</v>
      </c>
      <c r="G234" s="306">
        <f t="shared" ca="1" si="98"/>
        <v>33.760219665692034</v>
      </c>
      <c r="H234" s="307">
        <f t="shared" ca="1" si="99"/>
        <v>149.09705028351661</v>
      </c>
      <c r="I234" s="304">
        <f t="shared" ca="1" si="100"/>
        <v>152.87145853664529</v>
      </c>
      <c r="J234" s="306">
        <f t="shared" ca="1" si="101"/>
        <v>39.772605090417073</v>
      </c>
      <c r="K234" s="307">
        <f t="shared" ca="1" si="102"/>
        <v>188.08314241290827</v>
      </c>
      <c r="L234" s="304">
        <f t="shared" ca="1" si="87"/>
        <v>192.24236935595806</v>
      </c>
      <c r="M234" s="306">
        <f t="shared" ca="1" si="103"/>
        <v>1.3481200936573807</v>
      </c>
      <c r="N234" s="304">
        <f t="shared" ca="1" si="104"/>
        <v>77.241591643349182</v>
      </c>
      <c r="P234" s="310">
        <f t="shared" ca="1" si="105"/>
        <v>6</v>
      </c>
      <c r="Q234" s="304">
        <f t="shared" ca="1" si="106"/>
        <v>542.93000000000075</v>
      </c>
      <c r="R234" s="306">
        <f t="shared" ca="1" si="107"/>
        <v>0.27247127095711693</v>
      </c>
      <c r="S234" s="307">
        <f t="shared" ca="1" si="108"/>
        <v>8.3594879832100144</v>
      </c>
      <c r="T234" s="304">
        <f t="shared" ca="1" si="88"/>
        <v>82.006577115290241</v>
      </c>
      <c r="U234" s="311">
        <f t="shared" ca="1" si="89"/>
        <v>0</v>
      </c>
      <c r="V234" s="306">
        <f t="shared" ca="1" si="90"/>
        <v>1.2021744699256007</v>
      </c>
      <c r="W234" s="304">
        <f t="shared" ca="1" si="91"/>
        <v>92.801276867786044</v>
      </c>
      <c r="Y234" s="314" t="str">
        <f t="shared" ca="1" si="109"/>
        <v/>
      </c>
      <c r="Z234" s="315" t="str">
        <f t="shared" ca="1" si="110"/>
        <v/>
      </c>
      <c r="AA234" s="316" t="str">
        <f t="shared" ca="1" si="111"/>
        <v/>
      </c>
      <c r="AC234" s="310" t="e">
        <f t="shared" ca="1" si="112"/>
        <v>#N/A</v>
      </c>
      <c r="AD234" s="323" t="e">
        <f t="shared" ca="1" si="113"/>
        <v>#N/A</v>
      </c>
      <c r="AE234" s="324">
        <f t="shared" ca="1" si="92"/>
        <v>188.08314241290827</v>
      </c>
      <c r="AG234" s="306">
        <f t="shared" ca="1" si="114"/>
        <v>44.341012491317159</v>
      </c>
      <c r="AH234" s="304">
        <f t="shared" ca="1" si="115"/>
        <v>53.909109558863868</v>
      </c>
    </row>
    <row r="235" spans="1:34" x14ac:dyDescent="0.2">
      <c r="A235" s="347">
        <f t="shared" ca="1" si="93"/>
        <v>0.01</v>
      </c>
      <c r="B235" s="304">
        <f t="shared" ca="1" si="94"/>
        <v>2.3099999999999947</v>
      </c>
      <c r="D235" s="306">
        <f t="shared" ca="1" si="95"/>
        <v>11.856763842261278</v>
      </c>
      <c r="E235" s="307">
        <f t="shared" ca="1" si="96"/>
        <v>42.553655577333259</v>
      </c>
      <c r="F235" s="304">
        <f t="shared" ca="1" si="97"/>
        <v>44.174613204933223</v>
      </c>
      <c r="G235" s="306">
        <f t="shared" ca="1" si="98"/>
        <v>33.878787304114645</v>
      </c>
      <c r="H235" s="307">
        <f t="shared" ca="1" si="99"/>
        <v>149.52258683928994</v>
      </c>
      <c r="I235" s="304">
        <f t="shared" ca="1" si="100"/>
        <v>153.31267463686896</v>
      </c>
      <c r="J235" s="306">
        <f t="shared" ca="1" si="101"/>
        <v>40.11080012526611</v>
      </c>
      <c r="K235" s="307">
        <f t="shared" ca="1" si="102"/>
        <v>189.5762405985223</v>
      </c>
      <c r="L235" s="304">
        <f t="shared" ca="1" si="87"/>
        <v>193.77313355095919</v>
      </c>
      <c r="M235" s="306">
        <f t="shared" ca="1" si="103"/>
        <v>1.3479787846638469</v>
      </c>
      <c r="N235" s="304">
        <f t="shared" ca="1" si="104"/>
        <v>77.233495234412445</v>
      </c>
      <c r="P235" s="310">
        <f t="shared" ca="1" si="105"/>
        <v>6</v>
      </c>
      <c r="Q235" s="304">
        <f t="shared" ca="1" si="106"/>
        <v>541.47000000000071</v>
      </c>
      <c r="R235" s="306">
        <f t="shared" ca="1" si="107"/>
        <v>0.271738564981029</v>
      </c>
      <c r="S235" s="307">
        <f t="shared" ca="1" si="108"/>
        <v>8.3567705975602049</v>
      </c>
      <c r="T235" s="304">
        <f t="shared" ca="1" si="88"/>
        <v>81.979919562065618</v>
      </c>
      <c r="U235" s="311">
        <f t="shared" ca="1" si="89"/>
        <v>0</v>
      </c>
      <c r="V235" s="306">
        <f t="shared" ca="1" si="90"/>
        <v>1.201994970873514</v>
      </c>
      <c r="W235" s="304">
        <f t="shared" ca="1" si="91"/>
        <v>93.323797734381358</v>
      </c>
      <c r="Y235" s="314" t="str">
        <f t="shared" ca="1" si="109"/>
        <v/>
      </c>
      <c r="Z235" s="315" t="str">
        <f t="shared" ca="1" si="110"/>
        <v/>
      </c>
      <c r="AA235" s="316" t="str">
        <f t="shared" ca="1" si="111"/>
        <v/>
      </c>
      <c r="AC235" s="310" t="e">
        <f t="shared" ca="1" si="112"/>
        <v>#N/A</v>
      </c>
      <c r="AD235" s="323" t="e">
        <f t="shared" ca="1" si="113"/>
        <v>#N/A</v>
      </c>
      <c r="AE235" s="324">
        <f t="shared" ca="1" si="92"/>
        <v>189.5762405985223</v>
      </c>
      <c r="AG235" s="306">
        <f t="shared" ca="1" si="114"/>
        <v>44.121456953216914</v>
      </c>
      <c r="AH235" s="304">
        <f t="shared" ca="1" si="115"/>
        <v>53.689247286889199</v>
      </c>
    </row>
    <row r="236" spans="1:34" x14ac:dyDescent="0.2">
      <c r="A236" s="347">
        <f t="shared" ca="1" si="93"/>
        <v>0.01</v>
      </c>
      <c r="B236" s="304">
        <f t="shared" ca="1" si="94"/>
        <v>2.3199999999999945</v>
      </c>
      <c r="D236" s="306">
        <f t="shared" ca="1" si="95"/>
        <v>11.815571038902725</v>
      </c>
      <c r="E236" s="307">
        <f t="shared" ca="1" si="96"/>
        <v>42.337520242129898</v>
      </c>
      <c r="F236" s="304">
        <f t="shared" ca="1" si="97"/>
        <v>43.955356206361422</v>
      </c>
      <c r="G236" s="306">
        <f t="shared" ca="1" si="98"/>
        <v>33.996943014503671</v>
      </c>
      <c r="H236" s="307">
        <f t="shared" ca="1" si="99"/>
        <v>149.94596204171125</v>
      </c>
      <c r="I236" s="304">
        <f t="shared" ca="1" si="100"/>
        <v>153.75169484251455</v>
      </c>
      <c r="J236" s="306">
        <f t="shared" ca="1" si="101"/>
        <v>40.450178776859204</v>
      </c>
      <c r="K236" s="307">
        <f t="shared" ca="1" si="102"/>
        <v>191.07358334292732</v>
      </c>
      <c r="L236" s="304">
        <f t="shared" ca="1" si="87"/>
        <v>195.30829786413699</v>
      </c>
      <c r="M236" s="306">
        <f t="shared" ca="1" si="103"/>
        <v>1.3478377912282771</v>
      </c>
      <c r="N236" s="304">
        <f t="shared" ca="1" si="104"/>
        <v>77.225416905615248</v>
      </c>
      <c r="P236" s="310">
        <f t="shared" ca="1" si="105"/>
        <v>6</v>
      </c>
      <c r="Q236" s="304">
        <f t="shared" ca="1" si="106"/>
        <v>540.01000000000079</v>
      </c>
      <c r="R236" s="306">
        <f t="shared" ca="1" si="107"/>
        <v>0.27100585900494117</v>
      </c>
      <c r="S236" s="307">
        <f t="shared" ca="1" si="108"/>
        <v>8.3540605389701561</v>
      </c>
      <c r="T236" s="304">
        <f t="shared" ca="1" si="88"/>
        <v>81.953333887297234</v>
      </c>
      <c r="U236" s="311">
        <f t="shared" ca="1" si="89"/>
        <v>0</v>
      </c>
      <c r="V236" s="306">
        <f t="shared" ca="1" si="90"/>
        <v>1.2018149882046705</v>
      </c>
      <c r="W236" s="304">
        <f t="shared" ca="1" si="91"/>
        <v>93.844985639102191</v>
      </c>
      <c r="Y236" s="314" t="str">
        <f t="shared" ca="1" si="109"/>
        <v/>
      </c>
      <c r="Z236" s="315" t="str">
        <f t="shared" ca="1" si="110"/>
        <v/>
      </c>
      <c r="AA236" s="316" t="str">
        <f t="shared" ca="1" si="111"/>
        <v/>
      </c>
      <c r="AC236" s="310" t="e">
        <f t="shared" ca="1" si="112"/>
        <v>#N/A</v>
      </c>
      <c r="AD236" s="323" t="e">
        <f t="shared" ca="1" si="113"/>
        <v>#N/A</v>
      </c>
      <c r="AE236" s="324">
        <f t="shared" ca="1" si="92"/>
        <v>191.07358334292732</v>
      </c>
      <c r="AG236" s="306">
        <f t="shared" ca="1" si="114"/>
        <v>43.901867741919162</v>
      </c>
      <c r="AH236" s="304">
        <f t="shared" ca="1" si="115"/>
        <v>53.469351841767299</v>
      </c>
    </row>
    <row r="237" spans="1:34" x14ac:dyDescent="0.2">
      <c r="A237" s="347">
        <f t="shared" ca="1" si="93"/>
        <v>0.01</v>
      </c>
      <c r="B237" s="304">
        <f t="shared" ca="1" si="94"/>
        <v>2.3299999999999943</v>
      </c>
      <c r="D237" s="306">
        <f t="shared" ca="1" si="95"/>
        <v>11.774294407923746</v>
      </c>
      <c r="E237" s="307">
        <f t="shared" ca="1" si="96"/>
        <v>42.121372229711085</v>
      </c>
      <c r="F237" s="304">
        <f t="shared" ca="1" si="97"/>
        <v>43.73607215238173</v>
      </c>
      <c r="G237" s="306">
        <f t="shared" ca="1" si="98"/>
        <v>34.114685958582911</v>
      </c>
      <c r="H237" s="307">
        <f t="shared" ca="1" si="99"/>
        <v>150.36717576400838</v>
      </c>
      <c r="I237" s="304">
        <f t="shared" ca="1" si="100"/>
        <v>154.18851885045439</v>
      </c>
      <c r="J237" s="306">
        <f t="shared" ca="1" si="101"/>
        <v>40.790736921724637</v>
      </c>
      <c r="K237" s="307">
        <f t="shared" ca="1" si="102"/>
        <v>192.57514903195593</v>
      </c>
      <c r="L237" s="304">
        <f t="shared" ca="1" si="87"/>
        <v>196.84784033180904</v>
      </c>
      <c r="M237" s="306">
        <f t="shared" ca="1" si="103"/>
        <v>1.3476971097485471</v>
      </c>
      <c r="N237" s="304">
        <f t="shared" ca="1" si="104"/>
        <v>77.21735645057106</v>
      </c>
      <c r="P237" s="310">
        <f t="shared" ca="1" si="105"/>
        <v>6</v>
      </c>
      <c r="Q237" s="304">
        <f t="shared" ca="1" si="106"/>
        <v>538.55000000000086</v>
      </c>
      <c r="R237" s="306">
        <f t="shared" ca="1" si="107"/>
        <v>0.27027315302885335</v>
      </c>
      <c r="S237" s="307">
        <f t="shared" ca="1" si="108"/>
        <v>8.351357807439868</v>
      </c>
      <c r="T237" s="304">
        <f t="shared" ca="1" si="88"/>
        <v>81.926820090985103</v>
      </c>
      <c r="U237" s="311">
        <f t="shared" ca="1" si="89"/>
        <v>0</v>
      </c>
      <c r="V237" s="306">
        <f t="shared" ca="1" si="90"/>
        <v>1.2016345247376281</v>
      </c>
      <c r="W237" s="304">
        <f t="shared" ca="1" si="91"/>
        <v>94.364817337113791</v>
      </c>
      <c r="Y237" s="314" t="str">
        <f t="shared" ca="1" si="109"/>
        <v/>
      </c>
      <c r="Z237" s="315" t="str">
        <f t="shared" ca="1" si="110"/>
        <v/>
      </c>
      <c r="AA237" s="316" t="str">
        <f t="shared" ca="1" si="111"/>
        <v/>
      </c>
      <c r="AC237" s="310" t="e">
        <f t="shared" ca="1" si="112"/>
        <v>#N/A</v>
      </c>
      <c r="AD237" s="323" t="e">
        <f t="shared" ca="1" si="113"/>
        <v>#N/A</v>
      </c>
      <c r="AE237" s="324">
        <f t="shared" ca="1" si="92"/>
        <v>192.57514903195593</v>
      </c>
      <c r="AG237" s="306">
        <f t="shared" ca="1" si="114"/>
        <v>43.682248214580916</v>
      </c>
      <c r="AH237" s="304">
        <f t="shared" ca="1" si="115"/>
        <v>53.24942657405122</v>
      </c>
    </row>
    <row r="238" spans="1:34" x14ac:dyDescent="0.2">
      <c r="A238" s="347">
        <f t="shared" ca="1" si="93"/>
        <v>0.01</v>
      </c>
      <c r="B238" s="304">
        <f t="shared" ca="1" si="94"/>
        <v>2.3399999999999941</v>
      </c>
      <c r="D238" s="306">
        <f t="shared" ca="1" si="95"/>
        <v>11.732935068413751</v>
      </c>
      <c r="E238" s="307">
        <f t="shared" ca="1" si="96"/>
        <v>41.905214726049685</v>
      </c>
      <c r="F238" s="304">
        <f t="shared" ca="1" si="97"/>
        <v>43.516764431147045</v>
      </c>
      <c r="G238" s="306">
        <f t="shared" ca="1" si="98"/>
        <v>34.232015309267048</v>
      </c>
      <c r="H238" s="307">
        <f t="shared" ca="1" si="99"/>
        <v>150.78622791126887</v>
      </c>
      <c r="I238" s="304">
        <f t="shared" ca="1" si="100"/>
        <v>154.62314639096894</v>
      </c>
      <c r="J238" s="306">
        <f t="shared" ca="1" si="101"/>
        <v>41.13247042806389</v>
      </c>
      <c r="K238" s="307">
        <f t="shared" ca="1" si="102"/>
        <v>194.08091605033232</v>
      </c>
      <c r="L238" s="304">
        <f t="shared" ca="1" si="87"/>
        <v>198.39173898741774</v>
      </c>
      <c r="M238" s="306">
        <f t="shared" ca="1" si="103"/>
        <v>1.3475567366638634</v>
      </c>
      <c r="N238" s="304">
        <f t="shared" ca="1" si="104"/>
        <v>77.209313665261462</v>
      </c>
      <c r="P238" s="310">
        <f t="shared" ca="1" si="105"/>
        <v>6</v>
      </c>
      <c r="Q238" s="304">
        <f t="shared" ca="1" si="106"/>
        <v>537.09000000000083</v>
      </c>
      <c r="R238" s="306">
        <f t="shared" ca="1" si="107"/>
        <v>0.26954044705276542</v>
      </c>
      <c r="S238" s="307">
        <f t="shared" ca="1" si="108"/>
        <v>8.3486624029693406</v>
      </c>
      <c r="T238" s="304">
        <f t="shared" ca="1" si="88"/>
        <v>81.900378173129241</v>
      </c>
      <c r="U238" s="311">
        <f t="shared" ca="1" si="89"/>
        <v>0</v>
      </c>
      <c r="V238" s="306">
        <f t="shared" ca="1" si="90"/>
        <v>1.2014535832900723</v>
      </c>
      <c r="W238" s="304">
        <f t="shared" ca="1" si="91"/>
        <v>94.883269756941743</v>
      </c>
      <c r="Y238" s="314" t="str">
        <f t="shared" ca="1" si="109"/>
        <v/>
      </c>
      <c r="Z238" s="315" t="str">
        <f t="shared" ca="1" si="110"/>
        <v/>
      </c>
      <c r="AA238" s="316" t="str">
        <f t="shared" ca="1" si="111"/>
        <v/>
      </c>
      <c r="AC238" s="310" t="e">
        <f t="shared" ca="1" si="112"/>
        <v>#N/A</v>
      </c>
      <c r="AD238" s="323" t="e">
        <f t="shared" ca="1" si="113"/>
        <v>#N/A</v>
      </c>
      <c r="AE238" s="324">
        <f t="shared" ca="1" si="92"/>
        <v>194.08091605033232</v>
      </c>
      <c r="AG238" s="306">
        <f t="shared" ca="1" si="114"/>
        <v>43.462601712073308</v>
      </c>
      <c r="AH238" s="304">
        <f t="shared" ca="1" si="115"/>
        <v>53.029474818076785</v>
      </c>
    </row>
    <row r="239" spans="1:34" x14ac:dyDescent="0.2">
      <c r="A239" s="347">
        <f t="shared" ca="1" si="93"/>
        <v>0.01</v>
      </c>
      <c r="B239" s="304">
        <f t="shared" ca="1" si="94"/>
        <v>2.3499999999999939</v>
      </c>
      <c r="D239" s="306">
        <f t="shared" ca="1" si="95"/>
        <v>11.691494132462596</v>
      </c>
      <c r="E239" s="307">
        <f t="shared" ca="1" si="96"/>
        <v>41.689050901730674</v>
      </c>
      <c r="F239" s="304">
        <f t="shared" ca="1" si="97"/>
        <v>43.297436415294825</v>
      </c>
      <c r="G239" s="306">
        <f t="shared" ca="1" si="98"/>
        <v>34.348930250591671</v>
      </c>
      <c r="H239" s="307">
        <f t="shared" ca="1" si="99"/>
        <v>151.20311842028616</v>
      </c>
      <c r="I239" s="304">
        <f t="shared" ca="1" si="100"/>
        <v>155.05557722758343</v>
      </c>
      <c r="J239" s="306">
        <f t="shared" ca="1" si="101"/>
        <v>41.475375155863183</v>
      </c>
      <c r="K239" s="307">
        <f t="shared" ca="1" si="102"/>
        <v>195.5908627819901</v>
      </c>
      <c r="L239" s="304">
        <f t="shared" ca="1" si="87"/>
        <v>199.93997186186374</v>
      </c>
      <c r="M239" s="306">
        <f t="shared" ca="1" si="103"/>
        <v>1.3474166684540547</v>
      </c>
      <c r="N239" s="304">
        <f t="shared" ca="1" si="104"/>
        <v>77.201288347995458</v>
      </c>
      <c r="P239" s="310">
        <f t="shared" ca="1" si="105"/>
        <v>6</v>
      </c>
      <c r="Q239" s="304">
        <f t="shared" ca="1" si="106"/>
        <v>535.6300000000009</v>
      </c>
      <c r="R239" s="306">
        <f t="shared" ca="1" si="107"/>
        <v>0.2688077410766776</v>
      </c>
      <c r="S239" s="307">
        <f t="shared" ca="1" si="108"/>
        <v>8.3459743255585739</v>
      </c>
      <c r="T239" s="304">
        <f t="shared" ca="1" si="88"/>
        <v>81.874008133729617</v>
      </c>
      <c r="U239" s="311">
        <f t="shared" ca="1" si="89"/>
        <v>0</v>
      </c>
      <c r="V239" s="306">
        <f t="shared" ca="1" si="90"/>
        <v>1.2012721666787685</v>
      </c>
      <c r="W239" s="304">
        <f t="shared" ca="1" si="91"/>
        <v>95.400320000842413</v>
      </c>
      <c r="Y239" s="314" t="str">
        <f t="shared" ca="1" si="109"/>
        <v/>
      </c>
      <c r="Z239" s="315" t="str">
        <f t="shared" ca="1" si="110"/>
        <v/>
      </c>
      <c r="AA239" s="316" t="str">
        <f t="shared" ca="1" si="111"/>
        <v/>
      </c>
      <c r="AC239" s="310" t="e">
        <f t="shared" ca="1" si="112"/>
        <v>#N/A</v>
      </c>
      <c r="AD239" s="323" t="e">
        <f t="shared" ca="1" si="113"/>
        <v>#N/A</v>
      </c>
      <c r="AE239" s="324">
        <f t="shared" ca="1" si="92"/>
        <v>195.5908627819901</v>
      </c>
      <c r="AG239" s="306">
        <f t="shared" ca="1" si="114"/>
        <v>43.242931558881054</v>
      </c>
      <c r="AH239" s="304">
        <f t="shared" ca="1" si="115"/>
        <v>52.809499891860881</v>
      </c>
    </row>
    <row r="240" spans="1:34" x14ac:dyDescent="0.2">
      <c r="A240" s="347">
        <f t="shared" ca="1" si="93"/>
        <v>0.01</v>
      </c>
      <c r="B240" s="304">
        <f t="shared" ca="1" si="94"/>
        <v>2.3599999999999937</v>
      </c>
      <c r="D240" s="306">
        <f t="shared" ca="1" si="95"/>
        <v>11.649972705197829</v>
      </c>
      <c r="E240" s="307">
        <f t="shared" ca="1" si="96"/>
        <v>41.472883911844264</v>
      </c>
      <c r="F240" s="304">
        <f t="shared" ca="1" si="97"/>
        <v>43.078091461869164</v>
      </c>
      <c r="G240" s="306">
        <f t="shared" ca="1" si="98"/>
        <v>34.465429977643652</v>
      </c>
      <c r="H240" s="307">
        <f t="shared" ca="1" si="99"/>
        <v>151.61784725940461</v>
      </c>
      <c r="I240" s="304">
        <f t="shared" ca="1" si="100"/>
        <v>155.48581115690268</v>
      </c>
      <c r="J240" s="306">
        <f t="shared" ca="1" si="101"/>
        <v>41.819446957004359</v>
      </c>
      <c r="K240" s="307">
        <f t="shared" ca="1" si="102"/>
        <v>197.10496761038854</v>
      </c>
      <c r="L240" s="304">
        <f t="shared" ca="1" si="87"/>
        <v>201.49251698383745</v>
      </c>
      <c r="M240" s="306">
        <f t="shared" ca="1" si="103"/>
        <v>1.3472769016388768</v>
      </c>
      <c r="N240" s="304">
        <f t="shared" ca="1" si="104"/>
        <v>77.193280299369789</v>
      </c>
      <c r="P240" s="310">
        <f t="shared" ca="1" si="105"/>
        <v>6</v>
      </c>
      <c r="Q240" s="304">
        <f t="shared" ca="1" si="106"/>
        <v>534.17000000000087</v>
      </c>
      <c r="R240" s="306">
        <f t="shared" ca="1" si="107"/>
        <v>0.26807503510058972</v>
      </c>
      <c r="S240" s="307">
        <f t="shared" ca="1" si="108"/>
        <v>8.3432935752075679</v>
      </c>
      <c r="T240" s="304">
        <f t="shared" ca="1" si="88"/>
        <v>81.847709972786248</v>
      </c>
      <c r="U240" s="311">
        <f t="shared" ca="1" si="89"/>
        <v>0</v>
      </c>
      <c r="V240" s="306">
        <f t="shared" ca="1" si="90"/>
        <v>1.2010902777195107</v>
      </c>
      <c r="W240" s="304">
        <f t="shared" ca="1" si="91"/>
        <v>95.915945345156487</v>
      </c>
      <c r="Y240" s="314" t="str">
        <f t="shared" ca="1" si="109"/>
        <v/>
      </c>
      <c r="Z240" s="315" t="str">
        <f t="shared" ca="1" si="110"/>
        <v/>
      </c>
      <c r="AA240" s="316" t="str">
        <f t="shared" ca="1" si="111"/>
        <v/>
      </c>
      <c r="AC240" s="310" t="e">
        <f t="shared" ca="1" si="112"/>
        <v>#N/A</v>
      </c>
      <c r="AD240" s="323" t="e">
        <f t="shared" ca="1" si="113"/>
        <v>#N/A</v>
      </c>
      <c r="AE240" s="324">
        <f t="shared" ca="1" si="92"/>
        <v>197.10496761038854</v>
      </c>
      <c r="AG240" s="306">
        <f t="shared" ca="1" si="114"/>
        <v>43.023241063003681</v>
      </c>
      <c r="AH240" s="304">
        <f t="shared" ca="1" si="115"/>
        <v>52.589505097001528</v>
      </c>
    </row>
    <row r="241" spans="1:34" x14ac:dyDescent="0.2">
      <c r="A241" s="347">
        <f t="shared" ca="1" si="93"/>
        <v>0.01</v>
      </c>
      <c r="B241" s="304">
        <f t="shared" ca="1" si="94"/>
        <v>2.3699999999999934</v>
      </c>
      <c r="D241" s="306">
        <f t="shared" ca="1" si="95"/>
        <v>11.608371884820965</v>
      </c>
      <c r="E241" s="307">
        <f t="shared" ca="1" si="96"/>
        <v>41.256716895881397</v>
      </c>
      <c r="F241" s="304">
        <f t="shared" ca="1" si="97"/>
        <v>42.858732912245635</v>
      </c>
      <c r="G241" s="306">
        <f t="shared" ca="1" si="98"/>
        <v>34.581513696491861</v>
      </c>
      <c r="H241" s="307">
        <f t="shared" ca="1" si="99"/>
        <v>152.03041442836343</v>
      </c>
      <c r="I241" s="304">
        <f t="shared" ca="1" si="100"/>
        <v>155.91384800844531</v>
      </c>
      <c r="J241" s="306">
        <f t="shared" ca="1" si="101"/>
        <v>42.164681675375036</v>
      </c>
      <c r="K241" s="307">
        <f t="shared" ca="1" si="102"/>
        <v>198.62320891882737</v>
      </c>
      <c r="L241" s="304">
        <f t="shared" ca="1" si="87"/>
        <v>203.04935238014883</v>
      </c>
      <c r="M241" s="306">
        <f t="shared" ca="1" si="103"/>
        <v>1.3471374327773322</v>
      </c>
      <c r="N241" s="304">
        <f t="shared" ca="1" si="104"/>
        <v>77.185289322229792</v>
      </c>
      <c r="P241" s="310">
        <f t="shared" ca="1" si="105"/>
        <v>6</v>
      </c>
      <c r="Q241" s="304">
        <f t="shared" ca="1" si="106"/>
        <v>532.71000000000095</v>
      </c>
      <c r="R241" s="306">
        <f t="shared" ca="1" si="107"/>
        <v>0.2673423291245019</v>
      </c>
      <c r="S241" s="307">
        <f t="shared" ca="1" si="108"/>
        <v>8.3406201519163226</v>
      </c>
      <c r="T241" s="304">
        <f t="shared" ca="1" si="88"/>
        <v>81.821483690299132</v>
      </c>
      <c r="U241" s="311">
        <f t="shared" ca="1" si="89"/>
        <v>0</v>
      </c>
      <c r="V241" s="306">
        <f t="shared" ca="1" si="90"/>
        <v>1.2009079192270762</v>
      </c>
      <c r="W241" s="304">
        <f t="shared" ca="1" si="91"/>
        <v>96.43012324064739</v>
      </c>
      <c r="Y241" s="314" t="str">
        <f t="shared" ca="1" si="109"/>
        <v/>
      </c>
      <c r="Z241" s="315" t="str">
        <f t="shared" ca="1" si="110"/>
        <v/>
      </c>
      <c r="AA241" s="316" t="str">
        <f t="shared" ca="1" si="111"/>
        <v/>
      </c>
      <c r="AC241" s="310" t="e">
        <f t="shared" ca="1" si="112"/>
        <v>#N/A</v>
      </c>
      <c r="AD241" s="323" t="e">
        <f t="shared" ca="1" si="113"/>
        <v>#N/A</v>
      </c>
      <c r="AE241" s="324">
        <f t="shared" ca="1" si="92"/>
        <v>198.62320891882737</v>
      </c>
      <c r="AG241" s="306">
        <f t="shared" ca="1" si="114"/>
        <v>42.803533515858874</v>
      </c>
      <c r="AH241" s="304">
        <f t="shared" ca="1" si="115"/>
        <v>52.369493718580102</v>
      </c>
    </row>
    <row r="242" spans="1:34" x14ac:dyDescent="0.2">
      <c r="A242" s="347">
        <f t="shared" ca="1" si="93"/>
        <v>0.01</v>
      </c>
      <c r="B242" s="304">
        <f t="shared" ca="1" si="94"/>
        <v>2.3799999999999932</v>
      </c>
      <c r="D242" s="306">
        <f t="shared" ca="1" si="95"/>
        <v>11.566692762642782</v>
      </c>
      <c r="E242" s="307">
        <f t="shared" ca="1" si="96"/>
        <v>41.040552977631101</v>
      </c>
      <c r="F242" s="304">
        <f t="shared" ca="1" si="97"/>
        <v>42.639364092058386</v>
      </c>
      <c r="G242" s="306">
        <f t="shared" ca="1" si="98"/>
        <v>34.697180624118289</v>
      </c>
      <c r="H242" s="307">
        <f t="shared" ca="1" si="99"/>
        <v>152.44081995813974</v>
      </c>
      <c r="I242" s="304">
        <f t="shared" ca="1" si="100"/>
        <v>156.3396876444771</v>
      </c>
      <c r="J242" s="306">
        <f t="shared" ca="1" si="101"/>
        <v>42.511075146978087</v>
      </c>
      <c r="K242" s="307">
        <f t="shared" ca="1" si="102"/>
        <v>200.1455650907599</v>
      </c>
      <c r="L242" s="304">
        <f t="shared" ca="1" si="87"/>
        <v>204.61045607605598</v>
      </c>
      <c r="M242" s="306">
        <f t="shared" ca="1" si="103"/>
        <v>1.3469982584670044</v>
      </c>
      <c r="N242" s="304">
        <f t="shared" ca="1" si="104"/>
        <v>77.17731522163136</v>
      </c>
      <c r="P242" s="310">
        <f t="shared" ca="1" si="105"/>
        <v>6</v>
      </c>
      <c r="Q242" s="304">
        <f t="shared" ca="1" si="106"/>
        <v>531.25000000000102</v>
      </c>
      <c r="R242" s="306">
        <f t="shared" ca="1" si="107"/>
        <v>0.26660962314841402</v>
      </c>
      <c r="S242" s="307">
        <f t="shared" ca="1" si="108"/>
        <v>8.3379540556848379</v>
      </c>
      <c r="T242" s="304">
        <f t="shared" ca="1" si="88"/>
        <v>81.79532928626827</v>
      </c>
      <c r="U242" s="311">
        <f t="shared" ca="1" si="89"/>
        <v>0</v>
      </c>
      <c r="V242" s="306">
        <f t="shared" ca="1" si="90"/>
        <v>1.200725094015175</v>
      </c>
      <c r="W242" s="304">
        <f t="shared" ca="1" si="91"/>
        <v>96.942831312824183</v>
      </c>
      <c r="Y242" s="314" t="str">
        <f t="shared" ca="1" si="109"/>
        <v/>
      </c>
      <c r="Z242" s="315" t="str">
        <f t="shared" ca="1" si="110"/>
        <v/>
      </c>
      <c r="AA242" s="316" t="str">
        <f t="shared" ca="1" si="111"/>
        <v/>
      </c>
      <c r="AC242" s="310" t="e">
        <f t="shared" ca="1" si="112"/>
        <v>#N/A</v>
      </c>
      <c r="AD242" s="323" t="e">
        <f t="shared" ca="1" si="113"/>
        <v>#N/A</v>
      </c>
      <c r="AE242" s="324">
        <f t="shared" ca="1" si="92"/>
        <v>200.1455650907599</v>
      </c>
      <c r="AG242" s="306">
        <f t="shared" ca="1" si="114"/>
        <v>42.583812192187516</v>
      </c>
      <c r="AH242" s="304">
        <f t="shared" ca="1" si="115"/>
        <v>52.149469025065251</v>
      </c>
    </row>
    <row r="243" spans="1:34" x14ac:dyDescent="0.2">
      <c r="A243" s="347">
        <f t="shared" ca="1" si="93"/>
        <v>0.01</v>
      </c>
      <c r="B243" s="304">
        <f t="shared" ca="1" si="94"/>
        <v>2.389999999999993</v>
      </c>
      <c r="D243" s="306">
        <f t="shared" ca="1" si="95"/>
        <v>11.524936423117618</v>
      </c>
      <c r="E243" s="307">
        <f t="shared" ca="1" si="96"/>
        <v>40.824395265079986</v>
      </c>
      <c r="F243" s="304">
        <f t="shared" ca="1" si="97"/>
        <v>42.419988311129792</v>
      </c>
      <c r="G243" s="306">
        <f t="shared" ca="1" si="98"/>
        <v>34.812429988349464</v>
      </c>
      <c r="H243" s="307">
        <f t="shared" ca="1" si="99"/>
        <v>152.84906391079053</v>
      </c>
      <c r="I243" s="304">
        <f t="shared" ca="1" si="100"/>
        <v>156.76332995984316</v>
      </c>
      <c r="J243" s="306">
        <f t="shared" ca="1" si="101"/>
        <v>42.858623200040427</v>
      </c>
      <c r="K243" s="307">
        <f t="shared" ca="1" si="102"/>
        <v>201.67201451010456</v>
      </c>
      <c r="L243" s="304">
        <f t="shared" ca="1" si="87"/>
        <v>206.17580609559133</v>
      </c>
      <c r="M243" s="306">
        <f t="shared" ca="1" si="103"/>
        <v>1.3468593753434048</v>
      </c>
      <c r="N243" s="304">
        <f t="shared" ca="1" si="104"/>
        <v>77.169357804803511</v>
      </c>
      <c r="P243" s="310">
        <f t="shared" ca="1" si="105"/>
        <v>6</v>
      </c>
      <c r="Q243" s="304">
        <f t="shared" ca="1" si="106"/>
        <v>529.79000000000099</v>
      </c>
      <c r="R243" s="306">
        <f t="shared" ca="1" si="107"/>
        <v>0.26587691717232614</v>
      </c>
      <c r="S243" s="307">
        <f t="shared" ca="1" si="108"/>
        <v>8.335295286513114</v>
      </c>
      <c r="T243" s="304">
        <f t="shared" ca="1" si="88"/>
        <v>81.769246760693648</v>
      </c>
      <c r="U243" s="311">
        <f t="shared" ca="1" si="89"/>
        <v>0</v>
      </c>
      <c r="V243" s="306">
        <f t="shared" ca="1" si="90"/>
        <v>1.2005418048964032</v>
      </c>
      <c r="W243" s="304">
        <f t="shared" ca="1" si="91"/>
        <v>97.454047362248545</v>
      </c>
      <c r="Y243" s="314" t="str">
        <f t="shared" ca="1" si="109"/>
        <v/>
      </c>
      <c r="Z243" s="315" t="str">
        <f t="shared" ca="1" si="110"/>
        <v/>
      </c>
      <c r="AA243" s="316" t="str">
        <f t="shared" ca="1" si="111"/>
        <v/>
      </c>
      <c r="AC243" s="310" t="e">
        <f t="shared" ca="1" si="112"/>
        <v>#N/A</v>
      </c>
      <c r="AD243" s="323" t="e">
        <f t="shared" ca="1" si="113"/>
        <v>#N/A</v>
      </c>
      <c r="AE243" s="324">
        <f t="shared" ca="1" si="92"/>
        <v>201.67201451010456</v>
      </c>
      <c r="AG243" s="306">
        <f t="shared" ca="1" si="114"/>
        <v>42.364080349960673</v>
      </c>
      <c r="AH243" s="304">
        <f t="shared" ca="1" si="115"/>
        <v>51.929434268218806</v>
      </c>
    </row>
    <row r="244" spans="1:34" x14ac:dyDescent="0.2">
      <c r="A244" s="347">
        <f t="shared" ca="1" si="93"/>
        <v>0.01</v>
      </c>
      <c r="B244" s="304">
        <f t="shared" ca="1" si="94"/>
        <v>2.3999999999999928</v>
      </c>
      <c r="D244" s="306">
        <f t="shared" ca="1" si="95"/>
        <v>11.483103943876799</v>
      </c>
      <c r="E244" s="307">
        <f t="shared" ca="1" si="96"/>
        <v>40.608246850313975</v>
      </c>
      <c r="F244" s="304">
        <f t="shared" ca="1" si="97"/>
        <v>42.200608863402834</v>
      </c>
      <c r="G244" s="306">
        <f t="shared" ca="1" si="98"/>
        <v>34.927261027788234</v>
      </c>
      <c r="H244" s="307">
        <f t="shared" ca="1" si="99"/>
        <v>153.25514637929368</v>
      </c>
      <c r="I244" s="304">
        <f t="shared" ca="1" si="100"/>
        <v>157.18477488179948</v>
      </c>
      <c r="J244" s="306">
        <f t="shared" ca="1" si="101"/>
        <v>43.207321655121113</v>
      </c>
      <c r="K244" s="307">
        <f t="shared" ca="1" si="102"/>
        <v>203.20253556155498</v>
      </c>
      <c r="L244" s="304">
        <f t="shared" ca="1" si="87"/>
        <v>207.74538046188684</v>
      </c>
      <c r="M244" s="306">
        <f t="shared" ca="1" si="103"/>
        <v>1.3467207800793335</v>
      </c>
      <c r="N244" s="304">
        <f t="shared" ca="1" si="104"/>
        <v>77.16141688111172</v>
      </c>
      <c r="P244" s="310">
        <f t="shared" ca="1" si="105"/>
        <v>6</v>
      </c>
      <c r="Q244" s="304">
        <f t="shared" ca="1" si="106"/>
        <v>528.33000000000106</v>
      </c>
      <c r="R244" s="306">
        <f t="shared" ca="1" si="107"/>
        <v>0.26514421119623832</v>
      </c>
      <c r="S244" s="307">
        <f t="shared" ca="1" si="108"/>
        <v>8.3326438444011508</v>
      </c>
      <c r="T244" s="304">
        <f t="shared" ca="1" si="88"/>
        <v>81.743236113575293</v>
      </c>
      <c r="U244" s="311">
        <f t="shared" ca="1" si="89"/>
        <v>0</v>
      </c>
      <c r="V244" s="306">
        <f t="shared" ca="1" si="90"/>
        <v>1.200358054682197</v>
      </c>
      <c r="W244" s="304">
        <f t="shared" ca="1" si="91"/>
        <v>97.963749364826938</v>
      </c>
      <c r="Y244" s="314" t="str">
        <f t="shared" ca="1" si="109"/>
        <v/>
      </c>
      <c r="Z244" s="315" t="str">
        <f t="shared" ca="1" si="110"/>
        <v/>
      </c>
      <c r="AA244" s="316" t="str">
        <f t="shared" ca="1" si="111"/>
        <v/>
      </c>
      <c r="AC244" s="310" t="e">
        <f t="shared" ca="1" si="112"/>
        <v>#N/A</v>
      </c>
      <c r="AD244" s="323" t="e">
        <f t="shared" ca="1" si="113"/>
        <v>#N/A</v>
      </c>
      <c r="AE244" s="324">
        <f t="shared" ca="1" si="92"/>
        <v>203.20253556155498</v>
      </c>
      <c r="AG244" s="306">
        <f t="shared" ca="1" si="114"/>
        <v>42.144341230288575</v>
      </c>
      <c r="AH244" s="304">
        <f t="shared" ca="1" si="115"/>
        <v>51.709392683003678</v>
      </c>
    </row>
    <row r="245" spans="1:34" x14ac:dyDescent="0.2">
      <c r="A245" s="347">
        <f t="shared" ca="1" si="93"/>
        <v>0.01</v>
      </c>
      <c r="B245" s="304">
        <f t="shared" ca="1" si="94"/>
        <v>2.4099999999999926</v>
      </c>
      <c r="D245" s="306">
        <f t="shared" ca="1" si="95"/>
        <v>11.44119639576116</v>
      </c>
      <c r="E245" s="307">
        <f t="shared" ca="1" si="96"/>
        <v>40.392110809421801</v>
      </c>
      <c r="F245" s="304">
        <f t="shared" ca="1" si="97"/>
        <v>41.98122902687566</v>
      </c>
      <c r="G245" s="306">
        <f t="shared" ca="1" si="98"/>
        <v>35.041672991745848</v>
      </c>
      <c r="H245" s="307">
        <f t="shared" ca="1" si="99"/>
        <v>153.65906748738789</v>
      </c>
      <c r="I245" s="304">
        <f t="shared" ca="1" si="100"/>
        <v>157.60402236984331</v>
      </c>
      <c r="J245" s="306">
        <f t="shared" ca="1" si="101"/>
        <v>43.55716632521878</v>
      </c>
      <c r="K245" s="307">
        <f t="shared" ca="1" si="102"/>
        <v>204.73710663088838</v>
      </c>
      <c r="L245" s="304">
        <f t="shared" ca="1" si="87"/>
        <v>209.31915719749716</v>
      </c>
      <c r="M245" s="306">
        <f t="shared" ca="1" si="103"/>
        <v>1.3465824693842523</v>
      </c>
      <c r="N245" s="304">
        <f t="shared" ca="1" si="104"/>
        <v>77.153492262022041</v>
      </c>
      <c r="P245" s="310">
        <f t="shared" ca="1" si="105"/>
        <v>6</v>
      </c>
      <c r="Q245" s="304">
        <f t="shared" ca="1" si="106"/>
        <v>526.87000000000103</v>
      </c>
      <c r="R245" s="306">
        <f t="shared" ca="1" si="107"/>
        <v>0.26441150522015039</v>
      </c>
      <c r="S245" s="307">
        <f t="shared" ca="1" si="108"/>
        <v>8.3299997293489501</v>
      </c>
      <c r="T245" s="304">
        <f t="shared" ca="1" si="88"/>
        <v>81.717297344913206</v>
      </c>
      <c r="U245" s="311">
        <f t="shared" ca="1" si="89"/>
        <v>0</v>
      </c>
      <c r="V245" s="306">
        <f t="shared" ca="1" si="90"/>
        <v>1.2001738461827818</v>
      </c>
      <c r="W245" s="304">
        <f t="shared" ca="1" si="91"/>
        <v>98.471915472086565</v>
      </c>
      <c r="Y245" s="314" t="str">
        <f t="shared" ca="1" si="109"/>
        <v/>
      </c>
      <c r="Z245" s="315" t="str">
        <f t="shared" ca="1" si="110"/>
        <v/>
      </c>
      <c r="AA245" s="316" t="str">
        <f t="shared" ca="1" si="111"/>
        <v/>
      </c>
      <c r="AC245" s="310" t="e">
        <f t="shared" ca="1" si="112"/>
        <v>#N/A</v>
      </c>
      <c r="AD245" s="323" t="e">
        <f t="shared" ca="1" si="113"/>
        <v>#N/A</v>
      </c>
      <c r="AE245" s="324">
        <f t="shared" ca="1" si="92"/>
        <v>204.73710663088838</v>
      </c>
      <c r="AG245" s="306">
        <f t="shared" ca="1" si="114"/>
        <v>41.924598057331167</v>
      </c>
      <c r="AH245" s="304">
        <f t="shared" ca="1" si="115"/>
        <v>51.489347487493404</v>
      </c>
    </row>
    <row r="246" spans="1:34" x14ac:dyDescent="0.2">
      <c r="A246" s="347">
        <f t="shared" ca="1" si="93"/>
        <v>0.01</v>
      </c>
      <c r="B246" s="304">
        <f t="shared" ca="1" si="94"/>
        <v>2.4199999999999924</v>
      </c>
      <c r="D246" s="306">
        <f t="shared" ca="1" si="95"/>
        <v>11.399214842852752</v>
      </c>
      <c r="E246" s="307">
        <f t="shared" ca="1" si="96"/>
        <v>40.175990202400897</v>
      </c>
      <c r="F246" s="304">
        <f t="shared" ca="1" si="97"/>
        <v>41.761852063539131</v>
      </c>
      <c r="G246" s="306">
        <f t="shared" ca="1" si="98"/>
        <v>35.155665140174378</v>
      </c>
      <c r="H246" s="307">
        <f t="shared" ca="1" si="99"/>
        <v>154.06082738941188</v>
      </c>
      <c r="I246" s="304">
        <f t="shared" ca="1" si="100"/>
        <v>158.02107241554285</v>
      </c>
      <c r="J246" s="306">
        <f t="shared" ca="1" si="101"/>
        <v>43.908153015878383</v>
      </c>
      <c r="K246" s="307">
        <f t="shared" ca="1" si="102"/>
        <v>206.27570610527238</v>
      </c>
      <c r="L246" s="304">
        <f t="shared" ca="1" si="87"/>
        <v>210.89711432472114</v>
      </c>
      <c r="M246" s="306">
        <f t="shared" ca="1" si="103"/>
        <v>1.3464444400036719</v>
      </c>
      <c r="N246" s="304">
        <f t="shared" ca="1" si="104"/>
        <v>77.145583761065993</v>
      </c>
      <c r="P246" s="310">
        <f t="shared" ca="1" si="105"/>
        <v>6</v>
      </c>
      <c r="Q246" s="304">
        <f t="shared" ca="1" si="106"/>
        <v>525.41000000000111</v>
      </c>
      <c r="R246" s="306">
        <f t="shared" ca="1" si="107"/>
        <v>0.26367879924406257</v>
      </c>
      <c r="S246" s="307">
        <f t="shared" ca="1" si="108"/>
        <v>8.32736294135651</v>
      </c>
      <c r="T246" s="304">
        <f t="shared" ca="1" si="88"/>
        <v>81.691430454707373</v>
      </c>
      <c r="U246" s="311">
        <f t="shared" ca="1" si="89"/>
        <v>0</v>
      </c>
      <c r="V246" s="306">
        <f t="shared" ca="1" si="90"/>
        <v>1.1999891822071289</v>
      </c>
      <c r="W246" s="304">
        <f t="shared" ca="1" si="91"/>
        <v>98.978524011437017</v>
      </c>
      <c r="Y246" s="314" t="str">
        <f t="shared" ca="1" si="109"/>
        <v/>
      </c>
      <c r="Z246" s="315" t="str">
        <f t="shared" ca="1" si="110"/>
        <v/>
      </c>
      <c r="AA246" s="316" t="str">
        <f t="shared" ca="1" si="111"/>
        <v/>
      </c>
      <c r="AC246" s="310" t="e">
        <f t="shared" ca="1" si="112"/>
        <v>#N/A</v>
      </c>
      <c r="AD246" s="323" t="e">
        <f t="shared" ca="1" si="113"/>
        <v>#N/A</v>
      </c>
      <c r="AE246" s="324">
        <f t="shared" ca="1" si="92"/>
        <v>206.27570610527238</v>
      </c>
      <c r="AG246" s="306">
        <f t="shared" ca="1" si="114"/>
        <v>41.704854038210989</v>
      </c>
      <c r="AH246" s="304">
        <f t="shared" ca="1" si="115"/>
        <v>51.269301882783942</v>
      </c>
    </row>
    <row r="247" spans="1:34" x14ac:dyDescent="0.2">
      <c r="A247" s="347">
        <f t="shared" ca="1" si="93"/>
        <v>0.01</v>
      </c>
      <c r="B247" s="304">
        <f t="shared" ca="1" si="94"/>
        <v>2.4299999999999922</v>
      </c>
      <c r="D247" s="306">
        <f t="shared" ca="1" si="95"/>
        <v>11.35716034250563</v>
      </c>
      <c r="E247" s="307">
        <f t="shared" ca="1" si="96"/>
        <v>39.959888073065059</v>
      </c>
      <c r="F247" s="304">
        <f t="shared" ca="1" si="97"/>
        <v>41.542481219316571</v>
      </c>
      <c r="G247" s="306">
        <f t="shared" ca="1" si="98"/>
        <v>35.269236743599436</v>
      </c>
      <c r="H247" s="307">
        <f t="shared" ca="1" si="99"/>
        <v>154.46042627014253</v>
      </c>
      <c r="I247" s="304">
        <f t="shared" ca="1" si="100"/>
        <v>158.43592504236597</v>
      </c>
      <c r="J247" s="306">
        <f t="shared" ca="1" si="101"/>
        <v>44.260277525297255</v>
      </c>
      <c r="K247" s="307">
        <f t="shared" ca="1" si="102"/>
        <v>207.81831237357014</v>
      </c>
      <c r="L247" s="304">
        <f t="shared" ca="1" si="87"/>
        <v>212.4792298659215</v>
      </c>
      <c r="M247" s="306">
        <f t="shared" ca="1" si="103"/>
        <v>1.3463066887185489</v>
      </c>
      <c r="N247" s="304">
        <f t="shared" ca="1" si="104"/>
        <v>77.137691193805935</v>
      </c>
      <c r="P247" s="310">
        <f t="shared" ca="1" si="105"/>
        <v>6</v>
      </c>
      <c r="Q247" s="304">
        <f t="shared" ca="1" si="106"/>
        <v>523.95000000000118</v>
      </c>
      <c r="R247" s="306">
        <f t="shared" ca="1" si="107"/>
        <v>0.26294609326797475</v>
      </c>
      <c r="S247" s="307">
        <f t="shared" ca="1" si="108"/>
        <v>8.3247334804238307</v>
      </c>
      <c r="T247" s="304">
        <f t="shared" ca="1" si="88"/>
        <v>81.665635442957779</v>
      </c>
      <c r="U247" s="311">
        <f t="shared" ca="1" si="89"/>
        <v>0</v>
      </c>
      <c r="V247" s="306">
        <f t="shared" ca="1" si="90"/>
        <v>1.1998040655629074</v>
      </c>
      <c r="W247" s="304">
        <f t="shared" ca="1" si="91"/>
        <v>99.483553486416056</v>
      </c>
      <c r="Y247" s="314" t="str">
        <f t="shared" ca="1" si="109"/>
        <v/>
      </c>
      <c r="Z247" s="315" t="str">
        <f t="shared" ca="1" si="110"/>
        <v/>
      </c>
      <c r="AA247" s="316" t="str">
        <f t="shared" ca="1" si="111"/>
        <v/>
      </c>
      <c r="AC247" s="310" t="e">
        <f t="shared" ca="1" si="112"/>
        <v>#N/A</v>
      </c>
      <c r="AD247" s="323" t="e">
        <f t="shared" ca="1" si="113"/>
        <v>#N/A</v>
      </c>
      <c r="AE247" s="324">
        <f t="shared" ca="1" si="92"/>
        <v>207.81831237357014</v>
      </c>
      <c r="AG247" s="306">
        <f t="shared" ca="1" si="114"/>
        <v>41.485112362927453</v>
      </c>
      <c r="AH247" s="304">
        <f t="shared" ca="1" si="115"/>
        <v>51.04925905290699</v>
      </c>
    </row>
    <row r="248" spans="1:34" x14ac:dyDescent="0.2">
      <c r="A248" s="347">
        <f t="shared" ca="1" si="93"/>
        <v>0.01</v>
      </c>
      <c r="B248" s="304">
        <f t="shared" ca="1" si="94"/>
        <v>2.439999999999992</v>
      </c>
      <c r="D248" s="306">
        <f t="shared" ca="1" si="95"/>
        <v>11.315033945376005</v>
      </c>
      <c r="E248" s="307">
        <f t="shared" ca="1" si="96"/>
        <v>39.743807448954286</v>
      </c>
      <c r="F248" s="304">
        <f t="shared" ca="1" si="97"/>
        <v>41.323119724006382</v>
      </c>
      <c r="G248" s="306">
        <f t="shared" ca="1" si="98"/>
        <v>35.382387083053196</v>
      </c>
      <c r="H248" s="307">
        <f t="shared" ca="1" si="99"/>
        <v>154.85786434463208</v>
      </c>
      <c r="I248" s="304">
        <f t="shared" ca="1" si="100"/>
        <v>158.84858030550816</v>
      </c>
      <c r="J248" s="306">
        <f t="shared" ca="1" si="101"/>
        <v>44.61353564443052</v>
      </c>
      <c r="K248" s="307">
        <f t="shared" ca="1" si="102"/>
        <v>209.36490382664402</v>
      </c>
      <c r="L248" s="304">
        <f t="shared" ca="1" si="87"/>
        <v>214.06548184384323</v>
      </c>
      <c r="M248" s="306">
        <f t="shared" ca="1" si="103"/>
        <v>1.3461692123446973</v>
      </c>
      <c r="N248" s="304">
        <f t="shared" ca="1" si="104"/>
        <v>77.12981437780148</v>
      </c>
      <c r="P248" s="310">
        <f t="shared" ca="1" si="105"/>
        <v>6</v>
      </c>
      <c r="Q248" s="304">
        <f t="shared" ca="1" si="106"/>
        <v>522.49000000000115</v>
      </c>
      <c r="R248" s="306">
        <f t="shared" ca="1" si="107"/>
        <v>0.26221338729188687</v>
      </c>
      <c r="S248" s="307">
        <f t="shared" ca="1" si="108"/>
        <v>8.322111346550912</v>
      </c>
      <c r="T248" s="304">
        <f t="shared" ca="1" si="88"/>
        <v>81.639912309664453</v>
      </c>
      <c r="U248" s="311">
        <f t="shared" ca="1" si="89"/>
        <v>0</v>
      </c>
      <c r="V248" s="306">
        <f t="shared" ca="1" si="90"/>
        <v>1.1996184990564371</v>
      </c>
      <c r="W248" s="304">
        <f t="shared" ca="1" si="91"/>
        <v>99.986982576920582</v>
      </c>
      <c r="Y248" s="314" t="str">
        <f t="shared" ca="1" si="109"/>
        <v/>
      </c>
      <c r="Z248" s="315" t="str">
        <f t="shared" ca="1" si="110"/>
        <v/>
      </c>
      <c r="AA248" s="316" t="str">
        <f t="shared" ca="1" si="111"/>
        <v/>
      </c>
      <c r="AC248" s="310" t="e">
        <f t="shared" ca="1" si="112"/>
        <v>#N/A</v>
      </c>
      <c r="AD248" s="323" t="e">
        <f t="shared" ca="1" si="113"/>
        <v>#N/A</v>
      </c>
      <c r="AE248" s="324">
        <f t="shared" ca="1" si="92"/>
        <v>209.36490382664402</v>
      </c>
      <c r="AG248" s="306">
        <f t="shared" ca="1" si="114"/>
        <v>41.265376204273295</v>
      </c>
      <c r="AH248" s="304">
        <f t="shared" ca="1" si="115"/>
        <v>50.829222164745438</v>
      </c>
    </row>
    <row r="249" spans="1:34" x14ac:dyDescent="0.2">
      <c r="A249" s="347">
        <f t="shared" ca="1" si="93"/>
        <v>0.01</v>
      </c>
      <c r="B249" s="304">
        <f t="shared" ca="1" si="94"/>
        <v>2.4499999999999917</v>
      </c>
      <c r="D249" s="306">
        <f t="shared" ca="1" si="95"/>
        <v>11.272836695451488</v>
      </c>
      <c r="E249" s="307">
        <f t="shared" ca="1" si="96"/>
        <v>39.527751341246663</v>
      </c>
      <c r="F249" s="304">
        <f t="shared" ca="1" si="97"/>
        <v>41.103770791227234</v>
      </c>
      <c r="G249" s="306">
        <f t="shared" ca="1" si="98"/>
        <v>35.49511545000771</v>
      </c>
      <c r="H249" s="307">
        <f t="shared" ca="1" si="99"/>
        <v>155.25314185804456</v>
      </c>
      <c r="I249" s="304">
        <f t="shared" ca="1" si="100"/>
        <v>159.25903829171983</v>
      </c>
      <c r="J249" s="306">
        <f t="shared" ca="1" si="101"/>
        <v>44.967923157095825</v>
      </c>
      <c r="K249" s="307">
        <f t="shared" ca="1" si="102"/>
        <v>210.9154588576574</v>
      </c>
      <c r="L249" s="304">
        <f t="shared" ca="1" si="87"/>
        <v>215.65584828192962</v>
      </c>
      <c r="M249" s="306">
        <f t="shared" ca="1" si="103"/>
        <v>1.3460320077322105</v>
      </c>
      <c r="N249" s="304">
        <f t="shared" ca="1" si="104"/>
        <v>77.121953132576252</v>
      </c>
      <c r="P249" s="310">
        <f t="shared" ca="1" si="105"/>
        <v>6</v>
      </c>
      <c r="Q249" s="304">
        <f t="shared" ca="1" si="106"/>
        <v>521.03000000000122</v>
      </c>
      <c r="R249" s="306">
        <f t="shared" ca="1" si="107"/>
        <v>0.26148068131579899</v>
      </c>
      <c r="S249" s="307">
        <f t="shared" ca="1" si="108"/>
        <v>8.319496539737754</v>
      </c>
      <c r="T249" s="304">
        <f t="shared" ca="1" si="88"/>
        <v>81.614261054827367</v>
      </c>
      <c r="U249" s="311">
        <f t="shared" ca="1" si="89"/>
        <v>0</v>
      </c>
      <c r="V249" s="306">
        <f t="shared" ca="1" si="90"/>
        <v>1.1994324854926455</v>
      </c>
      <c r="W249" s="304">
        <f t="shared" ca="1" si="91"/>
        <v>100.48879013942305</v>
      </c>
      <c r="Y249" s="314" t="str">
        <f t="shared" ca="1" si="109"/>
        <v/>
      </c>
      <c r="Z249" s="315" t="str">
        <f t="shared" ca="1" si="110"/>
        <v/>
      </c>
      <c r="AA249" s="316" t="str">
        <f t="shared" ca="1" si="111"/>
        <v/>
      </c>
      <c r="AC249" s="310" t="e">
        <f t="shared" ca="1" si="112"/>
        <v>#N/A</v>
      </c>
      <c r="AD249" s="323" t="e">
        <f t="shared" ca="1" si="113"/>
        <v>#N/A</v>
      </c>
      <c r="AE249" s="324">
        <f t="shared" ca="1" si="92"/>
        <v>210.9154588576574</v>
      </c>
      <c r="AG249" s="306">
        <f t="shared" ca="1" si="114"/>
        <v>41.045648717752812</v>
      </c>
      <c r="AH249" s="304">
        <f t="shared" ca="1" si="115"/>
        <v>50.609194367950622</v>
      </c>
    </row>
    <row r="250" spans="1:34" x14ac:dyDescent="0.2">
      <c r="A250" s="347">
        <f t="shared" ca="1" si="93"/>
        <v>0.01</v>
      </c>
      <c r="B250" s="304">
        <f t="shared" ca="1" si="94"/>
        <v>2.4599999999999915</v>
      </c>
      <c r="D250" s="306">
        <f t="shared" ca="1" si="95"/>
        <v>11.230569630079668</v>
      </c>
      <c r="E250" s="307">
        <f t="shared" ca="1" si="96"/>
        <v>39.31172274467211</v>
      </c>
      <c r="F250" s="304">
        <f t="shared" ca="1" si="97"/>
        <v>40.884437618365723</v>
      </c>
      <c r="G250" s="306">
        <f t="shared" ca="1" si="98"/>
        <v>35.607421146308504</v>
      </c>
      <c r="H250" s="307">
        <f t="shared" ca="1" si="99"/>
        <v>155.64625908549127</v>
      </c>
      <c r="I250" s="304">
        <f t="shared" ca="1" si="100"/>
        <v>159.66729911913225</v>
      </c>
      <c r="J250" s="306">
        <f t="shared" ca="1" si="101"/>
        <v>45.323435840077408</v>
      </c>
      <c r="K250" s="307">
        <f t="shared" ca="1" si="102"/>
        <v>212.46995586237509</v>
      </c>
      <c r="L250" s="304">
        <f t="shared" ca="1" si="87"/>
        <v>217.25030720463718</v>
      </c>
      <c r="M250" s="306">
        <f t="shared" ca="1" si="103"/>
        <v>1.3458950717648941</v>
      </c>
      <c r="N250" s="304">
        <f t="shared" ca="1" si="104"/>
        <v>77.114107279585483</v>
      </c>
      <c r="P250" s="310">
        <f t="shared" ca="1" si="105"/>
        <v>6</v>
      </c>
      <c r="Q250" s="304">
        <f t="shared" ca="1" si="106"/>
        <v>519.57000000000119</v>
      </c>
      <c r="R250" s="306">
        <f t="shared" ca="1" si="107"/>
        <v>0.26074797533971111</v>
      </c>
      <c r="S250" s="307">
        <f t="shared" ca="1" si="108"/>
        <v>8.3168890599843568</v>
      </c>
      <c r="T250" s="304">
        <f t="shared" ca="1" si="88"/>
        <v>81.588681678446548</v>
      </c>
      <c r="U250" s="311">
        <f t="shared" ca="1" si="89"/>
        <v>0</v>
      </c>
      <c r="V250" s="306">
        <f t="shared" ca="1" si="90"/>
        <v>1.1992460276750174</v>
      </c>
      <c r="W250" s="304">
        <f t="shared" ca="1" si="91"/>
        <v>100.9889552071719</v>
      </c>
      <c r="Y250" s="314" t="str">
        <f t="shared" ca="1" si="109"/>
        <v/>
      </c>
      <c r="Z250" s="315" t="str">
        <f t="shared" ca="1" si="110"/>
        <v/>
      </c>
      <c r="AA250" s="316" t="str">
        <f t="shared" ca="1" si="111"/>
        <v/>
      </c>
      <c r="AC250" s="310" t="e">
        <f t="shared" ca="1" si="112"/>
        <v>#N/A</v>
      </c>
      <c r="AD250" s="323" t="e">
        <f t="shared" ca="1" si="113"/>
        <v>#N/A</v>
      </c>
      <c r="AE250" s="324">
        <f t="shared" ca="1" si="92"/>
        <v>212.46995586237509</v>
      </c>
      <c r="AG250" s="306">
        <f t="shared" ca="1" si="114"/>
        <v>40.825933041501798</v>
      </c>
      <c r="AH250" s="304">
        <f t="shared" ca="1" si="115"/>
        <v>50.389178794861358</v>
      </c>
    </row>
    <row r="251" spans="1:34" x14ac:dyDescent="0.2">
      <c r="A251" s="347">
        <f t="shared" ca="1" si="93"/>
        <v>0.01</v>
      </c>
      <c r="B251" s="304">
        <f t="shared" ca="1" si="94"/>
        <v>2.4699999999999913</v>
      </c>
      <c r="D251" s="306">
        <f t="shared" ca="1" si="95"/>
        <v>11.188233779996033</v>
      </c>
      <c r="E251" s="307">
        <f t="shared" ca="1" si="96"/>
        <v>39.095724637428361</v>
      </c>
      <c r="F251" s="304">
        <f t="shared" ca="1" si="97"/>
        <v>40.665123386527029</v>
      </c>
      <c r="G251" s="306">
        <f t="shared" ca="1" si="98"/>
        <v>35.719303484108465</v>
      </c>
      <c r="H251" s="307">
        <f t="shared" ca="1" si="99"/>
        <v>156.03721633186555</v>
      </c>
      <c r="I251" s="304">
        <f t="shared" ca="1" si="100"/>
        <v>160.07336293708349</v>
      </c>
      <c r="J251" s="306">
        <f t="shared" ca="1" si="101"/>
        <v>45.680069463229493</v>
      </c>
      <c r="K251" s="307">
        <f t="shared" ca="1" si="102"/>
        <v>214.02837323946187</v>
      </c>
      <c r="L251" s="304">
        <f t="shared" ca="1" si="87"/>
        <v>218.84883663774838</v>
      </c>
      <c r="M251" s="306">
        <f t="shared" ca="1" si="103"/>
        <v>1.3457584013597119</v>
      </c>
      <c r="N251" s="304">
        <f t="shared" ca="1" si="104"/>
        <v>77.106276642184199</v>
      </c>
      <c r="P251" s="310">
        <f t="shared" ca="1" si="105"/>
        <v>6</v>
      </c>
      <c r="Q251" s="304">
        <f t="shared" ca="1" si="106"/>
        <v>518.11000000000126</v>
      </c>
      <c r="R251" s="306">
        <f t="shared" ca="1" si="107"/>
        <v>0.26001526936362329</v>
      </c>
      <c r="S251" s="307">
        <f t="shared" ca="1" si="108"/>
        <v>8.3142889072907202</v>
      </c>
      <c r="T251" s="304">
        <f t="shared" ca="1" si="88"/>
        <v>81.563174180521969</v>
      </c>
      <c r="U251" s="311">
        <f t="shared" ca="1" si="89"/>
        <v>0</v>
      </c>
      <c r="V251" s="306">
        <f t="shared" ca="1" si="90"/>
        <v>1.199059128405555</v>
      </c>
      <c r="W251" s="304">
        <f t="shared" ca="1" si="91"/>
        <v>101.48745699037873</v>
      </c>
      <c r="Y251" s="314" t="str">
        <f t="shared" ca="1" si="109"/>
        <v/>
      </c>
      <c r="Z251" s="315" t="str">
        <f t="shared" ca="1" si="110"/>
        <v/>
      </c>
      <c r="AA251" s="316" t="str">
        <f t="shared" ca="1" si="111"/>
        <v/>
      </c>
      <c r="AC251" s="310" t="e">
        <f t="shared" ca="1" si="112"/>
        <v>#N/A</v>
      </c>
      <c r="AD251" s="323" t="e">
        <f t="shared" ca="1" si="113"/>
        <v>#N/A</v>
      </c>
      <c r="AE251" s="324">
        <f t="shared" ca="1" si="92"/>
        <v>214.02837323946187</v>
      </c>
      <c r="AG251" s="306">
        <f t="shared" ca="1" si="114"/>
        <v>40.60623229620964</v>
      </c>
      <c r="AH251" s="304">
        <f t="shared" ca="1" si="115"/>
        <v>50.169178560425046</v>
      </c>
    </row>
    <row r="252" spans="1:34" x14ac:dyDescent="0.2">
      <c r="A252" s="347">
        <f t="shared" ca="1" si="93"/>
        <v>0.01</v>
      </c>
      <c r="B252" s="304">
        <f t="shared" ca="1" si="94"/>
        <v>2.4799999999999911</v>
      </c>
      <c r="D252" s="306">
        <f t="shared" ca="1" si="95"/>
        <v>11.145830169351049</v>
      </c>
      <c r="E252" s="307">
        <f t="shared" ca="1" si="96"/>
        <v>38.87975998109868</v>
      </c>
      <c r="F252" s="304">
        <f t="shared" ca="1" si="97"/>
        <v>40.445831260487878</v>
      </c>
      <c r="G252" s="306">
        <f t="shared" ca="1" si="98"/>
        <v>35.830761785801975</v>
      </c>
      <c r="H252" s="307">
        <f t="shared" ca="1" si="99"/>
        <v>156.42601393167655</v>
      </c>
      <c r="I252" s="304">
        <f t="shared" ca="1" si="100"/>
        <v>160.47722992594294</v>
      </c>
      <c r="J252" s="306">
        <f t="shared" ca="1" si="101"/>
        <v>46.037819789579046</v>
      </c>
      <c r="K252" s="307">
        <f t="shared" ca="1" si="102"/>
        <v>215.59068939077957</v>
      </c>
      <c r="L252" s="304">
        <f t="shared" ca="1" si="87"/>
        <v>220.45141460868277</v>
      </c>
      <c r="M252" s="306">
        <f t="shared" ca="1" si="103"/>
        <v>1.3456219934662406</v>
      </c>
      <c r="N252" s="304">
        <f t="shared" ca="1" si="104"/>
        <v>77.098461045596025</v>
      </c>
      <c r="P252" s="310">
        <f t="shared" ca="1" si="105"/>
        <v>6</v>
      </c>
      <c r="Q252" s="304">
        <f t="shared" ca="1" si="106"/>
        <v>516.65000000000123</v>
      </c>
      <c r="R252" s="306">
        <f t="shared" ca="1" si="107"/>
        <v>0.25928256338753541</v>
      </c>
      <c r="S252" s="307">
        <f t="shared" ca="1" si="108"/>
        <v>8.3116960816568444</v>
      </c>
      <c r="T252" s="304">
        <f t="shared" ca="1" si="88"/>
        <v>81.537738561053644</v>
      </c>
      <c r="U252" s="311">
        <f t="shared" ca="1" si="89"/>
        <v>0</v>
      </c>
      <c r="V252" s="306">
        <f t="shared" ca="1" si="90"/>
        <v>1.1988717904847266</v>
      </c>
      <c r="W252" s="304">
        <f t="shared" ca="1" si="91"/>
        <v>101.98427487638918</v>
      </c>
      <c r="Y252" s="314" t="str">
        <f t="shared" ca="1" si="109"/>
        <v/>
      </c>
      <c r="Z252" s="315" t="str">
        <f t="shared" ca="1" si="110"/>
        <v/>
      </c>
      <c r="AA252" s="316" t="str">
        <f t="shared" ca="1" si="111"/>
        <v/>
      </c>
      <c r="AC252" s="310" t="e">
        <f t="shared" ca="1" si="112"/>
        <v>#N/A</v>
      </c>
      <c r="AD252" s="323" t="e">
        <f t="shared" ca="1" si="113"/>
        <v>#N/A</v>
      </c>
      <c r="AE252" s="324">
        <f t="shared" ca="1" si="92"/>
        <v>215.59068939077957</v>
      </c>
      <c r="AG252" s="306">
        <f t="shared" ca="1" si="114"/>
        <v>40.386549585042864</v>
      </c>
      <c r="AH252" s="304">
        <f t="shared" ca="1" si="115"/>
        <v>49.949196762120351</v>
      </c>
    </row>
    <row r="253" spans="1:34" x14ac:dyDescent="0.2">
      <c r="A253" s="347">
        <f t="shared" ca="1" si="93"/>
        <v>0.01</v>
      </c>
      <c r="B253" s="304">
        <f t="shared" ca="1" si="94"/>
        <v>2.4899999999999909</v>
      </c>
      <c r="D253" s="306">
        <f t="shared" ca="1" si="95"/>
        <v>11.103359815736802</v>
      </c>
      <c r="E253" s="307">
        <f t="shared" ca="1" si="96"/>
        <v>38.663831720571856</v>
      </c>
      <c r="F253" s="304">
        <f t="shared" ca="1" si="97"/>
        <v>40.226564388652648</v>
      </c>
      <c r="G253" s="306">
        <f t="shared" ca="1" si="98"/>
        <v>35.941795383959345</v>
      </c>
      <c r="H253" s="307">
        <f t="shared" ca="1" si="99"/>
        <v>156.81265224888227</v>
      </c>
      <c r="I253" s="304">
        <f t="shared" ca="1" si="100"/>
        <v>160.8789002969354</v>
      </c>
      <c r="J253" s="306">
        <f t="shared" ca="1" si="101"/>
        <v>46.396682575427853</v>
      </c>
      <c r="K253" s="307">
        <f t="shared" ca="1" si="102"/>
        <v>217.15688272168236</v>
      </c>
      <c r="L253" s="304">
        <f t="shared" ca="1" si="87"/>
        <v>222.05801914680657</v>
      </c>
      <c r="M253" s="306">
        <f t="shared" ca="1" si="103"/>
        <v>1.3454858450661364</v>
      </c>
      <c r="N253" s="304">
        <f t="shared" ca="1" si="104"/>
        <v>77.090660316882591</v>
      </c>
      <c r="P253" s="310">
        <f t="shared" ca="1" si="105"/>
        <v>6</v>
      </c>
      <c r="Q253" s="304">
        <f t="shared" ca="1" si="106"/>
        <v>515.19000000000131</v>
      </c>
      <c r="R253" s="306">
        <f t="shared" ca="1" si="107"/>
        <v>0.25854985741144754</v>
      </c>
      <c r="S253" s="307">
        <f t="shared" ca="1" si="108"/>
        <v>8.3091105830827292</v>
      </c>
      <c r="T253" s="304">
        <f t="shared" ca="1" si="88"/>
        <v>81.512374820041572</v>
      </c>
      <c r="U253" s="311">
        <f t="shared" ca="1" si="89"/>
        <v>0</v>
      </c>
      <c r="V253" s="306">
        <f t="shared" ca="1" si="90"/>
        <v>1.198684016711429</v>
      </c>
      <c r="W253" s="304">
        <f t="shared" ca="1" si="91"/>
        <v>102.47938842984075</v>
      </c>
      <c r="Y253" s="314" t="str">
        <f t="shared" ca="1" si="109"/>
        <v/>
      </c>
      <c r="Z253" s="315" t="str">
        <f t="shared" ca="1" si="110"/>
        <v/>
      </c>
      <c r="AA253" s="316" t="str">
        <f t="shared" ca="1" si="111"/>
        <v/>
      </c>
      <c r="AC253" s="310" t="e">
        <f t="shared" ca="1" si="112"/>
        <v>#N/A</v>
      </c>
      <c r="AD253" s="323" t="e">
        <f t="shared" ca="1" si="113"/>
        <v>#N/A</v>
      </c>
      <c r="AE253" s="324">
        <f t="shared" ca="1" si="92"/>
        <v>217.15688272168236</v>
      </c>
      <c r="AG253" s="306">
        <f t="shared" ca="1" si="114"/>
        <v>40.166887993570953</v>
      </c>
      <c r="AH253" s="304">
        <f t="shared" ca="1" si="115"/>
        <v>49.729236479882104</v>
      </c>
    </row>
    <row r="254" spans="1:34" x14ac:dyDescent="0.2">
      <c r="A254" s="347">
        <f t="shared" ca="1" si="93"/>
        <v>0.01</v>
      </c>
      <c r="B254" s="304">
        <f t="shared" ca="1" si="94"/>
        <v>2.4999999999999907</v>
      </c>
      <c r="D254" s="306">
        <f t="shared" ca="1" si="95"/>
        <v>11.060823730212807</v>
      </c>
      <c r="E254" s="307">
        <f t="shared" ca="1" si="96"/>
        <v>38.447942783963853</v>
      </c>
      <c r="F254" s="304">
        <f t="shared" ca="1" si="97"/>
        <v>40.007325903011775</v>
      </c>
      <c r="G254" s="306">
        <f t="shared" ca="1" si="98"/>
        <v>36.052403621261476</v>
      </c>
      <c r="H254" s="307">
        <f t="shared" ca="1" si="99"/>
        <v>157.19713167672191</v>
      </c>
      <c r="I254" s="304">
        <f t="shared" ca="1" si="100"/>
        <v>161.2783742919645</v>
      </c>
      <c r="J254" s="306">
        <f t="shared" ca="1" si="101"/>
        <v>46.756653570453956</v>
      </c>
      <c r="K254" s="307">
        <f t="shared" ca="1" si="102"/>
        <v>218.72693164131039</v>
      </c>
      <c r="L254" s="304">
        <f t="shared" ca="1" si="87"/>
        <v>223.66862828374013</v>
      </c>
      <c r="M254" s="306">
        <f t="shared" ca="1" si="103"/>
        <v>1.3453499531726112</v>
      </c>
      <c r="N254" s="304">
        <f t="shared" ca="1" si="104"/>
        <v>77.082874284913558</v>
      </c>
      <c r="P254" s="310">
        <f t="shared" ca="1" si="105"/>
        <v>6</v>
      </c>
      <c r="Q254" s="304">
        <f t="shared" ca="1" si="106"/>
        <v>513.73000000000138</v>
      </c>
      <c r="R254" s="306">
        <f t="shared" ca="1" si="107"/>
        <v>0.25781715143535971</v>
      </c>
      <c r="S254" s="307">
        <f t="shared" ca="1" si="108"/>
        <v>8.3065324115683747</v>
      </c>
      <c r="T254" s="304">
        <f t="shared" ca="1" si="88"/>
        <v>81.487082957485754</v>
      </c>
      <c r="U254" s="311">
        <f t="shared" ca="1" si="89"/>
        <v>0</v>
      </c>
      <c r="V254" s="306">
        <f t="shared" ca="1" si="90"/>
        <v>1.1984958098829366</v>
      </c>
      <c r="W254" s="304">
        <f t="shared" ca="1" si="91"/>
        <v>102.97277739280504</v>
      </c>
      <c r="Y254" s="314" t="str">
        <f t="shared" ca="1" si="109"/>
        <v/>
      </c>
      <c r="Z254" s="315" t="str">
        <f t="shared" ca="1" si="110"/>
        <v/>
      </c>
      <c r="AA254" s="316" t="str">
        <f t="shared" ca="1" si="111"/>
        <v/>
      </c>
      <c r="AC254" s="310" t="e">
        <f t="shared" ca="1" si="112"/>
        <v>#N/A</v>
      </c>
      <c r="AD254" s="323" t="e">
        <f t="shared" ca="1" si="113"/>
        <v>#N/A</v>
      </c>
      <c r="AE254" s="324">
        <f t="shared" ca="1" si="92"/>
        <v>218.72693164131039</v>
      </c>
      <c r="AG254" s="306">
        <f t="shared" ca="1" si="114"/>
        <v>39.947250589693517</v>
      </c>
      <c r="AH254" s="304">
        <f t="shared" ca="1" si="115"/>
        <v>49.509300776027608</v>
      </c>
    </row>
    <row r="255" spans="1:34" x14ac:dyDescent="0.2">
      <c r="A255" s="347">
        <f t="shared" ca="1" si="93"/>
        <v>0.01</v>
      </c>
      <c r="B255" s="304">
        <f t="shared" ca="1" si="94"/>
        <v>2.5099999999999905</v>
      </c>
      <c r="D255" s="306">
        <f t="shared" ca="1" si="95"/>
        <v>11.010379854670244</v>
      </c>
      <c r="E255" s="307">
        <f t="shared" ca="1" si="96"/>
        <v>38.197898447153889</v>
      </c>
      <c r="F255" s="304">
        <f t="shared" ca="1" si="97"/>
        <v>39.753086802451072</v>
      </c>
      <c r="G255" s="306">
        <f t="shared" ca="1" si="98"/>
        <v>36.162507419808179</v>
      </c>
      <c r="H255" s="307">
        <f t="shared" ca="1" si="99"/>
        <v>157.57911066119345</v>
      </c>
      <c r="I255" s="304">
        <f t="shared" ca="1" si="100"/>
        <v>161.67530132849708</v>
      </c>
      <c r="J255" s="306">
        <f t="shared" ca="1" si="101"/>
        <v>47.117728125659305</v>
      </c>
      <c r="K255" s="307">
        <f t="shared" ca="1" si="102"/>
        <v>220.30081285299997</v>
      </c>
      <c r="L255" s="304">
        <f t="shared" ca="1" si="87"/>
        <v>225.28321829957966</v>
      </c>
      <c r="M255" s="306">
        <f t="shared" ca="1" si="103"/>
        <v>1.3452143145355688</v>
      </c>
      <c r="N255" s="304">
        <f t="shared" ca="1" si="104"/>
        <v>77.075102763472131</v>
      </c>
      <c r="P255" s="310">
        <f t="shared" ca="1" si="105"/>
        <v>7</v>
      </c>
      <c r="Q255" s="304">
        <f t="shared" ca="1" si="106"/>
        <v>511.97872340425727</v>
      </c>
      <c r="R255" s="306">
        <f t="shared" ca="1" si="107"/>
        <v>0.25693826730694563</v>
      </c>
      <c r="S255" s="307">
        <f t="shared" ca="1" si="108"/>
        <v>8.3039630288953052</v>
      </c>
      <c r="T255" s="304">
        <f t="shared" ca="1" si="88"/>
        <v>81.461877313462949</v>
      </c>
      <c r="U255" s="311">
        <f t="shared" ca="1" si="89"/>
        <v>0</v>
      </c>
      <c r="V255" s="306">
        <f t="shared" ca="1" si="90"/>
        <v>1.1983071729997823</v>
      </c>
      <c r="W255" s="304">
        <f t="shared" ca="1" si="91"/>
        <v>103.46397264347901</v>
      </c>
      <c r="Y255" s="314" t="str">
        <f t="shared" ca="1" si="109"/>
        <v/>
      </c>
      <c r="Z255" s="315" t="str">
        <f t="shared" ca="1" si="110"/>
        <v/>
      </c>
      <c r="AA255" s="316" t="str">
        <f t="shared" ca="1" si="111"/>
        <v/>
      </c>
      <c r="AC255" s="310" t="e">
        <f t="shared" ca="1" si="112"/>
        <v>#N/A</v>
      </c>
      <c r="AD255" s="323" t="e">
        <f t="shared" ca="1" si="113"/>
        <v>#N/A</v>
      </c>
      <c r="AE255" s="324">
        <f t="shared" ca="1" si="92"/>
        <v>220.30081285299997</v>
      </c>
      <c r="AG255" s="306">
        <f t="shared" ca="1" si="114"/>
        <v>39.692554929444313</v>
      </c>
      <c r="AH255" s="304">
        <f t="shared" ca="1" si="115"/>
        <v>49.254307201059781</v>
      </c>
    </row>
    <row r="256" spans="1:34" x14ac:dyDescent="0.2">
      <c r="A256" s="347">
        <f t="shared" ca="1" si="93"/>
        <v>0.01</v>
      </c>
      <c r="B256" s="304">
        <f t="shared" ca="1" si="94"/>
        <v>2.5199999999999902</v>
      </c>
      <c r="D256" s="306">
        <f t="shared" ca="1" si="95"/>
        <v>10.952018220431686</v>
      </c>
      <c r="E256" s="307">
        <f t="shared" ca="1" si="96"/>
        <v>37.913717580918963</v>
      </c>
      <c r="F256" s="304">
        <f t="shared" ca="1" si="97"/>
        <v>39.463865546932318</v>
      </c>
      <c r="G256" s="306">
        <f t="shared" ca="1" si="98"/>
        <v>36.272027602012493</v>
      </c>
      <c r="H256" s="307">
        <f t="shared" ca="1" si="99"/>
        <v>157.95824783700263</v>
      </c>
      <c r="I256" s="304">
        <f t="shared" ca="1" si="100"/>
        <v>162.06933098552946</v>
      </c>
      <c r="J256" s="306">
        <f t="shared" ca="1" si="101"/>
        <v>47.479900800768405</v>
      </c>
      <c r="K256" s="307">
        <f t="shared" ca="1" si="102"/>
        <v>221.87849964549096</v>
      </c>
      <c r="L256" s="304">
        <f t="shared" ca="1" si="87"/>
        <v>226.90176196976731</v>
      </c>
      <c r="M256" s="306">
        <f t="shared" ca="1" si="103"/>
        <v>1.3450789256460689</v>
      </c>
      <c r="N256" s="304">
        <f t="shared" ca="1" si="104"/>
        <v>77.067345551510812</v>
      </c>
      <c r="P256" s="310">
        <f t="shared" ca="1" si="105"/>
        <v>7</v>
      </c>
      <c r="Q256" s="304">
        <f t="shared" ca="1" si="106"/>
        <v>509.93617021276793</v>
      </c>
      <c r="R256" s="306">
        <f t="shared" ca="1" si="107"/>
        <v>0.25591320502620485</v>
      </c>
      <c r="S256" s="307">
        <f t="shared" ca="1" si="108"/>
        <v>8.3014038968450432</v>
      </c>
      <c r="T256" s="304">
        <f t="shared" ca="1" si="88"/>
        <v>81.436772228049875</v>
      </c>
      <c r="U256" s="311">
        <f t="shared" ca="1" si="89"/>
        <v>0</v>
      </c>
      <c r="V256" s="306">
        <f t="shared" ca="1" si="90"/>
        <v>1.198118109470345</v>
      </c>
      <c r="W256" s="304">
        <f t="shared" ca="1" si="91"/>
        <v>103.95250134245563</v>
      </c>
      <c r="Y256" s="314" t="str">
        <f t="shared" ca="1" si="109"/>
        <v/>
      </c>
      <c r="Z256" s="315" t="str">
        <f t="shared" ca="1" si="110"/>
        <v/>
      </c>
      <c r="AA256" s="316" t="str">
        <f t="shared" ca="1" si="111"/>
        <v/>
      </c>
      <c r="AC256" s="310" t="e">
        <f t="shared" ca="1" si="112"/>
        <v>#N/A</v>
      </c>
      <c r="AD256" s="323" t="e">
        <f t="shared" ca="1" si="113"/>
        <v>#N/A</v>
      </c>
      <c r="AE256" s="324">
        <f t="shared" ca="1" si="92"/>
        <v>221.87849964549096</v>
      </c>
      <c r="AG256" s="306">
        <f t="shared" ca="1" si="114"/>
        <v>39.402817165470381</v>
      </c>
      <c r="AH256" s="304">
        <f t="shared" ca="1" si="115"/>
        <v>48.964271901499586</v>
      </c>
    </row>
    <row r="257" spans="1:34" x14ac:dyDescent="0.2">
      <c r="A257" s="347">
        <f t="shared" ca="1" si="93"/>
        <v>0.01</v>
      </c>
      <c r="B257" s="304">
        <f t="shared" ca="1" si="94"/>
        <v>2.52999999999999</v>
      </c>
      <c r="D257" s="306">
        <f t="shared" ca="1" si="95"/>
        <v>10.893586273140109</v>
      </c>
      <c r="E257" s="307">
        <f t="shared" ca="1" si="96"/>
        <v>37.629636384456298</v>
      </c>
      <c r="F257" s="304">
        <f t="shared" ca="1" si="97"/>
        <v>39.174733647042757</v>
      </c>
      <c r="G257" s="306">
        <f t="shared" ca="1" si="98"/>
        <v>36.380963464743893</v>
      </c>
      <c r="H257" s="307">
        <f t="shared" ca="1" si="99"/>
        <v>158.3345442008472</v>
      </c>
      <c r="I257" s="304">
        <f t="shared" ca="1" si="100"/>
        <v>162.4604640825363</v>
      </c>
      <c r="J257" s="306">
        <f t="shared" ca="1" si="101"/>
        <v>47.843165756102188</v>
      </c>
      <c r="K257" s="307">
        <f t="shared" ca="1" si="102"/>
        <v>223.4599636056802</v>
      </c>
      <c r="L257" s="304">
        <f t="shared" ca="1" si="87"/>
        <v>228.52423032190217</v>
      </c>
      <c r="M257" s="306">
        <f t="shared" ca="1" si="103"/>
        <v>1.3449437830326698</v>
      </c>
      <c r="N257" s="304">
        <f t="shared" ca="1" si="104"/>
        <v>77.059602450130683</v>
      </c>
      <c r="P257" s="310">
        <f t="shared" ca="1" si="105"/>
        <v>7</v>
      </c>
      <c r="Q257" s="304">
        <f t="shared" ca="1" si="106"/>
        <v>507.8936170212786</v>
      </c>
      <c r="R257" s="306">
        <f t="shared" ca="1" si="107"/>
        <v>0.25488814274546401</v>
      </c>
      <c r="S257" s="307">
        <f t="shared" ca="1" si="108"/>
        <v>8.2988550154175886</v>
      </c>
      <c r="T257" s="304">
        <f t="shared" ca="1" si="88"/>
        <v>81.411767701246546</v>
      </c>
      <c r="U257" s="311">
        <f t="shared" ca="1" si="89"/>
        <v>0</v>
      </c>
      <c r="V257" s="306">
        <f t="shared" ca="1" si="90"/>
        <v>1.1979286229053208</v>
      </c>
      <c r="W257" s="304">
        <f t="shared" ca="1" si="91"/>
        <v>104.43833838295392</v>
      </c>
      <c r="Y257" s="314" t="str">
        <f t="shared" ca="1" si="109"/>
        <v/>
      </c>
      <c r="Z257" s="315" t="str">
        <f t="shared" ca="1" si="110"/>
        <v/>
      </c>
      <c r="AA257" s="316" t="str">
        <f t="shared" ca="1" si="111"/>
        <v/>
      </c>
      <c r="AC257" s="310" t="e">
        <f t="shared" ca="1" si="112"/>
        <v>#N/A</v>
      </c>
      <c r="AD257" s="323" t="e">
        <f t="shared" ca="1" si="113"/>
        <v>#N/A</v>
      </c>
      <c r="AE257" s="324">
        <f t="shared" ca="1" si="92"/>
        <v>223.4599636056802</v>
      </c>
      <c r="AG257" s="306">
        <f t="shared" ca="1" si="114"/>
        <v>39.113161345637138</v>
      </c>
      <c r="AH257" s="304">
        <f t="shared" ca="1" si="115"/>
        <v>48.674318918499274</v>
      </c>
    </row>
    <row r="258" spans="1:34" x14ac:dyDescent="0.2">
      <c r="A258" s="347">
        <f t="shared" ca="1" si="93"/>
        <v>0.01</v>
      </c>
      <c r="B258" s="304">
        <f t="shared" ca="1" si="94"/>
        <v>2.5399999999999898</v>
      </c>
      <c r="D258" s="306">
        <f t="shared" ca="1" si="95"/>
        <v>10.835085360737573</v>
      </c>
      <c r="E258" s="307">
        <f t="shared" ca="1" si="96"/>
        <v>37.345658855274152</v>
      </c>
      <c r="F258" s="304">
        <f t="shared" ca="1" si="97"/>
        <v>38.885695443298765</v>
      </c>
      <c r="G258" s="306">
        <f t="shared" ca="1" si="98"/>
        <v>36.489314318351269</v>
      </c>
      <c r="H258" s="307">
        <f t="shared" ca="1" si="99"/>
        <v>158.70800078939993</v>
      </c>
      <c r="I258" s="304">
        <f t="shared" ca="1" si="100"/>
        <v>162.84870148082732</v>
      </c>
      <c r="J258" s="306">
        <f t="shared" ca="1" si="101"/>
        <v>48.207517145017661</v>
      </c>
      <c r="K258" s="307">
        <f t="shared" ca="1" si="102"/>
        <v>225.04517633063145</v>
      </c>
      <c r="L258" s="304">
        <f t="shared" ca="1" si="87"/>
        <v>230.15059439195932</v>
      </c>
      <c r="M258" s="306">
        <f t="shared" ca="1" si="103"/>
        <v>1.3448088832607472</v>
      </c>
      <c r="N258" s="304">
        <f t="shared" ca="1" si="104"/>
        <v>77.05187326254223</v>
      </c>
      <c r="P258" s="310">
        <f t="shared" ca="1" si="105"/>
        <v>7</v>
      </c>
      <c r="Q258" s="304">
        <f t="shared" ca="1" si="106"/>
        <v>505.85106382978927</v>
      </c>
      <c r="R258" s="306">
        <f t="shared" ca="1" si="107"/>
        <v>0.25386308046472317</v>
      </c>
      <c r="S258" s="307">
        <f t="shared" ca="1" si="108"/>
        <v>8.2963163846129415</v>
      </c>
      <c r="T258" s="304">
        <f t="shared" ca="1" si="88"/>
        <v>81.386863733052962</v>
      </c>
      <c r="U258" s="311">
        <f t="shared" ca="1" si="89"/>
        <v>0</v>
      </c>
      <c r="V258" s="306">
        <f t="shared" ca="1" si="90"/>
        <v>1.1977387169124696</v>
      </c>
      <c r="W258" s="304">
        <f t="shared" ca="1" si="91"/>
        <v>104.92145894901303</v>
      </c>
      <c r="Y258" s="314" t="str">
        <f t="shared" ca="1" si="109"/>
        <v/>
      </c>
      <c r="Z258" s="315" t="str">
        <f t="shared" ca="1" si="110"/>
        <v/>
      </c>
      <c r="AA258" s="316" t="str">
        <f t="shared" ca="1" si="111"/>
        <v/>
      </c>
      <c r="AC258" s="310" t="e">
        <f t="shared" ca="1" si="112"/>
        <v>#N/A</v>
      </c>
      <c r="AD258" s="323" t="e">
        <f t="shared" ca="1" si="113"/>
        <v>#N/A</v>
      </c>
      <c r="AE258" s="324">
        <f t="shared" ca="1" si="92"/>
        <v>225.04517633063145</v>
      </c>
      <c r="AG258" s="306">
        <f t="shared" ca="1" si="114"/>
        <v>38.823591653487995</v>
      </c>
      <c r="AH258" s="304">
        <f t="shared" ca="1" si="115"/>
        <v>48.384452428951448</v>
      </c>
    </row>
    <row r="259" spans="1:34" x14ac:dyDescent="0.2">
      <c r="A259" s="347">
        <f t="shared" ca="1" si="93"/>
        <v>0.01</v>
      </c>
      <c r="B259" s="304">
        <f t="shared" ca="1" si="94"/>
        <v>2.5499999999999896</v>
      </c>
      <c r="D259" s="306">
        <f t="shared" ca="1" si="95"/>
        <v>10.77651682069617</v>
      </c>
      <c r="E259" s="307">
        <f t="shared" ca="1" si="96"/>
        <v>37.061788961676157</v>
      </c>
      <c r="F259" s="304">
        <f t="shared" ca="1" si="97"/>
        <v>38.596755249976233</v>
      </c>
      <c r="G259" s="306">
        <f t="shared" ca="1" si="98"/>
        <v>36.597079486558229</v>
      </c>
      <c r="H259" s="307">
        <f t="shared" ca="1" si="99"/>
        <v>159.0786186790167</v>
      </c>
      <c r="I259" s="304">
        <f t="shared" ca="1" si="100"/>
        <v>163.234044083241</v>
      </c>
      <c r="J259" s="306">
        <f t="shared" ca="1" si="101"/>
        <v>48.57294911404221</v>
      </c>
      <c r="K259" s="307">
        <f t="shared" ca="1" si="102"/>
        <v>226.63410942797353</v>
      </c>
      <c r="L259" s="304">
        <f t="shared" ca="1" si="87"/>
        <v>231.78082522470666</v>
      </c>
      <c r="M259" s="306">
        <f t="shared" ca="1" si="103"/>
        <v>1.3446742229318291</v>
      </c>
      <c r="N259" s="304">
        <f t="shared" ca="1" si="104"/>
        <v>77.044157794027385</v>
      </c>
      <c r="P259" s="310">
        <f t="shared" ca="1" si="105"/>
        <v>7</v>
      </c>
      <c r="Q259" s="304">
        <f t="shared" ca="1" si="106"/>
        <v>503.80851063829999</v>
      </c>
      <c r="R259" s="306">
        <f t="shared" ca="1" si="107"/>
        <v>0.25283801818398238</v>
      </c>
      <c r="S259" s="307">
        <f t="shared" ca="1" si="108"/>
        <v>8.2937880044311019</v>
      </c>
      <c r="T259" s="304">
        <f t="shared" ca="1" si="88"/>
        <v>81.362060323469109</v>
      </c>
      <c r="U259" s="311">
        <f t="shared" ca="1" si="89"/>
        <v>0</v>
      </c>
      <c r="V259" s="306">
        <f t="shared" ca="1" si="90"/>
        <v>1.1975483950965564</v>
      </c>
      <c r="W259" s="304">
        <f t="shared" ca="1" si="91"/>
        <v>105.40183851534222</v>
      </c>
      <c r="Y259" s="314" t="str">
        <f t="shared" ca="1" si="109"/>
        <v/>
      </c>
      <c r="Z259" s="315" t="str">
        <f t="shared" ca="1" si="110"/>
        <v/>
      </c>
      <c r="AA259" s="316" t="str">
        <f t="shared" ca="1" si="111"/>
        <v/>
      </c>
      <c r="AC259" s="310" t="e">
        <f t="shared" ca="1" si="112"/>
        <v>#N/A</v>
      </c>
      <c r="AD259" s="323" t="e">
        <f t="shared" ca="1" si="113"/>
        <v>#N/A</v>
      </c>
      <c r="AE259" s="324">
        <f t="shared" ca="1" si="92"/>
        <v>226.63410942797353</v>
      </c>
      <c r="AG259" s="306">
        <f t="shared" ca="1" si="114"/>
        <v>38.534112241923268</v>
      </c>
      <c r="AH259" s="304">
        <f t="shared" ca="1" si="115"/>
        <v>48.094676579166787</v>
      </c>
    </row>
    <row r="260" spans="1:34" x14ac:dyDescent="0.2">
      <c r="A260" s="347">
        <f t="shared" ca="1" si="93"/>
        <v>0.01</v>
      </c>
      <c r="B260" s="304">
        <f t="shared" ca="1" si="94"/>
        <v>2.5599999999999894</v>
      </c>
      <c r="D260" s="306">
        <f t="shared" ca="1" si="95"/>
        <v>10.7178819800568</v>
      </c>
      <c r="E260" s="307">
        <f t="shared" ca="1" si="96"/>
        <v>36.77803064267426</v>
      </c>
      <c r="F260" s="304">
        <f t="shared" ca="1" si="97"/>
        <v>38.307917355187989</v>
      </c>
      <c r="G260" s="306">
        <f t="shared" ca="1" si="98"/>
        <v>36.704258306358795</v>
      </c>
      <c r="H260" s="307">
        <f t="shared" ca="1" si="99"/>
        <v>159.44639898544344</v>
      </c>
      <c r="I260" s="304">
        <f t="shared" ca="1" si="100"/>
        <v>163.6164928338373</v>
      </c>
      <c r="J260" s="306">
        <f t="shared" ca="1" si="101"/>
        <v>48.939455803006794</v>
      </c>
      <c r="K260" s="307">
        <f t="shared" ca="1" si="102"/>
        <v>228.22673451629583</v>
      </c>
      <c r="L260" s="304">
        <f t="shared" ref="L260:L323" ca="1" si="116">SQRT(pos_x^2+pos_z^2)</f>
        <v>233.414893874119</v>
      </c>
      <c r="M260" s="306">
        <f t="shared" ca="1" si="103"/>
        <v>1.3445397986829419</v>
      </c>
      <c r="N260" s="304">
        <f t="shared" ca="1" si="104"/>
        <v>77.036455851901934</v>
      </c>
      <c r="P260" s="310">
        <f t="shared" ca="1" si="105"/>
        <v>7</v>
      </c>
      <c r="Q260" s="304">
        <f t="shared" ca="1" si="106"/>
        <v>501.76595744681066</v>
      </c>
      <c r="R260" s="306">
        <f t="shared" ca="1" si="107"/>
        <v>0.2518129559032416</v>
      </c>
      <c r="S260" s="307">
        <f t="shared" ca="1" si="108"/>
        <v>8.2912698748720697</v>
      </c>
      <c r="T260" s="304">
        <f t="shared" ref="T260:T323" ca="1" si="117">m*g</f>
        <v>81.337357472495015</v>
      </c>
      <c r="U260" s="311">
        <f t="shared" ref="U260:U323" ca="1" si="118">IF(pos_xz&lt;L_rampe,Poids*COS(Beta),0)</f>
        <v>0</v>
      </c>
      <c r="V260" s="306">
        <f t="shared" ref="V260:V323" ca="1" si="119">Rho_moyen*(20000-Alt_rampe-pos_z)/(20000+Alt_rampe+pos_z)</f>
        <v>1.1973576610592955</v>
      </c>
      <c r="W260" s="304">
        <f t="shared" ref="W260:W323" ca="1" si="120">1/2*Rho*Sref*Cx*vit_xz^2</f>
        <v>105.87945284714687</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228.22673451629583</v>
      </c>
      <c r="AG260" s="306">
        <f t="shared" ca="1" si="114"/>
        <v>38.244727233121353</v>
      </c>
      <c r="AH260" s="304">
        <f t="shared" ca="1" si="115"/>
        <v>47.804995484794077</v>
      </c>
    </row>
    <row r="261" spans="1:34" x14ac:dyDescent="0.2">
      <c r="A261" s="347">
        <f t="shared" ref="A261:A324" ca="1" si="122">IF(B260+0.01&lt;=T_ini+ROUNDUP(Temps_fin_propu,0), 0.01, IF(K260&gt;0, 0.1, 0.0001))</f>
        <v>0.01</v>
      </c>
      <c r="B261" s="304">
        <f t="shared" ref="B261:B324" ca="1" si="123">B260+pas</f>
        <v>2.5699999999999892</v>
      </c>
      <c r="D261" s="306">
        <f t="shared" ref="D261:D324" ca="1" si="124">IF(AND(L260&lt;L_rampe,Poussee&lt;Poids*SIN(M260)),0,(-W260+Poussee)/m*COS(M260)-U260/m*SIN(M260))</f>
        <v>10.65918215546735</v>
      </c>
      <c r="E261" s="307">
        <f t="shared" ref="E261:E324" ca="1" si="125">IF(AND(L260&lt;L_rampe,Poussee&lt;Poids*SIN(M260)),0,(-W260+Poussee)/m*SIN(M260)+U260/m*COS(M260)-Poids/m)</f>
        <v>36.494387807905277</v>
      </c>
      <c r="F261" s="304">
        <f t="shared" ref="F261:F324" ca="1" si="126">SQRT(acc_x^2+acc_z^2)</f>
        <v>38.01918602097129</v>
      </c>
      <c r="G261" s="306">
        <f t="shared" ref="G261:G324" ca="1" si="127">G260+acc_x*pas</f>
        <v>36.810850127913469</v>
      </c>
      <c r="H261" s="307">
        <f t="shared" ref="H261:H324" ca="1" si="128">H260+acc_z*pas</f>
        <v>159.8113428635225</v>
      </c>
      <c r="I261" s="304">
        <f t="shared" ref="I261:I324" ca="1" si="129">SQRT(vit_x^2+vit_z^2)</f>
        <v>163.99604871758967</v>
      </c>
      <c r="J261" s="306">
        <f t="shared" ref="J261:J324" ca="1" si="130">J260+0.5*(vit_x+G260)*pas*(K260&gt;=0)</f>
        <v>49.307031345178153</v>
      </c>
      <c r="K261" s="307">
        <f t="shared" ref="K261:K324" ca="1" si="131">K260+0.5*(vit_z+H260)*pas</f>
        <v>229.82302322554065</v>
      </c>
      <c r="L261" s="304">
        <f t="shared" ca="1" si="116"/>
        <v>235.05277140378877</v>
      </c>
      <c r="M261" s="306">
        <f t="shared" ref="M261:M324" ca="1" si="132">IF(AND(L260&gt;L_rampe,G261&gt;0),ATAN2(G261,H261),$M$4)</f>
        <v>1.3444056071859718</v>
      </c>
      <c r="N261" s="304">
        <f t="shared" ref="N261:N324" ca="1" si="133">DEGREES(Beta)</f>
        <v>77.028767245479003</v>
      </c>
      <c r="P261" s="310">
        <f t="shared" ref="P261:P324" ca="1" si="134">MATCH(t-pas/2-T_ini,CdP_t)</f>
        <v>7</v>
      </c>
      <c r="Q261" s="304">
        <f t="shared" ref="Q261:Q324" ca="1" si="135">(INDEX(CdP,2,i_P+1)-INDEX(CdP,2,i_P+0))/(INDEX(CdP,1,i_P+1)-INDEX(CdP,1,i_P+0))*(t-pas/2-T_ini-INDEX(CdP,1,i_P+0))+INDEX(CdP,2,i_P+0)</f>
        <v>499.72340425532133</v>
      </c>
      <c r="R261" s="306">
        <f t="shared" ref="R261:R324" ca="1" si="136">Poussee/(g*ISP)</f>
        <v>0.25078789362250076</v>
      </c>
      <c r="S261" s="307">
        <f t="shared" ref="S261:S324" ca="1" si="137">S260-Débit*pas</f>
        <v>8.288761995935845</v>
      </c>
      <c r="T261" s="304">
        <f t="shared" ca="1" si="117"/>
        <v>81.312755180130637</v>
      </c>
      <c r="U261" s="311">
        <f t="shared" ca="1" si="118"/>
        <v>0</v>
      </c>
      <c r="V261" s="306">
        <f t="shared" ca="1" si="119"/>
        <v>1.1971665183992897</v>
      </c>
      <c r="W261" s="304">
        <f t="shared" ca="1" si="120"/>
        <v>106.35427799993037</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229.82302322554065</v>
      </c>
      <c r="AG261" s="306">
        <f t="shared" ref="AG261:AG324" ca="1" si="143">IF(AND(L260&lt;L_rampe,Poussee&lt;Poids*SIN(M260)),0,(-W260+Poussee)/m-Poids*SIN(M260)/m)</f>
        <v>37.955440718463208</v>
      </c>
      <c r="AH261" s="304">
        <f t="shared" ref="AH261:AH324" ca="1" si="144">IF(AND(L260&lt;L_rampe,Poussee&lt;Poids*SIN(M260)), g*SIN(M260), (-W260+Poussee)/m)</f>
        <v>47.515413230743562</v>
      </c>
    </row>
    <row r="262" spans="1:34" x14ac:dyDescent="0.2">
      <c r="A262" s="347">
        <f t="shared" ca="1" si="122"/>
        <v>0.01</v>
      </c>
      <c r="B262" s="304">
        <f t="shared" ca="1" si="123"/>
        <v>2.579999999999989</v>
      </c>
      <c r="D262" s="306">
        <f t="shared" ca="1" si="124"/>
        <v>10.600418653220011</v>
      </c>
      <c r="E262" s="307">
        <f t="shared" ca="1" si="125"/>
        <v>36.210864337550845</v>
      </c>
      <c r="F262" s="304">
        <f t="shared" ca="1" si="126"/>
        <v>37.730565483385568</v>
      </c>
      <c r="G262" s="306">
        <f t="shared" ca="1" si="127"/>
        <v>36.916854314445672</v>
      </c>
      <c r="H262" s="307">
        <f t="shared" ca="1" si="128"/>
        <v>160.173451506898</v>
      </c>
      <c r="I262" s="304">
        <f t="shared" ca="1" si="129"/>
        <v>164.3727127600765</v>
      </c>
      <c r="J262" s="306">
        <f t="shared" ca="1" si="130"/>
        <v>49.675669867389949</v>
      </c>
      <c r="K262" s="307">
        <f t="shared" ca="1" si="131"/>
        <v>231.42294719739274</v>
      </c>
      <c r="L262" s="304">
        <f t="shared" ca="1" si="116"/>
        <v>236.69442888733386</v>
      </c>
      <c r="M262" s="306">
        <f t="shared" ca="1" si="132"/>
        <v>1.3442716451470378</v>
      </c>
      <c r="N262" s="304">
        <f t="shared" ca="1" si="133"/>
        <v>77.021091786033111</v>
      </c>
      <c r="P262" s="310">
        <f t="shared" ca="1" si="134"/>
        <v>7</v>
      </c>
      <c r="Q262" s="304">
        <f t="shared" ca="1" si="135"/>
        <v>497.68085106383205</v>
      </c>
      <c r="R262" s="306">
        <f t="shared" ca="1" si="136"/>
        <v>0.24976283134175997</v>
      </c>
      <c r="S262" s="307">
        <f t="shared" ca="1" si="137"/>
        <v>8.2862643676224277</v>
      </c>
      <c r="T262" s="304">
        <f t="shared" ca="1" si="117"/>
        <v>81.288253446376018</v>
      </c>
      <c r="U262" s="311">
        <f t="shared" ca="1" si="118"/>
        <v>0</v>
      </c>
      <c r="V262" s="306">
        <f t="shared" ca="1" si="119"/>
        <v>1.1969749707119761</v>
      </c>
      <c r="W262" s="304">
        <f t="shared" ca="1" si="120"/>
        <v>106.82629031927367</v>
      </c>
      <c r="Y262" s="314" t="str">
        <f t="shared" ca="1" si="138"/>
        <v/>
      </c>
      <c r="Z262" s="315" t="str">
        <f t="shared" ca="1" si="139"/>
        <v/>
      </c>
      <c r="AA262" s="316" t="str">
        <f t="shared" ca="1" si="140"/>
        <v/>
      </c>
      <c r="AC262" s="310" t="e">
        <f t="shared" ca="1" si="141"/>
        <v>#N/A</v>
      </c>
      <c r="AD262" s="323" t="e">
        <f t="shared" ca="1" si="142"/>
        <v>#N/A</v>
      </c>
      <c r="AE262" s="324">
        <f t="shared" ca="1" si="121"/>
        <v>231.42294719739274</v>
      </c>
      <c r="AG262" s="306">
        <f t="shared" ca="1" si="143"/>
        <v>37.666256758460058</v>
      </c>
      <c r="AH262" s="304">
        <f t="shared" ca="1" si="144"/>
        <v>47.22593387111359</v>
      </c>
    </row>
    <row r="263" spans="1:34" x14ac:dyDescent="0.2">
      <c r="A263" s="347">
        <f t="shared" ca="1" si="122"/>
        <v>0.01</v>
      </c>
      <c r="B263" s="304">
        <f t="shared" ca="1" si="123"/>
        <v>2.5899999999999888</v>
      </c>
      <c r="D263" s="306">
        <f t="shared" ca="1" si="124"/>
        <v>10.541592769287961</v>
      </c>
      <c r="E263" s="307">
        <f t="shared" ca="1" si="125"/>
        <v>35.927464082260734</v>
      </c>
      <c r="F263" s="304">
        <f t="shared" ca="1" si="126"/>
        <v>37.442059952620653</v>
      </c>
      <c r="G263" s="306">
        <f t="shared" ca="1" si="127"/>
        <v>37.022270242138553</v>
      </c>
      <c r="H263" s="307">
        <f t="shared" ca="1" si="128"/>
        <v>160.53272614772061</v>
      </c>
      <c r="I263" s="304">
        <f t="shared" ca="1" si="129"/>
        <v>164.74648602717144</v>
      </c>
      <c r="J263" s="306">
        <f t="shared" ca="1" si="130"/>
        <v>50.04536549017287</v>
      </c>
      <c r="K263" s="307">
        <f t="shared" ca="1" si="131"/>
        <v>233.02647808566584</v>
      </c>
      <c r="L263" s="304">
        <f t="shared" ca="1" si="116"/>
        <v>238.33983740880223</v>
      </c>
      <c r="M263" s="306">
        <f t="shared" ca="1" si="132"/>
        <v>1.3441379093058778</v>
      </c>
      <c r="N263" s="304">
        <f t="shared" ca="1" si="133"/>
        <v>77.013429286765017</v>
      </c>
      <c r="P263" s="310">
        <f t="shared" ca="1" si="134"/>
        <v>7</v>
      </c>
      <c r="Q263" s="304">
        <f t="shared" ca="1" si="135"/>
        <v>495.63829787234272</v>
      </c>
      <c r="R263" s="306">
        <f t="shared" ca="1" si="136"/>
        <v>0.24873776906101916</v>
      </c>
      <c r="S263" s="307">
        <f t="shared" ca="1" si="137"/>
        <v>8.2837769899318179</v>
      </c>
      <c r="T263" s="304">
        <f t="shared" ca="1" si="117"/>
        <v>81.263852271231144</v>
      </c>
      <c r="U263" s="311">
        <f t="shared" ca="1" si="118"/>
        <v>0</v>
      </c>
      <c r="V263" s="306">
        <f t="shared" ca="1" si="119"/>
        <v>1.1967830215895658</v>
      </c>
      <c r="W263" s="304">
        <f t="shared" ca="1" si="120"/>
        <v>107.29546644059</v>
      </c>
      <c r="Y263" s="314" t="str">
        <f t="shared" ca="1" si="138"/>
        <v/>
      </c>
      <c r="Z263" s="315" t="str">
        <f t="shared" ca="1" si="139"/>
        <v/>
      </c>
      <c r="AA263" s="316" t="str">
        <f t="shared" ca="1" si="140"/>
        <v/>
      </c>
      <c r="AC263" s="310" t="e">
        <f t="shared" ca="1" si="141"/>
        <v>#N/A</v>
      </c>
      <c r="AD263" s="323" t="e">
        <f t="shared" ca="1" si="142"/>
        <v>#N/A</v>
      </c>
      <c r="AE263" s="324">
        <f t="shared" ca="1" si="121"/>
        <v>233.02647808566584</v>
      </c>
      <c r="AG263" s="306">
        <f t="shared" ca="1" si="143"/>
        <v>37.377179382684346</v>
      </c>
      <c r="AH263" s="304">
        <f t="shared" ca="1" si="144"/>
        <v>46.936561429120424</v>
      </c>
    </row>
    <row r="264" spans="1:34" x14ac:dyDescent="0.2">
      <c r="A264" s="347">
        <f t="shared" ca="1" si="122"/>
        <v>0.01</v>
      </c>
      <c r="B264" s="304">
        <f t="shared" ca="1" si="123"/>
        <v>2.5999999999999885</v>
      </c>
      <c r="D264" s="306">
        <f t="shared" ca="1" si="124"/>
        <v>10.48270578936142</v>
      </c>
      <c r="E264" s="307">
        <f t="shared" ca="1" si="125"/>
        <v>35.644190863079729</v>
      </c>
      <c r="F264" s="304">
        <f t="shared" ca="1" si="126"/>
        <v>37.153673613116212</v>
      </c>
      <c r="G264" s="306">
        <f t="shared" ca="1" si="127"/>
        <v>37.127097300032169</v>
      </c>
      <c r="H264" s="307">
        <f t="shared" ca="1" si="128"/>
        <v>160.88916805635139</v>
      </c>
      <c r="I264" s="304">
        <f t="shared" ca="1" si="129"/>
        <v>165.11736962473373</v>
      </c>
      <c r="J264" s="306">
        <f t="shared" ca="1" si="130"/>
        <v>50.416112327883724</v>
      </c>
      <c r="K264" s="307">
        <f t="shared" ca="1" si="131"/>
        <v>234.63358755668619</v>
      </c>
      <c r="L264" s="304">
        <f t="shared" ca="1" si="116"/>
        <v>239.98896806307351</v>
      </c>
      <c r="M264" s="306">
        <f t="shared" ca="1" si="132"/>
        <v>1.3440043964352459</v>
      </c>
      <c r="N264" s="304">
        <f t="shared" ca="1" si="133"/>
        <v>77.005779562767131</v>
      </c>
      <c r="P264" s="310">
        <f t="shared" ca="1" si="134"/>
        <v>7</v>
      </c>
      <c r="Q264" s="304">
        <f t="shared" ca="1" si="135"/>
        <v>493.59574468085339</v>
      </c>
      <c r="R264" s="306">
        <f t="shared" ca="1" si="136"/>
        <v>0.24771270678027832</v>
      </c>
      <c r="S264" s="307">
        <f t="shared" ca="1" si="137"/>
        <v>8.2812998628640155</v>
      </c>
      <c r="T264" s="304">
        <f t="shared" ca="1" si="117"/>
        <v>81.239551654696001</v>
      </c>
      <c r="U264" s="311">
        <f t="shared" ca="1" si="118"/>
        <v>0</v>
      </c>
      <c r="V264" s="306">
        <f t="shared" ca="1" si="119"/>
        <v>1.1965906746209929</v>
      </c>
      <c r="W264" s="304">
        <f t="shared" ca="1" si="120"/>
        <v>107.76178328885881</v>
      </c>
      <c r="Y264" s="314" t="str">
        <f t="shared" ca="1" si="138"/>
        <v/>
      </c>
      <c r="Z264" s="315" t="str">
        <f t="shared" ca="1" si="139"/>
        <v/>
      </c>
      <c r="AA264" s="316" t="str">
        <f t="shared" ca="1" si="140"/>
        <v/>
      </c>
      <c r="AC264" s="310" t="e">
        <f t="shared" ca="1" si="141"/>
        <v>#N/A</v>
      </c>
      <c r="AD264" s="323" t="e">
        <f t="shared" ca="1" si="142"/>
        <v>#N/A</v>
      </c>
      <c r="AE264" s="324">
        <f t="shared" ca="1" si="121"/>
        <v>234.63358755668619</v>
      </c>
      <c r="AG264" s="306">
        <f t="shared" ca="1" si="143"/>
        <v>37.088212589703986</v>
      </c>
      <c r="AH264" s="304">
        <f t="shared" ca="1" si="144"/>
        <v>46.647299897031473</v>
      </c>
    </row>
    <row r="265" spans="1:34" x14ac:dyDescent="0.2">
      <c r="A265" s="347">
        <f t="shared" ca="1" si="122"/>
        <v>0.01</v>
      </c>
      <c r="B265" s="304">
        <f t="shared" ca="1" si="123"/>
        <v>2.6099999999999883</v>
      </c>
      <c r="D265" s="306">
        <f t="shared" ca="1" si="124"/>
        <v>10.423758988883055</v>
      </c>
      <c r="E265" s="307">
        <f t="shared" ca="1" si="125"/>
        <v>35.361048471377693</v>
      </c>
      <c r="F265" s="304">
        <f t="shared" ca="1" si="126"/>
        <v>36.86541062369227</v>
      </c>
      <c r="G265" s="306">
        <f t="shared" ca="1" si="127"/>
        <v>37.231334889921001</v>
      </c>
      <c r="H265" s="307">
        <f t="shared" ca="1" si="128"/>
        <v>161.24277854106518</v>
      </c>
      <c r="I265" s="304">
        <f t="shared" ca="1" si="129"/>
        <v>165.48536469829722</v>
      </c>
      <c r="J265" s="306">
        <f t="shared" ca="1" si="130"/>
        <v>50.78790448883349</v>
      </c>
      <c r="K265" s="307">
        <f t="shared" ca="1" si="131"/>
        <v>236.24424728967327</v>
      </c>
      <c r="L265" s="304">
        <f t="shared" ca="1" si="116"/>
        <v>241.64179195625735</v>
      </c>
      <c r="M265" s="306">
        <f t="shared" ca="1" si="132"/>
        <v>1.3438711033403239</v>
      </c>
      <c r="N265" s="304">
        <f t="shared" ca="1" si="133"/>
        <v>76.998142430989873</v>
      </c>
      <c r="P265" s="310">
        <f t="shared" ca="1" si="134"/>
        <v>7</v>
      </c>
      <c r="Q265" s="304">
        <f t="shared" ca="1" si="135"/>
        <v>491.55319148936405</v>
      </c>
      <c r="R265" s="306">
        <f t="shared" ca="1" si="136"/>
        <v>0.24668764449953751</v>
      </c>
      <c r="S265" s="307">
        <f t="shared" ca="1" si="137"/>
        <v>8.2788329864190207</v>
      </c>
      <c r="T265" s="304">
        <f t="shared" ca="1" si="117"/>
        <v>81.215351596770603</v>
      </c>
      <c r="U265" s="311">
        <f t="shared" ca="1" si="118"/>
        <v>0</v>
      </c>
      <c r="V265" s="306">
        <f t="shared" ca="1" si="119"/>
        <v>1.1963979333918537</v>
      </c>
      <c r="W265" s="304">
        <f t="shared" ca="1" si="120"/>
        <v>108.22521807833495</v>
      </c>
      <c r="Y265" s="314" t="str">
        <f t="shared" ca="1" si="138"/>
        <v/>
      </c>
      <c r="Z265" s="315" t="str">
        <f t="shared" ca="1" si="139"/>
        <v/>
      </c>
      <c r="AA265" s="316" t="str">
        <f t="shared" ca="1" si="140"/>
        <v/>
      </c>
      <c r="AC265" s="310" t="e">
        <f t="shared" ca="1" si="141"/>
        <v>#N/A</v>
      </c>
      <c r="AD265" s="323" t="e">
        <f t="shared" ca="1" si="142"/>
        <v>#N/A</v>
      </c>
      <c r="AE265" s="324">
        <f t="shared" ca="1" si="121"/>
        <v>236.24424728967327</v>
      </c>
      <c r="AG265" s="306">
        <f t="shared" ca="1" si="143"/>
        <v>36.799360347019686</v>
      </c>
      <c r="AH265" s="304">
        <f t="shared" ca="1" si="144"/>
        <v>46.358153236101558</v>
      </c>
    </row>
    <row r="266" spans="1:34" x14ac:dyDescent="0.2">
      <c r="A266" s="347">
        <f t="shared" ca="1" si="122"/>
        <v>0.01</v>
      </c>
      <c r="B266" s="304">
        <f t="shared" ca="1" si="123"/>
        <v>2.6199999999999881</v>
      </c>
      <c r="D266" s="306">
        <f t="shared" ca="1" si="124"/>
        <v>10.364753633082726</v>
      </c>
      <c r="E266" s="307">
        <f t="shared" ca="1" si="125"/>
        <v>35.078040668783117</v>
      </c>
      <c r="F266" s="304">
        <f t="shared" ca="1" si="126"/>
        <v>36.577275117691642</v>
      </c>
      <c r="G266" s="306">
        <f t="shared" ca="1" si="127"/>
        <v>37.334982426251827</v>
      </c>
      <c r="H266" s="307">
        <f t="shared" ca="1" si="128"/>
        <v>161.593558947753</v>
      </c>
      <c r="I266" s="304">
        <f t="shared" ca="1" si="129"/>
        <v>165.85047243275932</v>
      </c>
      <c r="J266" s="306">
        <f t="shared" ca="1" si="130"/>
        <v>51.160736075414356</v>
      </c>
      <c r="K266" s="307">
        <f t="shared" ca="1" si="131"/>
        <v>237.85842897711737</v>
      </c>
      <c r="L266" s="304">
        <f t="shared" ca="1" si="116"/>
        <v>243.298280206089</v>
      </c>
      <c r="M266" s="306">
        <f t="shared" ca="1" si="132"/>
        <v>1.3437380268581416</v>
      </c>
      <c r="N266" s="304">
        <f t="shared" ca="1" si="133"/>
        <v>76.99051771020838</v>
      </c>
      <c r="P266" s="310">
        <f t="shared" ca="1" si="134"/>
        <v>7</v>
      </c>
      <c r="Q266" s="304">
        <f t="shared" ca="1" si="135"/>
        <v>489.51063829787478</v>
      </c>
      <c r="R266" s="306">
        <f t="shared" ca="1" si="136"/>
        <v>0.24566258221879672</v>
      </c>
      <c r="S266" s="307">
        <f t="shared" ca="1" si="137"/>
        <v>8.2763763605968332</v>
      </c>
      <c r="T266" s="304">
        <f t="shared" ca="1" si="117"/>
        <v>81.191252097454935</v>
      </c>
      <c r="U266" s="311">
        <f t="shared" ca="1" si="118"/>
        <v>0</v>
      </c>
      <c r="V266" s="306">
        <f t="shared" ca="1" si="119"/>
        <v>1.196204801484354</v>
      </c>
      <c r="W266" s="304">
        <f t="shared" ca="1" si="120"/>
        <v>108.68574831223695</v>
      </c>
      <c r="Y266" s="314" t="str">
        <f t="shared" ca="1" si="138"/>
        <v/>
      </c>
      <c r="Z266" s="315" t="str">
        <f t="shared" ca="1" si="139"/>
        <v/>
      </c>
      <c r="AA266" s="316" t="str">
        <f t="shared" ca="1" si="140"/>
        <v/>
      </c>
      <c r="AC266" s="310" t="e">
        <f t="shared" ca="1" si="141"/>
        <v>#N/A</v>
      </c>
      <c r="AD266" s="323" t="e">
        <f t="shared" ca="1" si="142"/>
        <v>#N/A</v>
      </c>
      <c r="AE266" s="324">
        <f t="shared" ca="1" si="121"/>
        <v>237.85842897711737</v>
      </c>
      <c r="AG266" s="306">
        <f t="shared" ca="1" si="143"/>
        <v>36.510626591005554</v>
      </c>
      <c r="AH266" s="304">
        <f t="shared" ca="1" si="144"/>
        <v>46.06912537651251</v>
      </c>
    </row>
    <row r="267" spans="1:34" x14ac:dyDescent="0.2">
      <c r="A267" s="347">
        <f t="shared" ca="1" si="122"/>
        <v>0.01</v>
      </c>
      <c r="B267" s="304">
        <f t="shared" ca="1" si="123"/>
        <v>2.6299999999999879</v>
      </c>
      <c r="D267" s="306">
        <f t="shared" ca="1" si="124"/>
        <v>10.305690977011766</v>
      </c>
      <c r="E267" s="307">
        <f t="shared" ca="1" si="125"/>
        <v>34.795171187119934</v>
      </c>
      <c r="F267" s="304">
        <f t="shared" ca="1" si="126"/>
        <v>36.289271203134447</v>
      </c>
      <c r="G267" s="306">
        <f t="shared" ca="1" si="127"/>
        <v>37.438039336021944</v>
      </c>
      <c r="H267" s="307">
        <f t="shared" ca="1" si="128"/>
        <v>161.94151065962419</v>
      </c>
      <c r="I267" s="304">
        <f t="shared" ca="1" si="129"/>
        <v>166.21269405206903</v>
      </c>
      <c r="J267" s="306">
        <f t="shared" ca="1" si="130"/>
        <v>51.534601184225721</v>
      </c>
      <c r="K267" s="307">
        <f t="shared" ca="1" si="131"/>
        <v>239.47610432515427</v>
      </c>
      <c r="L267" s="304">
        <f t="shared" ca="1" si="116"/>
        <v>244.95840394232113</v>
      </c>
      <c r="M267" s="306">
        <f t="shared" ca="1" si="132"/>
        <v>1.3436051638570099</v>
      </c>
      <c r="N267" s="304">
        <f t="shared" ca="1" si="133"/>
        <v>76.982905220990091</v>
      </c>
      <c r="P267" s="310">
        <f t="shared" ca="1" si="134"/>
        <v>7</v>
      </c>
      <c r="Q267" s="304">
        <f t="shared" ca="1" si="135"/>
        <v>487.46808510638544</v>
      </c>
      <c r="R267" s="306">
        <f t="shared" ca="1" si="136"/>
        <v>0.24463751993805591</v>
      </c>
      <c r="S267" s="307">
        <f t="shared" ca="1" si="137"/>
        <v>8.2739299853974533</v>
      </c>
      <c r="T267" s="304">
        <f t="shared" ca="1" si="117"/>
        <v>81.167253156749027</v>
      </c>
      <c r="U267" s="311">
        <f t="shared" ca="1" si="118"/>
        <v>0</v>
      </c>
      <c r="V267" s="306">
        <f t="shared" ca="1" si="119"/>
        <v>1.1960112824772553</v>
      </c>
      <c r="W267" s="304">
        <f t="shared" ca="1" si="120"/>
        <v>109.14335178241232</v>
      </c>
      <c r="Y267" s="314" t="str">
        <f t="shared" ca="1" si="138"/>
        <v/>
      </c>
      <c r="Z267" s="315" t="str">
        <f t="shared" ca="1" si="139"/>
        <v/>
      </c>
      <c r="AA267" s="316" t="str">
        <f t="shared" ca="1" si="140"/>
        <v/>
      </c>
      <c r="AC267" s="310" t="e">
        <f t="shared" ca="1" si="141"/>
        <v>#N/A</v>
      </c>
      <c r="AD267" s="323" t="e">
        <f t="shared" ca="1" si="142"/>
        <v>#N/A</v>
      </c>
      <c r="AE267" s="324">
        <f t="shared" ca="1" si="121"/>
        <v>239.47610432515427</v>
      </c>
      <c r="AG267" s="306">
        <f t="shared" ca="1" si="143"/>
        <v>36.222015226852804</v>
      </c>
      <c r="AH267" s="304">
        <f t="shared" ca="1" si="144"/>
        <v>45.780220217315865</v>
      </c>
    </row>
    <row r="268" spans="1:34" x14ac:dyDescent="0.2">
      <c r="A268" s="347">
        <f t="shared" ca="1" si="122"/>
        <v>0.01</v>
      </c>
      <c r="B268" s="304">
        <f t="shared" ca="1" si="123"/>
        <v>2.6399999999999877</v>
      </c>
      <c r="D268" s="306">
        <f t="shared" ca="1" si="124"/>
        <v>10.246572265576701</v>
      </c>
      <c r="E268" s="307">
        <f t="shared" ca="1" si="125"/>
        <v>34.512443728347662</v>
      </c>
      <c r="F268" s="304">
        <f t="shared" ca="1" si="126"/>
        <v>36.001402962885344</v>
      </c>
      <c r="G268" s="306">
        <f t="shared" ca="1" si="127"/>
        <v>37.540505058677709</v>
      </c>
      <c r="H268" s="307">
        <f t="shared" ca="1" si="128"/>
        <v>162.28663509690767</v>
      </c>
      <c r="I268" s="304">
        <f t="shared" ca="1" si="129"/>
        <v>166.57203081891473</v>
      </c>
      <c r="J268" s="306">
        <f t="shared" ca="1" si="130"/>
        <v>51.909493906199216</v>
      </c>
      <c r="K268" s="307">
        <f t="shared" ca="1" si="131"/>
        <v>241.09724505393692</v>
      </c>
      <c r="L268" s="304">
        <f t="shared" ca="1" si="116"/>
        <v>246.62213430711333</v>
      </c>
      <c r="M268" s="306">
        <f t="shared" ca="1" si="132"/>
        <v>1.3434725112359656</v>
      </c>
      <c r="N268" s="304">
        <f t="shared" ca="1" si="133"/>
        <v>76.9753047856629</v>
      </c>
      <c r="P268" s="310">
        <f t="shared" ca="1" si="134"/>
        <v>7</v>
      </c>
      <c r="Q268" s="304">
        <f t="shared" ca="1" si="135"/>
        <v>485.42553191489611</v>
      </c>
      <c r="R268" s="306">
        <f t="shared" ca="1" si="136"/>
        <v>0.24361245765731507</v>
      </c>
      <c r="S268" s="307">
        <f t="shared" ca="1" si="137"/>
        <v>8.2714938608208808</v>
      </c>
      <c r="T268" s="304">
        <f t="shared" ca="1" si="117"/>
        <v>81.143354774652849</v>
      </c>
      <c r="U268" s="311">
        <f t="shared" ca="1" si="118"/>
        <v>0</v>
      </c>
      <c r="V268" s="306">
        <f t="shared" ca="1" si="119"/>
        <v>1.1958173799458187</v>
      </c>
      <c r="W268" s="304">
        <f t="shared" ca="1" si="120"/>
        <v>109.59800656898139</v>
      </c>
      <c r="Y268" s="314" t="str">
        <f t="shared" ca="1" si="138"/>
        <v/>
      </c>
      <c r="Z268" s="315" t="str">
        <f t="shared" ca="1" si="139"/>
        <v/>
      </c>
      <c r="AA268" s="316" t="str">
        <f t="shared" ca="1" si="140"/>
        <v/>
      </c>
      <c r="AC268" s="310" t="e">
        <f t="shared" ca="1" si="141"/>
        <v>#N/A</v>
      </c>
      <c r="AD268" s="323" t="e">
        <f t="shared" ca="1" si="142"/>
        <v>#N/A</v>
      </c>
      <c r="AE268" s="324">
        <f t="shared" ca="1" si="121"/>
        <v>241.09724505393692</v>
      </c>
      <c r="AG268" s="306">
        <f t="shared" ca="1" si="143"/>
        <v>35.933530128516665</v>
      </c>
      <c r="AH268" s="304">
        <f t="shared" ca="1" si="144"/>
        <v>45.491441626378808</v>
      </c>
    </row>
    <row r="269" spans="1:34" x14ac:dyDescent="0.2">
      <c r="A269" s="347">
        <f t="shared" ca="1" si="122"/>
        <v>0.01</v>
      </c>
      <c r="B269" s="304">
        <f t="shared" ca="1" si="123"/>
        <v>2.6499999999999875</v>
      </c>
      <c r="D269" s="306">
        <f t="shared" ca="1" si="124"/>
        <v>10.187398733572364</v>
      </c>
      <c r="E269" s="307">
        <f t="shared" ca="1" si="125"/>
        <v>34.229861964504735</v>
      </c>
      <c r="F269" s="304">
        <f t="shared" ca="1" si="126"/>
        <v>35.713674454833679</v>
      </c>
      <c r="G269" s="306">
        <f t="shared" ca="1" si="127"/>
        <v>37.642379046013431</v>
      </c>
      <c r="H269" s="307">
        <f t="shared" ca="1" si="128"/>
        <v>162.62893371655272</v>
      </c>
      <c r="I269" s="304">
        <f t="shared" ca="1" si="129"/>
        <v>166.92848403441113</v>
      </c>
      <c r="J269" s="306">
        <f t="shared" ca="1" si="130"/>
        <v>52.285408326722674</v>
      </c>
      <c r="K269" s="307">
        <f t="shared" ca="1" si="131"/>
        <v>242.72182289800421</v>
      </c>
      <c r="L269" s="304">
        <f t="shared" ca="1" si="116"/>
        <v>248.28944245541783</v>
      </c>
      <c r="M269" s="306">
        <f t="shared" ca="1" si="132"/>
        <v>1.3433400659242249</v>
      </c>
      <c r="N269" s="304">
        <f t="shared" ca="1" si="133"/>
        <v>76.967716228283862</v>
      </c>
      <c r="P269" s="310">
        <f t="shared" ca="1" si="134"/>
        <v>7</v>
      </c>
      <c r="Q269" s="304">
        <f t="shared" ca="1" si="135"/>
        <v>483.38297872340678</v>
      </c>
      <c r="R269" s="306">
        <f t="shared" ca="1" si="136"/>
        <v>0.24258739537657426</v>
      </c>
      <c r="S269" s="307">
        <f t="shared" ca="1" si="137"/>
        <v>8.2690679868671157</v>
      </c>
      <c r="T269" s="304">
        <f t="shared" ca="1" si="117"/>
        <v>81.119556951166416</v>
      </c>
      <c r="U269" s="311">
        <f t="shared" ca="1" si="118"/>
        <v>0</v>
      </c>
      <c r="V269" s="306">
        <f t="shared" ca="1" si="119"/>
        <v>1.1956230974617534</v>
      </c>
      <c r="W269" s="304">
        <f t="shared" ca="1" si="120"/>
        <v>110.04969103995901</v>
      </c>
      <c r="Y269" s="314" t="str">
        <f t="shared" ca="1" si="138"/>
        <v/>
      </c>
      <c r="Z269" s="315" t="str">
        <f t="shared" ca="1" si="139"/>
        <v/>
      </c>
      <c r="AA269" s="316" t="str">
        <f t="shared" ca="1" si="140"/>
        <v/>
      </c>
      <c r="AC269" s="310" t="e">
        <f t="shared" ca="1" si="141"/>
        <v>#N/A</v>
      </c>
      <c r="AD269" s="323" t="e">
        <f t="shared" ca="1" si="142"/>
        <v>#N/A</v>
      </c>
      <c r="AE269" s="324">
        <f t="shared" ca="1" si="121"/>
        <v>242.72182289800421</v>
      </c>
      <c r="AG269" s="306">
        <f t="shared" ca="1" si="143"/>
        <v>35.645175138666325</v>
      </c>
      <c r="AH269" s="304">
        <f t="shared" ca="1" si="144"/>
        <v>45.202793440333117</v>
      </c>
    </row>
    <row r="270" spans="1:34" x14ac:dyDescent="0.2">
      <c r="A270" s="347">
        <f t="shared" ca="1" si="122"/>
        <v>0.01</v>
      </c>
      <c r="B270" s="304">
        <f t="shared" ca="1" si="123"/>
        <v>2.6599999999999873</v>
      </c>
      <c r="D270" s="306">
        <f t="shared" ca="1" si="124"/>
        <v>10.128171605714655</v>
      </c>
      <c r="E270" s="307">
        <f t="shared" ca="1" si="125"/>
        <v>33.947429537655175</v>
      </c>
      <c r="F270" s="304">
        <f t="shared" ca="1" si="126"/>
        <v>35.426089712087439</v>
      </c>
      <c r="G270" s="306">
        <f t="shared" ca="1" si="127"/>
        <v>37.743660762070576</v>
      </c>
      <c r="H270" s="307">
        <f t="shared" ca="1" si="128"/>
        <v>162.96840801192928</v>
      </c>
      <c r="I270" s="304">
        <f t="shared" ca="1" si="129"/>
        <v>167.28205503778617</v>
      </c>
      <c r="J270" s="306">
        <f t="shared" ca="1" si="130"/>
        <v>52.662338525763097</v>
      </c>
      <c r="K270" s="307">
        <f t="shared" ca="1" si="131"/>
        <v>244.3498096066466</v>
      </c>
      <c r="L270" s="304">
        <f t="shared" ca="1" si="116"/>
        <v>249.96029955536244</v>
      </c>
      <c r="M270" s="306">
        <f t="shared" ca="1" si="132"/>
        <v>1.3432078248806498</v>
      </c>
      <c r="N270" s="304">
        <f t="shared" ca="1" si="133"/>
        <v>76.960139374608602</v>
      </c>
      <c r="P270" s="310">
        <f t="shared" ca="1" si="134"/>
        <v>7</v>
      </c>
      <c r="Q270" s="304">
        <f t="shared" ca="1" si="135"/>
        <v>481.3404255319175</v>
      </c>
      <c r="R270" s="306">
        <f t="shared" ca="1" si="136"/>
        <v>0.24156233309583347</v>
      </c>
      <c r="S270" s="307">
        <f t="shared" ca="1" si="137"/>
        <v>8.2666523635361582</v>
      </c>
      <c r="T270" s="304">
        <f t="shared" ca="1" si="117"/>
        <v>81.095859686289714</v>
      </c>
      <c r="U270" s="311">
        <f t="shared" ca="1" si="118"/>
        <v>0</v>
      </c>
      <c r="V270" s="306">
        <f t="shared" ca="1" si="119"/>
        <v>1.1954284385931624</v>
      </c>
      <c r="W270" s="304">
        <f t="shared" ca="1" si="120"/>
        <v>110.49838385085542</v>
      </c>
      <c r="Y270" s="314" t="str">
        <f t="shared" ca="1" si="138"/>
        <v/>
      </c>
      <c r="Z270" s="315" t="str">
        <f t="shared" ca="1" si="139"/>
        <v/>
      </c>
      <c r="AA270" s="316" t="str">
        <f t="shared" ca="1" si="140"/>
        <v/>
      </c>
      <c r="AC270" s="310" t="e">
        <f t="shared" ca="1" si="141"/>
        <v>#N/A</v>
      </c>
      <c r="AD270" s="323" t="e">
        <f t="shared" ca="1" si="142"/>
        <v>#N/A</v>
      </c>
      <c r="AE270" s="324">
        <f t="shared" ca="1" si="121"/>
        <v>244.3498096066466</v>
      </c>
      <c r="AG270" s="306">
        <f t="shared" ca="1" si="143"/>
        <v>35.356954068638018</v>
      </c>
      <c r="AH270" s="304">
        <f t="shared" ca="1" si="144"/>
        <v>44.91427946452734</v>
      </c>
    </row>
    <row r="271" spans="1:34" x14ac:dyDescent="0.2">
      <c r="A271" s="347">
        <f t="shared" ca="1" si="122"/>
        <v>0.01</v>
      </c>
      <c r="B271" s="304">
        <f t="shared" ca="1" si="123"/>
        <v>2.6699999999999871</v>
      </c>
      <c r="D271" s="306">
        <f t="shared" ca="1" si="124"/>
        <v>10.068892096672748</v>
      </c>
      <c r="E271" s="307">
        <f t="shared" ca="1" si="125"/>
        <v>33.665150059838417</v>
      </c>
      <c r="F271" s="304">
        <f t="shared" ca="1" si="126"/>
        <v>35.138652743181225</v>
      </c>
      <c r="G271" s="306">
        <f t="shared" ca="1" si="127"/>
        <v>37.844349683037301</v>
      </c>
      <c r="H271" s="307">
        <f t="shared" ca="1" si="128"/>
        <v>163.30505951252766</v>
      </c>
      <c r="I271" s="304">
        <f t="shared" ca="1" si="129"/>
        <v>167.63274520606709</v>
      </c>
      <c r="J271" s="306">
        <f t="shared" ca="1" si="130"/>
        <v>53.040278577988637</v>
      </c>
      <c r="K271" s="307">
        <f t="shared" ca="1" si="131"/>
        <v>245.9811769442689</v>
      </c>
      <c r="L271" s="304">
        <f t="shared" ca="1" si="116"/>
        <v>251.63467678863014</v>
      </c>
      <c r="M271" s="306">
        <f t="shared" ca="1" si="132"/>
        <v>1.3430757850932231</v>
      </c>
      <c r="N271" s="304">
        <f t="shared" ca="1" si="133"/>
        <v>76.952574052061252</v>
      </c>
      <c r="P271" s="310">
        <f t="shared" ca="1" si="134"/>
        <v>7</v>
      </c>
      <c r="Q271" s="304">
        <f t="shared" ca="1" si="135"/>
        <v>479.29787234042817</v>
      </c>
      <c r="R271" s="306">
        <f t="shared" ca="1" si="136"/>
        <v>0.24053727081509266</v>
      </c>
      <c r="S271" s="307">
        <f t="shared" ca="1" si="137"/>
        <v>8.2642469908280081</v>
      </c>
      <c r="T271" s="304">
        <f t="shared" ca="1" si="117"/>
        <v>81.072262980022757</v>
      </c>
      <c r="U271" s="311">
        <f t="shared" ca="1" si="118"/>
        <v>0</v>
      </c>
      <c r="V271" s="306">
        <f t="shared" ca="1" si="119"/>
        <v>1.1952334069044901</v>
      </c>
      <c r="W271" s="304">
        <f t="shared" ca="1" si="120"/>
        <v>110.94406394425525</v>
      </c>
      <c r="Y271" s="314" t="str">
        <f t="shared" ca="1" si="138"/>
        <v/>
      </c>
      <c r="Z271" s="315" t="str">
        <f t="shared" ca="1" si="139"/>
        <v/>
      </c>
      <c r="AA271" s="316" t="str">
        <f t="shared" ca="1" si="140"/>
        <v/>
      </c>
      <c r="AC271" s="310" t="e">
        <f t="shared" ca="1" si="141"/>
        <v>#N/A</v>
      </c>
      <c r="AD271" s="323" t="e">
        <f t="shared" ca="1" si="142"/>
        <v>#N/A</v>
      </c>
      <c r="AE271" s="324">
        <f t="shared" ca="1" si="121"/>
        <v>245.9811769442689</v>
      </c>
      <c r="AG271" s="306">
        <f t="shared" ca="1" si="143"/>
        <v>35.068870698391201</v>
      </c>
      <c r="AH271" s="304">
        <f t="shared" ca="1" si="144"/>
        <v>44.62590347298201</v>
      </c>
    </row>
    <row r="272" spans="1:34" x14ac:dyDescent="0.2">
      <c r="A272" s="347">
        <f t="shared" ca="1" si="122"/>
        <v>0.01</v>
      </c>
      <c r="B272" s="304">
        <f t="shared" ca="1" si="123"/>
        <v>2.6799999999999868</v>
      </c>
      <c r="D272" s="306">
        <f t="shared" ca="1" si="124"/>
        <v>10.009561411100879</v>
      </c>
      <c r="E272" s="307">
        <f t="shared" ca="1" si="125"/>
        <v>33.383027113022365</v>
      </c>
      <c r="F272" s="304">
        <f t="shared" ca="1" si="126"/>
        <v>34.851367532299015</v>
      </c>
      <c r="G272" s="306">
        <f t="shared" ca="1" si="127"/>
        <v>37.944445297148313</v>
      </c>
      <c r="H272" s="307">
        <f t="shared" ca="1" si="128"/>
        <v>163.63888978365787</v>
      </c>
      <c r="I272" s="304">
        <f t="shared" ca="1" si="129"/>
        <v>167.9805559537663</v>
      </c>
      <c r="J272" s="306">
        <f t="shared" ca="1" si="130"/>
        <v>53.419222552889565</v>
      </c>
      <c r="K272" s="307">
        <f t="shared" ca="1" si="131"/>
        <v>247.61589669074982</v>
      </c>
      <c r="L272" s="304">
        <f t="shared" ca="1" si="116"/>
        <v>253.31254535083579</v>
      </c>
      <c r="M272" s="306">
        <f t="shared" ca="1" si="132"/>
        <v>1.3429439435785331</v>
      </c>
      <c r="N272" s="304">
        <f t="shared" ca="1" si="133"/>
        <v>76.945020089704897</v>
      </c>
      <c r="P272" s="310">
        <f t="shared" ca="1" si="134"/>
        <v>7</v>
      </c>
      <c r="Q272" s="304">
        <f t="shared" ca="1" si="135"/>
        <v>477.25531914893884</v>
      </c>
      <c r="R272" s="306">
        <f t="shared" ca="1" si="136"/>
        <v>0.23951220853435182</v>
      </c>
      <c r="S272" s="307">
        <f t="shared" ca="1" si="137"/>
        <v>8.2618518687426654</v>
      </c>
      <c r="T272" s="304">
        <f t="shared" ca="1" si="117"/>
        <v>81.048766832365558</v>
      </c>
      <c r="U272" s="311">
        <f t="shared" ca="1" si="118"/>
        <v>0</v>
      </c>
      <c r="V272" s="306">
        <f t="shared" ca="1" si="119"/>
        <v>1.1950380059564698</v>
      </c>
      <c r="W272" s="304">
        <f t="shared" ca="1" si="120"/>
        <v>111.38671054937615</v>
      </c>
      <c r="Y272" s="314" t="str">
        <f t="shared" ca="1" si="138"/>
        <v/>
      </c>
      <c r="Z272" s="315" t="str">
        <f t="shared" ca="1" si="139"/>
        <v/>
      </c>
      <c r="AA272" s="316" t="str">
        <f t="shared" ca="1" si="140"/>
        <v/>
      </c>
      <c r="AC272" s="310" t="e">
        <f t="shared" ca="1" si="141"/>
        <v>#N/A</v>
      </c>
      <c r="AD272" s="323" t="e">
        <f t="shared" ca="1" si="142"/>
        <v>#N/A</v>
      </c>
      <c r="AE272" s="324">
        <f t="shared" ca="1" si="121"/>
        <v>247.61589669074982</v>
      </c>
      <c r="AG272" s="306">
        <f t="shared" ca="1" si="143"/>
        <v>34.780928776467718</v>
      </c>
      <c r="AH272" s="304">
        <f t="shared" ca="1" si="144"/>
        <v>44.33766920834794</v>
      </c>
    </row>
    <row r="273" spans="1:34" x14ac:dyDescent="0.2">
      <c r="A273" s="347">
        <f t="shared" ca="1" si="122"/>
        <v>0.01</v>
      </c>
      <c r="B273" s="304">
        <f t="shared" ca="1" si="123"/>
        <v>2.6899999999999866</v>
      </c>
      <c r="D273" s="306">
        <f t="shared" ca="1" si="124"/>
        <v>9.950180743669792</v>
      </c>
      <c r="E273" s="307">
        <f t="shared" ca="1" si="125"/>
        <v>33.101064249059526</v>
      </c>
      <c r="F273" s="304">
        <f t="shared" ca="1" si="126"/>
        <v>34.564238039512226</v>
      </c>
      <c r="G273" s="306">
        <f t="shared" ca="1" si="127"/>
        <v>38.043947104585008</v>
      </c>
      <c r="H273" s="307">
        <f t="shared" ca="1" si="128"/>
        <v>163.96990042614846</v>
      </c>
      <c r="I273" s="304">
        <f t="shared" ca="1" si="129"/>
        <v>168.3254887325669</v>
      </c>
      <c r="J273" s="306">
        <f t="shared" ca="1" si="130"/>
        <v>53.79916451489823</v>
      </c>
      <c r="K273" s="307">
        <f t="shared" ca="1" si="131"/>
        <v>249.25394064179886</v>
      </c>
      <c r="L273" s="304">
        <f t="shared" ca="1" si="116"/>
        <v>254.99387645189927</v>
      </c>
      <c r="M273" s="306">
        <f t="shared" ca="1" si="132"/>
        <v>1.3428122973812702</v>
      </c>
      <c r="N273" s="304">
        <f t="shared" ca="1" si="133"/>
        <v>76.937477318212785</v>
      </c>
      <c r="P273" s="310">
        <f t="shared" ca="1" si="134"/>
        <v>7</v>
      </c>
      <c r="Q273" s="304">
        <f t="shared" ca="1" si="135"/>
        <v>475.21276595744951</v>
      </c>
      <c r="R273" s="306">
        <f t="shared" ca="1" si="136"/>
        <v>0.238487146253611</v>
      </c>
      <c r="S273" s="307">
        <f t="shared" ca="1" si="137"/>
        <v>8.2594669972801285</v>
      </c>
      <c r="T273" s="304">
        <f t="shared" ca="1" si="117"/>
        <v>81.025371243318062</v>
      </c>
      <c r="U273" s="311">
        <f t="shared" ca="1" si="118"/>
        <v>0</v>
      </c>
      <c r="V273" s="306">
        <f t="shared" ca="1" si="119"/>
        <v>1.1948422393060742</v>
      </c>
      <c r="W273" s="304">
        <f t="shared" ca="1" si="120"/>
        <v>111.82630318160678</v>
      </c>
      <c r="Y273" s="314" t="str">
        <f t="shared" ca="1" si="138"/>
        <v/>
      </c>
      <c r="Z273" s="315" t="str">
        <f t="shared" ca="1" si="139"/>
        <v/>
      </c>
      <c r="AA273" s="316" t="str">
        <f t="shared" ca="1" si="140"/>
        <v/>
      </c>
      <c r="AC273" s="310" t="e">
        <f t="shared" ca="1" si="141"/>
        <v>#N/A</v>
      </c>
      <c r="AD273" s="323" t="e">
        <f t="shared" ca="1" si="142"/>
        <v>#N/A</v>
      </c>
      <c r="AE273" s="324">
        <f t="shared" ca="1" si="121"/>
        <v>249.25394064179886</v>
      </c>
      <c r="AG273" s="306">
        <f t="shared" ca="1" si="143"/>
        <v>34.493132019954096</v>
      </c>
      <c r="AH273" s="304">
        <f t="shared" ca="1" si="144"/>
        <v>44.049580381867564</v>
      </c>
    </row>
    <row r="274" spans="1:34" x14ac:dyDescent="0.2">
      <c r="A274" s="347">
        <f t="shared" ca="1" si="122"/>
        <v>0.01</v>
      </c>
      <c r="B274" s="304">
        <f t="shared" ca="1" si="123"/>
        <v>2.6999999999999864</v>
      </c>
      <c r="D274" s="306">
        <f t="shared" ca="1" si="124"/>
        <v>9.8907512790976533</v>
      </c>
      <c r="E274" s="307">
        <f t="shared" ca="1" si="125"/>
        <v>32.819264989646335</v>
      </c>
      <c r="F274" s="304">
        <f t="shared" ca="1" si="126"/>
        <v>34.277268201033721</v>
      </c>
      <c r="G274" s="306">
        <f t="shared" ca="1" si="127"/>
        <v>38.142854617375988</v>
      </c>
      <c r="H274" s="307">
        <f t="shared" ca="1" si="128"/>
        <v>164.29809307604492</v>
      </c>
      <c r="I274" s="304">
        <f t="shared" ca="1" si="129"/>
        <v>168.66754503100768</v>
      </c>
      <c r="J274" s="306">
        <f t="shared" ca="1" si="130"/>
        <v>54.180098523508036</v>
      </c>
      <c r="K274" s="307">
        <f t="shared" ca="1" si="131"/>
        <v>250.89528060930982</v>
      </c>
      <c r="L274" s="304">
        <f t="shared" ca="1" si="116"/>
        <v>256.67864131641602</v>
      </c>
      <c r="M274" s="306">
        <f t="shared" ca="1" si="132"/>
        <v>1.3426808435737303</v>
      </c>
      <c r="N274" s="304">
        <f t="shared" ca="1" si="133"/>
        <v>76.92994556983983</v>
      </c>
      <c r="P274" s="310">
        <f t="shared" ca="1" si="134"/>
        <v>7</v>
      </c>
      <c r="Q274" s="304">
        <f t="shared" ca="1" si="135"/>
        <v>473.17021276596023</v>
      </c>
      <c r="R274" s="306">
        <f t="shared" ca="1" si="136"/>
        <v>0.23746208397287022</v>
      </c>
      <c r="S274" s="307">
        <f t="shared" ca="1" si="137"/>
        <v>8.257092376440399</v>
      </c>
      <c r="T274" s="304">
        <f t="shared" ca="1" si="117"/>
        <v>81.002076212880311</v>
      </c>
      <c r="U274" s="311">
        <f t="shared" ca="1" si="118"/>
        <v>0</v>
      </c>
      <c r="V274" s="306">
        <f t="shared" ca="1" si="119"/>
        <v>1.1946461105064627</v>
      </c>
      <c r="W274" s="304">
        <f t="shared" ca="1" si="120"/>
        <v>112.26282164202382</v>
      </c>
      <c r="Y274" s="314" t="str">
        <f t="shared" ca="1" si="138"/>
        <v/>
      </c>
      <c r="Z274" s="315" t="str">
        <f t="shared" ca="1" si="139"/>
        <v/>
      </c>
      <c r="AA274" s="316" t="str">
        <f t="shared" ca="1" si="140"/>
        <v/>
      </c>
      <c r="AC274" s="310" t="e">
        <f t="shared" ca="1" si="141"/>
        <v>#N/A</v>
      </c>
      <c r="AD274" s="323" t="e">
        <f t="shared" ca="1" si="142"/>
        <v>#N/A</v>
      </c>
      <c r="AE274" s="324">
        <f t="shared" ca="1" si="121"/>
        <v>250.89528060930982</v>
      </c>
      <c r="AG274" s="306">
        <f t="shared" ca="1" si="143"/>
        <v>34.205484114446662</v>
      </c>
      <c r="AH274" s="304">
        <f t="shared" ca="1" si="144"/>
        <v>43.76164067333923</v>
      </c>
    </row>
    <row r="275" spans="1:34" x14ac:dyDescent="0.2">
      <c r="A275" s="347">
        <f t="shared" ca="1" si="122"/>
        <v>0.01</v>
      </c>
      <c r="B275" s="304">
        <f t="shared" ca="1" si="123"/>
        <v>2.7099999999999862</v>
      </c>
      <c r="D275" s="306">
        <f t="shared" ca="1" si="124"/>
        <v>9.8312741921807394</v>
      </c>
      <c r="E275" s="307">
        <f t="shared" ca="1" si="125"/>
        <v>32.537632826285574</v>
      </c>
      <c r="F275" s="304">
        <f t="shared" ca="1" si="126"/>
        <v>33.990461929488625</v>
      </c>
      <c r="G275" s="306">
        <f t="shared" ca="1" si="127"/>
        <v>38.241167359297798</v>
      </c>
      <c r="H275" s="307">
        <f t="shared" ca="1" si="128"/>
        <v>164.62346940430777</v>
      </c>
      <c r="I275" s="304">
        <f t="shared" ca="1" si="129"/>
        <v>169.00672637416795</v>
      </c>
      <c r="J275" s="306">
        <f t="shared" ca="1" si="130"/>
        <v>54.562018633391403</v>
      </c>
      <c r="K275" s="307">
        <f t="shared" ca="1" si="131"/>
        <v>252.53988842171159</v>
      </c>
      <c r="L275" s="304">
        <f t="shared" ca="1" si="116"/>
        <v>258.36681118402396</v>
      </c>
      <c r="M275" s="306">
        <f t="shared" ca="1" si="132"/>
        <v>1.3425495792553295</v>
      </c>
      <c r="N275" s="304">
        <f t="shared" ca="1" si="133"/>
        <v>76.922424678394805</v>
      </c>
      <c r="P275" s="310">
        <f t="shared" ca="1" si="134"/>
        <v>7</v>
      </c>
      <c r="Q275" s="304">
        <f t="shared" ca="1" si="135"/>
        <v>471.1276595744709</v>
      </c>
      <c r="R275" s="306">
        <f t="shared" ca="1" si="136"/>
        <v>0.23643702169212941</v>
      </c>
      <c r="S275" s="307">
        <f t="shared" ca="1" si="137"/>
        <v>8.2547280062234769</v>
      </c>
      <c r="T275" s="304">
        <f t="shared" ca="1" si="117"/>
        <v>80.978881741052319</v>
      </c>
      <c r="U275" s="311">
        <f t="shared" ca="1" si="118"/>
        <v>0</v>
      </c>
      <c r="V275" s="306">
        <f t="shared" ca="1" si="119"/>
        <v>1.1944496231069315</v>
      </c>
      <c r="W275" s="304">
        <f t="shared" ca="1" si="120"/>
        <v>112.69624601688949</v>
      </c>
      <c r="Y275" s="314" t="str">
        <f t="shared" ca="1" si="138"/>
        <v/>
      </c>
      <c r="Z275" s="315" t="str">
        <f t="shared" ca="1" si="139"/>
        <v/>
      </c>
      <c r="AA275" s="316" t="str">
        <f t="shared" ca="1" si="140"/>
        <v/>
      </c>
      <c r="AC275" s="310" t="e">
        <f t="shared" ca="1" si="141"/>
        <v>#N/A</v>
      </c>
      <c r="AD275" s="323" t="e">
        <f t="shared" ca="1" si="142"/>
        <v>#N/A</v>
      </c>
      <c r="AE275" s="324">
        <f t="shared" ca="1" si="121"/>
        <v>252.53988842171159</v>
      </c>
      <c r="AG275" s="306">
        <f t="shared" ca="1" si="143"/>
        <v>33.917988714019842</v>
      </c>
      <c r="AH275" s="304">
        <f t="shared" ca="1" si="144"/>
        <v>43.473853731084603</v>
      </c>
    </row>
    <row r="276" spans="1:34" x14ac:dyDescent="0.2">
      <c r="A276" s="347">
        <f t="shared" ca="1" si="122"/>
        <v>0.01</v>
      </c>
      <c r="B276" s="304">
        <f t="shared" ca="1" si="123"/>
        <v>2.719999999999986</v>
      </c>
      <c r="D276" s="306">
        <f t="shared" ca="1" si="124"/>
        <v>9.7717506478237048</v>
      </c>
      <c r="E276" s="307">
        <f t="shared" ca="1" si="125"/>
        <v>32.256171220251893</v>
      </c>
      <c r="F276" s="304">
        <f t="shared" ca="1" si="126"/>
        <v>33.703823114202486</v>
      </c>
      <c r="G276" s="306">
        <f t="shared" ca="1" si="127"/>
        <v>38.338884865776038</v>
      </c>
      <c r="H276" s="307">
        <f t="shared" ca="1" si="128"/>
        <v>164.94603111651028</v>
      </c>
      <c r="I276" s="304">
        <f t="shared" ca="1" si="129"/>
        <v>169.3430343233521</v>
      </c>
      <c r="J276" s="306">
        <f t="shared" ca="1" si="130"/>
        <v>54.944918894516775</v>
      </c>
      <c r="K276" s="307">
        <f t="shared" ca="1" si="131"/>
        <v>254.18773592431569</v>
      </c>
      <c r="L276" s="304">
        <f t="shared" ca="1" si="116"/>
        <v>260.05835730976747</v>
      </c>
      <c r="M276" s="306">
        <f t="shared" ca="1" si="132"/>
        <v>1.3424185015521273</v>
      </c>
      <c r="N276" s="304">
        <f t="shared" ca="1" si="133"/>
        <v>76.914914479213039</v>
      </c>
      <c r="P276" s="310">
        <f t="shared" ca="1" si="134"/>
        <v>7</v>
      </c>
      <c r="Q276" s="304">
        <f t="shared" ca="1" si="135"/>
        <v>469.08510638298156</v>
      </c>
      <c r="R276" s="306">
        <f t="shared" ca="1" si="136"/>
        <v>0.23541195941138857</v>
      </c>
      <c r="S276" s="307">
        <f t="shared" ca="1" si="137"/>
        <v>8.2523738866293623</v>
      </c>
      <c r="T276" s="304">
        <f t="shared" ca="1" si="117"/>
        <v>80.955787827834044</v>
      </c>
      <c r="U276" s="311">
        <f t="shared" ca="1" si="118"/>
        <v>0</v>
      </c>
      <c r="V276" s="306">
        <f t="shared" ca="1" si="119"/>
        <v>1.1942527806528624</v>
      </c>
      <c r="W276" s="304">
        <f t="shared" ca="1" si="120"/>
        <v>113.12655667712862</v>
      </c>
      <c r="Y276" s="314" t="str">
        <f t="shared" ca="1" si="138"/>
        <v/>
      </c>
      <c r="Z276" s="315" t="str">
        <f t="shared" ca="1" si="139"/>
        <v/>
      </c>
      <c r="AA276" s="316" t="str">
        <f t="shared" ca="1" si="140"/>
        <v/>
      </c>
      <c r="AC276" s="310" t="e">
        <f t="shared" ca="1" si="141"/>
        <v>#N/A</v>
      </c>
      <c r="AD276" s="323" t="e">
        <f t="shared" ca="1" si="142"/>
        <v>#N/A</v>
      </c>
      <c r="AE276" s="324">
        <f t="shared" ca="1" si="121"/>
        <v>254.18773592431569</v>
      </c>
      <c r="AG276" s="306">
        <f t="shared" ca="1" si="143"/>
        <v>33.630649441197342</v>
      </c>
      <c r="AH276" s="304">
        <f t="shared" ca="1" si="144"/>
        <v>43.186223171918982</v>
      </c>
    </row>
    <row r="277" spans="1:34" x14ac:dyDescent="0.2">
      <c r="A277" s="347">
        <f t="shared" ca="1" si="122"/>
        <v>0.01</v>
      </c>
      <c r="B277" s="304">
        <f t="shared" ca="1" si="123"/>
        <v>2.7299999999999858</v>
      </c>
      <c r="D277" s="306">
        <f t="shared" ca="1" si="124"/>
        <v>9.712181801069498</v>
      </c>
      <c r="E277" s="307">
        <f t="shared" ca="1" si="125"/>
        <v>31.97488360256034</v>
      </c>
      <c r="F277" s="304">
        <f t="shared" ca="1" si="126"/>
        <v>33.417355621507632</v>
      </c>
      <c r="G277" s="306">
        <f t="shared" ca="1" si="127"/>
        <v>38.436006683786729</v>
      </c>
      <c r="H277" s="307">
        <f t="shared" ca="1" si="128"/>
        <v>165.26577995253589</v>
      </c>
      <c r="I277" s="304">
        <f t="shared" ca="1" si="129"/>
        <v>169.67647047577373</v>
      </c>
      <c r="J277" s="306">
        <f t="shared" ca="1" si="130"/>
        <v>55.32879335226459</v>
      </c>
      <c r="K277" s="307">
        <f t="shared" ca="1" si="131"/>
        <v>255.83879497966092</v>
      </c>
      <c r="L277" s="304">
        <f t="shared" ca="1" si="116"/>
        <v>261.75325096445806</v>
      </c>
      <c r="M277" s="306">
        <f t="shared" ca="1" si="132"/>
        <v>1.3422876076163575</v>
      </c>
      <c r="N277" s="304">
        <f t="shared" ca="1" si="133"/>
        <v>76.907414809129577</v>
      </c>
      <c r="P277" s="310">
        <f t="shared" ca="1" si="134"/>
        <v>7</v>
      </c>
      <c r="Q277" s="304">
        <f t="shared" ca="1" si="135"/>
        <v>467.04255319149229</v>
      </c>
      <c r="R277" s="306">
        <f t="shared" ca="1" si="136"/>
        <v>0.23438689713064778</v>
      </c>
      <c r="S277" s="307">
        <f t="shared" ca="1" si="137"/>
        <v>8.2500300176580552</v>
      </c>
      <c r="T277" s="304">
        <f t="shared" ca="1" si="117"/>
        <v>80.932794473225528</v>
      </c>
      <c r="U277" s="311">
        <f t="shared" ca="1" si="118"/>
        <v>0</v>
      </c>
      <c r="V277" s="306">
        <f t="shared" ca="1" si="119"/>
        <v>1.1940555866856764</v>
      </c>
      <c r="W277" s="304">
        <f t="shared" ca="1" si="120"/>
        <v>113.55373427778656</v>
      </c>
      <c r="Y277" s="314" t="str">
        <f t="shared" ca="1" si="138"/>
        <v/>
      </c>
      <c r="Z277" s="315" t="str">
        <f t="shared" ca="1" si="139"/>
        <v/>
      </c>
      <c r="AA277" s="316" t="str">
        <f t="shared" ca="1" si="140"/>
        <v/>
      </c>
      <c r="AC277" s="310" t="e">
        <f t="shared" ca="1" si="141"/>
        <v>#N/A</v>
      </c>
      <c r="AD277" s="323" t="e">
        <f t="shared" ca="1" si="142"/>
        <v>#N/A</v>
      </c>
      <c r="AE277" s="324">
        <f t="shared" ca="1" si="121"/>
        <v>255.83879497966092</v>
      </c>
      <c r="AG277" s="306">
        <f t="shared" ca="1" si="143"/>
        <v>33.343469886926208</v>
      </c>
      <c r="AH277" s="304">
        <f t="shared" ca="1" si="144"/>
        <v>42.898752581124569</v>
      </c>
    </row>
    <row r="278" spans="1:34" x14ac:dyDescent="0.2">
      <c r="A278" s="347">
        <f t="shared" ca="1" si="122"/>
        <v>0.01</v>
      </c>
      <c r="B278" s="304">
        <f t="shared" ca="1" si="123"/>
        <v>2.7399999999999856</v>
      </c>
      <c r="D278" s="306">
        <f t="shared" ca="1" si="124"/>
        <v>9.6525687971290619</v>
      </c>
      <c r="E278" s="307">
        <f t="shared" ca="1" si="125"/>
        <v>31.693773373937859</v>
      </c>
      <c r="F278" s="304">
        <f t="shared" ca="1" si="126"/>
        <v>33.1310632950686</v>
      </c>
      <c r="G278" s="306">
        <f t="shared" ca="1" si="127"/>
        <v>38.532532371758023</v>
      </c>
      <c r="H278" s="307">
        <f t="shared" ca="1" si="128"/>
        <v>165.58271768627526</v>
      </c>
      <c r="I278" s="304">
        <f t="shared" ca="1" si="129"/>
        <v>170.00703646423966</v>
      </c>
      <c r="J278" s="306">
        <f t="shared" ca="1" si="130"/>
        <v>55.713636047542316</v>
      </c>
      <c r="K278" s="307">
        <f t="shared" ca="1" si="131"/>
        <v>257.49303746785495</v>
      </c>
      <c r="L278" s="304">
        <f t="shared" ca="1" si="116"/>
        <v>263.45146343503228</v>
      </c>
      <c r="M278" s="306">
        <f t="shared" ca="1" si="132"/>
        <v>1.3421568946259692</v>
      </c>
      <c r="N278" s="304">
        <f t="shared" ca="1" si="133"/>
        <v>76.899925506452803</v>
      </c>
      <c r="P278" s="310">
        <f t="shared" ca="1" si="134"/>
        <v>7</v>
      </c>
      <c r="Q278" s="304">
        <f t="shared" ca="1" si="135"/>
        <v>465.00000000000296</v>
      </c>
      <c r="R278" s="306">
        <f t="shared" ca="1" si="136"/>
        <v>0.23336183484990697</v>
      </c>
      <c r="S278" s="307">
        <f t="shared" ca="1" si="137"/>
        <v>8.2476963993095556</v>
      </c>
      <c r="T278" s="304">
        <f t="shared" ca="1" si="117"/>
        <v>80.909901677226742</v>
      </c>
      <c r="U278" s="311">
        <f t="shared" ca="1" si="118"/>
        <v>0</v>
      </c>
      <c r="V278" s="306">
        <f t="shared" ca="1" si="119"/>
        <v>1.1938580447427813</v>
      </c>
      <c r="W278" s="304">
        <f t="shared" ca="1" si="120"/>
        <v>113.9777597574673</v>
      </c>
      <c r="Y278" s="314" t="str">
        <f t="shared" ca="1" si="138"/>
        <v/>
      </c>
      <c r="Z278" s="315" t="str">
        <f t="shared" ca="1" si="139"/>
        <v/>
      </c>
      <c r="AA278" s="316" t="str">
        <f t="shared" ca="1" si="140"/>
        <v/>
      </c>
      <c r="AC278" s="310" t="e">
        <f t="shared" ca="1" si="141"/>
        <v>#N/A</v>
      </c>
      <c r="AD278" s="323" t="e">
        <f t="shared" ca="1" si="142"/>
        <v>#N/A</v>
      </c>
      <c r="AE278" s="324">
        <f t="shared" ca="1" si="121"/>
        <v>257.49303746785495</v>
      </c>
      <c r="AG278" s="306">
        <f t="shared" ca="1" si="143"/>
        <v>33.056453610553817</v>
      </c>
      <c r="AH278" s="304">
        <f t="shared" ca="1" si="144"/>
        <v>42.61144551242662</v>
      </c>
    </row>
    <row r="279" spans="1:34" x14ac:dyDescent="0.2">
      <c r="A279" s="347">
        <f t="shared" ca="1" si="122"/>
        <v>0.01</v>
      </c>
      <c r="B279" s="304">
        <f t="shared" ca="1" si="123"/>
        <v>2.7499999999999853</v>
      </c>
      <c r="D279" s="306">
        <f t="shared" ca="1" si="124"/>
        <v>9.5929127714106528</v>
      </c>
      <c r="E279" s="307">
        <f t="shared" ca="1" si="125"/>
        <v>31.412843904797917</v>
      </c>
      <c r="F279" s="304">
        <f t="shared" ca="1" si="126"/>
        <v>32.844949956227566</v>
      </c>
      <c r="G279" s="306">
        <f t="shared" ca="1" si="127"/>
        <v>38.628461499472131</v>
      </c>
      <c r="H279" s="307">
        <f t="shared" ca="1" si="128"/>
        <v>165.89684612532324</v>
      </c>
      <c r="I279" s="304">
        <f t="shared" ca="1" si="129"/>
        <v>170.33473395683387</v>
      </c>
      <c r="J279" s="306">
        <f t="shared" ca="1" si="130"/>
        <v>56.099441016898467</v>
      </c>
      <c r="K279" s="307">
        <f t="shared" ca="1" si="131"/>
        <v>259.15043528691297</v>
      </c>
      <c r="L279" s="304">
        <f t="shared" ca="1" si="116"/>
        <v>265.15296602490594</v>
      </c>
      <c r="M279" s="306">
        <f t="shared" ca="1" si="132"/>
        <v>1.3420263597841764</v>
      </c>
      <c r="N279" s="304">
        <f t="shared" ca="1" si="133"/>
        <v>76.892446410938661</v>
      </c>
      <c r="P279" s="310">
        <f t="shared" ca="1" si="134"/>
        <v>7</v>
      </c>
      <c r="Q279" s="304">
        <f t="shared" ca="1" si="135"/>
        <v>462.95744680851362</v>
      </c>
      <c r="R279" s="306">
        <f t="shared" ca="1" si="136"/>
        <v>0.23233677256916616</v>
      </c>
      <c r="S279" s="307">
        <f t="shared" ca="1" si="137"/>
        <v>8.2453730315838634</v>
      </c>
      <c r="T279" s="304">
        <f t="shared" ca="1" si="117"/>
        <v>80.887109439837701</v>
      </c>
      <c r="U279" s="311">
        <f t="shared" ca="1" si="118"/>
        <v>0</v>
      </c>
      <c r="V279" s="306">
        <f t="shared" ca="1" si="119"/>
        <v>1.1936601583575268</v>
      </c>
      <c r="W279" s="304">
        <f t="shared" ca="1" si="120"/>
        <v>114.39861433775269</v>
      </c>
      <c r="Y279" s="314" t="str">
        <f t="shared" ca="1" si="138"/>
        <v/>
      </c>
      <c r="Z279" s="315" t="str">
        <f t="shared" ca="1" si="139"/>
        <v/>
      </c>
      <c r="AA279" s="316" t="str">
        <f t="shared" ca="1" si="140"/>
        <v/>
      </c>
      <c r="AC279" s="310" t="e">
        <f t="shared" ca="1" si="141"/>
        <v>#N/A</v>
      </c>
      <c r="AD279" s="323" t="e">
        <f t="shared" ca="1" si="142"/>
        <v>#N/A</v>
      </c>
      <c r="AE279" s="324">
        <f t="shared" ca="1" si="121"/>
        <v>259.15043528691297</v>
      </c>
      <c r="AG279" s="306">
        <f t="shared" ca="1" si="143"/>
        <v>32.769604139807889</v>
      </c>
      <c r="AH279" s="304">
        <f t="shared" ca="1" si="144"/>
        <v>42.324305487972616</v>
      </c>
    </row>
    <row r="280" spans="1:34" x14ac:dyDescent="0.2">
      <c r="A280" s="347">
        <f t="shared" ca="1" si="122"/>
        <v>0.01</v>
      </c>
      <c r="B280" s="304">
        <f t="shared" ca="1" si="123"/>
        <v>2.7599999999999851</v>
      </c>
      <c r="D280" s="306">
        <f t="shared" ca="1" si="124"/>
        <v>9.5332148495489086</v>
      </c>
      <c r="E280" s="307">
        <f t="shared" ca="1" si="125"/>
        <v>31.132098535217985</v>
      </c>
      <c r="F280" s="304">
        <f t="shared" ca="1" si="126"/>
        <v>32.559019404370602</v>
      </c>
      <c r="G280" s="306">
        <f t="shared" ca="1" si="127"/>
        <v>38.723793647967618</v>
      </c>
      <c r="H280" s="307">
        <f t="shared" ca="1" si="128"/>
        <v>166.20816711067542</v>
      </c>
      <c r="I280" s="304">
        <f t="shared" ca="1" si="129"/>
        <v>170.65956465660102</v>
      </c>
      <c r="J280" s="306">
        <f t="shared" ca="1" si="130"/>
        <v>56.486202292635667</v>
      </c>
      <c r="K280" s="307">
        <f t="shared" ca="1" si="131"/>
        <v>260.81096035309298</v>
      </c>
      <c r="L280" s="304">
        <f t="shared" ca="1" si="116"/>
        <v>266.85773005432537</v>
      </c>
      <c r="M280" s="306">
        <f t="shared" ca="1" si="132"/>
        <v>1.3418960003190132</v>
      </c>
      <c r="N280" s="304">
        <f t="shared" ca="1" si="133"/>
        <v>76.884977363765231</v>
      </c>
      <c r="P280" s="310">
        <f t="shared" ca="1" si="134"/>
        <v>7</v>
      </c>
      <c r="Q280" s="304">
        <f t="shared" ca="1" si="135"/>
        <v>460.91489361702429</v>
      </c>
      <c r="R280" s="306">
        <f t="shared" ca="1" si="136"/>
        <v>0.23131171028842534</v>
      </c>
      <c r="S280" s="307">
        <f t="shared" ca="1" si="137"/>
        <v>8.2430599144809786</v>
      </c>
      <c r="T280" s="304">
        <f t="shared" ca="1" si="117"/>
        <v>80.864417761058405</v>
      </c>
      <c r="U280" s="311">
        <f t="shared" ca="1" si="118"/>
        <v>0</v>
      </c>
      <c r="V280" s="306">
        <f t="shared" ca="1" si="119"/>
        <v>1.1934619310591532</v>
      </c>
      <c r="W280" s="304">
        <f t="shared" ca="1" si="120"/>
        <v>114.81627952260273</v>
      </c>
      <c r="Y280" s="314" t="str">
        <f t="shared" ca="1" si="138"/>
        <v/>
      </c>
      <c r="Z280" s="315" t="str">
        <f t="shared" ca="1" si="139"/>
        <v/>
      </c>
      <c r="AA280" s="316" t="str">
        <f t="shared" ca="1" si="140"/>
        <v/>
      </c>
      <c r="AC280" s="310" t="e">
        <f t="shared" ca="1" si="141"/>
        <v>#N/A</v>
      </c>
      <c r="AD280" s="323" t="e">
        <f t="shared" ca="1" si="142"/>
        <v>#N/A</v>
      </c>
      <c r="AE280" s="324">
        <f t="shared" ca="1" si="121"/>
        <v>260.81096035309298</v>
      </c>
      <c r="AG280" s="306">
        <f t="shared" ca="1" si="143"/>
        <v>32.482924970779109</v>
      </c>
      <c r="AH280" s="304">
        <f t="shared" ca="1" si="144"/>
        <v>42.037335998314148</v>
      </c>
    </row>
    <row r="281" spans="1:34" x14ac:dyDescent="0.2">
      <c r="A281" s="347">
        <f t="shared" ca="1" si="122"/>
        <v>0.01</v>
      </c>
      <c r="B281" s="304">
        <f t="shared" ca="1" si="123"/>
        <v>2.7699999999999849</v>
      </c>
      <c r="D281" s="306">
        <f t="shared" ca="1" si="124"/>
        <v>9.4734761474337343</v>
      </c>
      <c r="E281" s="307">
        <f t="shared" ca="1" si="125"/>
        <v>30.851540574919959</v>
      </c>
      <c r="F281" s="304">
        <f t="shared" ca="1" si="126"/>
        <v>32.273275417315929</v>
      </c>
      <c r="G281" s="306">
        <f t="shared" ca="1" si="127"/>
        <v>38.818528409441953</v>
      </c>
      <c r="H281" s="307">
        <f t="shared" ca="1" si="128"/>
        <v>166.51668251642462</v>
      </c>
      <c r="I281" s="304">
        <f t="shared" ca="1" si="129"/>
        <v>170.98153030122992</v>
      </c>
      <c r="J281" s="306">
        <f t="shared" ca="1" si="130"/>
        <v>56.873913902922716</v>
      </c>
      <c r="K281" s="307">
        <f t="shared" ca="1" si="131"/>
        <v>262.47458460122846</v>
      </c>
      <c r="L281" s="304">
        <f t="shared" ca="1" si="116"/>
        <v>268.56572686071559</v>
      </c>
      <c r="M281" s="306">
        <f t="shared" ca="1" si="132"/>
        <v>1.3417658134829014</v>
      </c>
      <c r="N281" s="304">
        <f t="shared" ca="1" si="133"/>
        <v>76.877518207507862</v>
      </c>
      <c r="P281" s="310">
        <f t="shared" ca="1" si="134"/>
        <v>7</v>
      </c>
      <c r="Q281" s="304">
        <f t="shared" ca="1" si="135"/>
        <v>458.87234042553501</v>
      </c>
      <c r="R281" s="306">
        <f t="shared" ca="1" si="136"/>
        <v>0.23028664800768453</v>
      </c>
      <c r="S281" s="307">
        <f t="shared" ca="1" si="137"/>
        <v>8.2407570480009014</v>
      </c>
      <c r="T281" s="304">
        <f t="shared" ca="1" si="117"/>
        <v>80.84182664088884</v>
      </c>
      <c r="U281" s="311">
        <f t="shared" ca="1" si="118"/>
        <v>0</v>
      </c>
      <c r="V281" s="306">
        <f t="shared" ca="1" si="119"/>
        <v>1.1932633663727472</v>
      </c>
      <c r="W281" s="304">
        <f t="shared" ca="1" si="120"/>
        <v>115.23073709773716</v>
      </c>
      <c r="Y281" s="314" t="str">
        <f t="shared" ca="1" si="138"/>
        <v/>
      </c>
      <c r="Z281" s="315" t="str">
        <f t="shared" ca="1" si="139"/>
        <v/>
      </c>
      <c r="AA281" s="316" t="str">
        <f t="shared" ca="1" si="140"/>
        <v/>
      </c>
      <c r="AC281" s="310" t="e">
        <f t="shared" ca="1" si="141"/>
        <v>#N/A</v>
      </c>
      <c r="AD281" s="323" t="e">
        <f t="shared" ca="1" si="142"/>
        <v>#N/A</v>
      </c>
      <c r="AE281" s="324">
        <f t="shared" ca="1" si="121"/>
        <v>262.47458460122846</v>
      </c>
      <c r="AG281" s="306">
        <f t="shared" ca="1" si="143"/>
        <v>32.196419567906815</v>
      </c>
      <c r="AH281" s="304">
        <f t="shared" ca="1" si="144"/>
        <v>41.7505405023918</v>
      </c>
    </row>
    <row r="282" spans="1:34" x14ac:dyDescent="0.2">
      <c r="A282" s="347">
        <f t="shared" ca="1" si="122"/>
        <v>0.01</v>
      </c>
      <c r="B282" s="304">
        <f t="shared" ca="1" si="123"/>
        <v>2.7799999999999847</v>
      </c>
      <c r="D282" s="306">
        <f t="shared" ca="1" si="124"/>
        <v>9.4136977712387999</v>
      </c>
      <c r="E282" s="307">
        <f t="shared" ca="1" si="125"/>
        <v>30.571173303253516</v>
      </c>
      <c r="F282" s="304">
        <f t="shared" ca="1" si="126"/>
        <v>31.987721751725097</v>
      </c>
      <c r="G282" s="306">
        <f t="shared" ca="1" si="127"/>
        <v>38.912665387154341</v>
      </c>
      <c r="H282" s="307">
        <f t="shared" ca="1" si="128"/>
        <v>166.82239424945715</v>
      </c>
      <c r="I282" s="304">
        <f t="shared" ca="1" si="129"/>
        <v>171.300632662737</v>
      </c>
      <c r="J282" s="306">
        <f t="shared" ca="1" si="130"/>
        <v>57.262569871905697</v>
      </c>
      <c r="K282" s="307">
        <f t="shared" ca="1" si="131"/>
        <v>264.14127998505785</v>
      </c>
      <c r="L282" s="304">
        <f t="shared" ca="1" si="116"/>
        <v>270.27692779902543</v>
      </c>
      <c r="M282" s="306">
        <f t="shared" ca="1" si="132"/>
        <v>1.3416357965522205</v>
      </c>
      <c r="N282" s="304">
        <f t="shared" ca="1" si="133"/>
        <v>76.870068786114601</v>
      </c>
      <c r="P282" s="310">
        <f t="shared" ca="1" si="134"/>
        <v>7</v>
      </c>
      <c r="Q282" s="304">
        <f t="shared" ca="1" si="135"/>
        <v>456.82978723404568</v>
      </c>
      <c r="R282" s="306">
        <f t="shared" ca="1" si="136"/>
        <v>0.22926158572694372</v>
      </c>
      <c r="S282" s="307">
        <f t="shared" ca="1" si="137"/>
        <v>8.2384644321436316</v>
      </c>
      <c r="T282" s="304">
        <f t="shared" ca="1" si="117"/>
        <v>80.819336079329034</v>
      </c>
      <c r="U282" s="311">
        <f t="shared" ca="1" si="118"/>
        <v>0</v>
      </c>
      <c r="V282" s="306">
        <f t="shared" ca="1" si="119"/>
        <v>1.1930644678191926</v>
      </c>
      <c r="W282" s="304">
        <f t="shared" ca="1" si="120"/>
        <v>115.6419691299987</v>
      </c>
      <c r="Y282" s="314" t="str">
        <f t="shared" ca="1" si="138"/>
        <v/>
      </c>
      <c r="Z282" s="315" t="str">
        <f t="shared" ca="1" si="139"/>
        <v/>
      </c>
      <c r="AA282" s="316" t="str">
        <f t="shared" ca="1" si="140"/>
        <v/>
      </c>
      <c r="AC282" s="310" t="e">
        <f t="shared" ca="1" si="141"/>
        <v>#N/A</v>
      </c>
      <c r="AD282" s="323" t="e">
        <f t="shared" ca="1" si="142"/>
        <v>#N/A</v>
      </c>
      <c r="AE282" s="324">
        <f t="shared" ca="1" si="121"/>
        <v>264.14127998505785</v>
      </c>
      <c r="AG282" s="306">
        <f t="shared" ca="1" si="143"/>
        <v>31.910091363967332</v>
      </c>
      <c r="AH282" s="304">
        <f t="shared" ca="1" si="144"/>
        <v>41.463922427522711</v>
      </c>
    </row>
    <row r="283" spans="1:34" x14ac:dyDescent="0.2">
      <c r="A283" s="347">
        <f t="shared" ca="1" si="122"/>
        <v>0.01</v>
      </c>
      <c r="B283" s="304">
        <f t="shared" ca="1" si="123"/>
        <v>2.7899999999999845</v>
      </c>
      <c r="D283" s="306">
        <f t="shared" ca="1" si="124"/>
        <v>9.3538808174500243</v>
      </c>
      <c r="E283" s="307">
        <f t="shared" ca="1" si="125"/>
        <v>30.290999969182415</v>
      </c>
      <c r="F283" s="304">
        <f t="shared" ca="1" si="126"/>
        <v>31.70236214353859</v>
      </c>
      <c r="G283" s="306">
        <f t="shared" ca="1" si="127"/>
        <v>39.006204195328841</v>
      </c>
      <c r="H283" s="307">
        <f t="shared" ca="1" si="128"/>
        <v>167.12530424914897</v>
      </c>
      <c r="I283" s="304">
        <f t="shared" ca="1" si="129"/>
        <v>171.61687354714948</v>
      </c>
      <c r="J283" s="306">
        <f t="shared" ca="1" si="130"/>
        <v>57.652164219818111</v>
      </c>
      <c r="K283" s="307">
        <f t="shared" ca="1" si="131"/>
        <v>265.81101847755087</v>
      </c>
      <c r="L283" s="304">
        <f t="shared" ca="1" si="116"/>
        <v>271.99130424206902</v>
      </c>
      <c r="M283" s="306">
        <f t="shared" ca="1" si="132"/>
        <v>1.3415059468268913</v>
      </c>
      <c r="N283" s="304">
        <f t="shared" ca="1" si="133"/>
        <v>76.862628944882303</v>
      </c>
      <c r="P283" s="310">
        <f t="shared" ca="1" si="134"/>
        <v>7</v>
      </c>
      <c r="Q283" s="304">
        <f t="shared" ca="1" si="135"/>
        <v>454.78723404255635</v>
      </c>
      <c r="R283" s="306">
        <f t="shared" ca="1" si="136"/>
        <v>0.2282365234462029</v>
      </c>
      <c r="S283" s="307">
        <f t="shared" ca="1" si="137"/>
        <v>8.2361820669091692</v>
      </c>
      <c r="T283" s="304">
        <f t="shared" ca="1" si="117"/>
        <v>80.796946076378958</v>
      </c>
      <c r="U283" s="311">
        <f t="shared" ca="1" si="118"/>
        <v>0</v>
      </c>
      <c r="V283" s="306">
        <f t="shared" ca="1" si="119"/>
        <v>1.1928652389151253</v>
      </c>
      <c r="W283" s="304">
        <f t="shared" ca="1" si="120"/>
        <v>116.04995796669827</v>
      </c>
      <c r="Y283" s="314" t="str">
        <f t="shared" ca="1" si="138"/>
        <v/>
      </c>
      <c r="Z283" s="315" t="str">
        <f t="shared" ca="1" si="139"/>
        <v/>
      </c>
      <c r="AA283" s="316" t="str">
        <f t="shared" ca="1" si="140"/>
        <v/>
      </c>
      <c r="AC283" s="310" t="e">
        <f t="shared" ca="1" si="141"/>
        <v>#N/A</v>
      </c>
      <c r="AD283" s="323" t="e">
        <f t="shared" ca="1" si="142"/>
        <v>#N/A</v>
      </c>
      <c r="AE283" s="324">
        <f t="shared" ca="1" si="121"/>
        <v>265.81101847755087</v>
      </c>
      <c r="AG283" s="306">
        <f t="shared" ca="1" si="143"/>
        <v>31.623943760065295</v>
      </c>
      <c r="AH283" s="304">
        <f t="shared" ca="1" si="144"/>
        <v>41.177485169391147</v>
      </c>
    </row>
    <row r="284" spans="1:34" x14ac:dyDescent="0.2">
      <c r="A284" s="347">
        <f t="shared" ca="1" si="122"/>
        <v>0.01</v>
      </c>
      <c r="B284" s="304">
        <f t="shared" ca="1" si="123"/>
        <v>2.7999999999999843</v>
      </c>
      <c r="D284" s="306">
        <f t="shared" ca="1" si="124"/>
        <v>9.2940263728936277</v>
      </c>
      <c r="E284" s="307">
        <f t="shared" ca="1" si="125"/>
        <v>30.011023791273495</v>
      </c>
      <c r="F284" s="304">
        <f t="shared" ca="1" si="126"/>
        <v>31.417200308436556</v>
      </c>
      <c r="G284" s="306">
        <f t="shared" ca="1" si="127"/>
        <v>39.099144459057776</v>
      </c>
      <c r="H284" s="307">
        <f t="shared" ca="1" si="128"/>
        <v>167.42541448706172</v>
      </c>
      <c r="I284" s="304">
        <f t="shared" ca="1" si="129"/>
        <v>171.93025479418881</v>
      </c>
      <c r="J284" s="306">
        <f t="shared" ca="1" si="130"/>
        <v>58.042690963090045</v>
      </c>
      <c r="K284" s="307">
        <f t="shared" ca="1" si="131"/>
        <v>267.48377207123195</v>
      </c>
      <c r="L284" s="304">
        <f t="shared" ca="1" si="116"/>
        <v>273.70882758086475</v>
      </c>
      <c r="M284" s="306">
        <f t="shared" ca="1" si="132"/>
        <v>1.3413762616299612</v>
      </c>
      <c r="N284" s="304">
        <f t="shared" ca="1" si="133"/>
        <v>76.855198530432887</v>
      </c>
      <c r="P284" s="310">
        <f t="shared" ca="1" si="134"/>
        <v>7</v>
      </c>
      <c r="Q284" s="304">
        <f t="shared" ca="1" si="135"/>
        <v>452.74468085106707</v>
      </c>
      <c r="R284" s="306">
        <f t="shared" ca="1" si="136"/>
        <v>0.22721146116546212</v>
      </c>
      <c r="S284" s="307">
        <f t="shared" ca="1" si="137"/>
        <v>8.2339099522975143</v>
      </c>
      <c r="T284" s="304">
        <f t="shared" ca="1" si="117"/>
        <v>80.774656632038614</v>
      </c>
      <c r="U284" s="311">
        <f t="shared" ca="1" si="118"/>
        <v>0</v>
      </c>
      <c r="V284" s="306">
        <f t="shared" ca="1" si="119"/>
        <v>1.1926656831728875</v>
      </c>
      <c r="W284" s="304">
        <f t="shared" ca="1" si="120"/>
        <v>116.4546862349425</v>
      </c>
      <c r="Y284" s="314" t="str">
        <f t="shared" ca="1" si="138"/>
        <v/>
      </c>
      <c r="Z284" s="315" t="str">
        <f t="shared" ca="1" si="139"/>
        <v/>
      </c>
      <c r="AA284" s="316" t="str">
        <f t="shared" ca="1" si="140"/>
        <v/>
      </c>
      <c r="AC284" s="310" t="e">
        <f t="shared" ca="1" si="141"/>
        <v>#N/A</v>
      </c>
      <c r="AD284" s="323" t="e">
        <f t="shared" ca="1" si="142"/>
        <v>#N/A</v>
      </c>
      <c r="AE284" s="324">
        <f t="shared" ca="1" si="121"/>
        <v>267.48377207123195</v>
      </c>
      <c r="AG284" s="306">
        <f t="shared" ca="1" si="143"/>
        <v>31.33798012562746</v>
      </c>
      <c r="AH284" s="304">
        <f t="shared" ca="1" si="144"/>
        <v>40.891232092041591</v>
      </c>
    </row>
    <row r="285" spans="1:34" x14ac:dyDescent="0.2">
      <c r="A285" s="347">
        <f t="shared" ca="1" si="122"/>
        <v>0.01</v>
      </c>
      <c r="B285" s="304">
        <f t="shared" ca="1" si="123"/>
        <v>2.8099999999999841</v>
      </c>
      <c r="D285" s="306">
        <f t="shared" ca="1" si="124"/>
        <v>9.2341355147641746</v>
      </c>
      <c r="E285" s="307">
        <f t="shared" ca="1" si="125"/>
        <v>29.731247957688566</v>
      </c>
      <c r="F285" s="304">
        <f t="shared" ca="1" si="126"/>
        <v>31.1322399423265</v>
      </c>
      <c r="G285" s="306">
        <f t="shared" ca="1" si="127"/>
        <v>39.191485814205414</v>
      </c>
      <c r="H285" s="307">
        <f t="shared" ca="1" si="128"/>
        <v>167.72272696663859</v>
      </c>
      <c r="I285" s="304">
        <f t="shared" ca="1" si="129"/>
        <v>172.24077827695351</v>
      </c>
      <c r="J285" s="306">
        <f t="shared" ca="1" si="130"/>
        <v>58.434144114456359</v>
      </c>
      <c r="K285" s="307">
        <f t="shared" ca="1" si="131"/>
        <v>269.15951277850047</v>
      </c>
      <c r="L285" s="304">
        <f t="shared" ca="1" si="116"/>
        <v>275.42946922497021</v>
      </c>
      <c r="M285" s="306">
        <f t="shared" ca="1" si="132"/>
        <v>1.3412467383072011</v>
      </c>
      <c r="N285" s="304">
        <f t="shared" ca="1" si="133"/>
        <v>76.847777390690226</v>
      </c>
      <c r="P285" s="310">
        <f t="shared" ca="1" si="134"/>
        <v>7</v>
      </c>
      <c r="Q285" s="304">
        <f t="shared" ca="1" si="135"/>
        <v>450.70212765957774</v>
      </c>
      <c r="R285" s="306">
        <f t="shared" ca="1" si="136"/>
        <v>0.22618639888472128</v>
      </c>
      <c r="S285" s="307">
        <f t="shared" ca="1" si="137"/>
        <v>8.2316480883086669</v>
      </c>
      <c r="T285" s="304">
        <f t="shared" ca="1" si="117"/>
        <v>80.752467746308028</v>
      </c>
      <c r="U285" s="311">
        <f t="shared" ca="1" si="118"/>
        <v>0</v>
      </c>
      <c r="V285" s="306">
        <f t="shared" ca="1" si="119"/>
        <v>1.1924658041004816</v>
      </c>
      <c r="W285" s="304">
        <f t="shared" ca="1" si="120"/>
        <v>116.85613684094288</v>
      </c>
      <c r="Y285" s="314" t="str">
        <f t="shared" ca="1" si="138"/>
        <v/>
      </c>
      <c r="Z285" s="315" t="str">
        <f t="shared" ca="1" si="139"/>
        <v/>
      </c>
      <c r="AA285" s="316" t="str">
        <f t="shared" ca="1" si="140"/>
        <v/>
      </c>
      <c r="AC285" s="310" t="e">
        <f t="shared" ca="1" si="141"/>
        <v>#N/A</v>
      </c>
      <c r="AD285" s="323" t="e">
        <f t="shared" ca="1" si="142"/>
        <v>#N/A</v>
      </c>
      <c r="AE285" s="324">
        <f t="shared" ca="1" si="121"/>
        <v>269.15951277850047</v>
      </c>
      <c r="AG285" s="306">
        <f t="shared" ca="1" si="143"/>
        <v>31.052203798399457</v>
      </c>
      <c r="AH285" s="304">
        <f t="shared" ca="1" si="144"/>
        <v>40.605166527874744</v>
      </c>
    </row>
    <row r="286" spans="1:34" x14ac:dyDescent="0.2">
      <c r="A286" s="347">
        <f t="shared" ca="1" si="122"/>
        <v>0.01</v>
      </c>
      <c r="B286" s="304">
        <f t="shared" ca="1" si="123"/>
        <v>2.8199999999999839</v>
      </c>
      <c r="D286" s="306">
        <f t="shared" ca="1" si="124"/>
        <v>9.1742093106523495</v>
      </c>
      <c r="E286" s="307">
        <f t="shared" ca="1" si="125"/>
        <v>29.451675626179203</v>
      </c>
      <c r="F286" s="304">
        <f t="shared" ca="1" si="126"/>
        <v>30.847484721859225</v>
      </c>
      <c r="G286" s="306">
        <f t="shared" ca="1" si="127"/>
        <v>39.283227907311939</v>
      </c>
      <c r="H286" s="307">
        <f t="shared" ca="1" si="128"/>
        <v>168.01724372290039</v>
      </c>
      <c r="I286" s="304">
        <f t="shared" ca="1" si="129"/>
        <v>172.54844590160272</v>
      </c>
      <c r="J286" s="306">
        <f t="shared" ca="1" si="130"/>
        <v>58.826517683063948</v>
      </c>
      <c r="K286" s="307">
        <f t="shared" ca="1" si="131"/>
        <v>270.83821263194818</v>
      </c>
      <c r="L286" s="304">
        <f t="shared" ca="1" si="116"/>
        <v>277.15320060281499</v>
      </c>
      <c r="M286" s="306">
        <f t="shared" ca="1" si="132"/>
        <v>1.3411173742267075</v>
      </c>
      <c r="N286" s="304">
        <f t="shared" ca="1" si="133"/>
        <v>76.840365374857342</v>
      </c>
      <c r="P286" s="310">
        <f t="shared" ca="1" si="134"/>
        <v>7</v>
      </c>
      <c r="Q286" s="304">
        <f t="shared" ca="1" si="135"/>
        <v>448.65957446808841</v>
      </c>
      <c r="R286" s="306">
        <f t="shared" ca="1" si="136"/>
        <v>0.22516133660398047</v>
      </c>
      <c r="S286" s="307">
        <f t="shared" ca="1" si="137"/>
        <v>8.2293964749426269</v>
      </c>
      <c r="T286" s="304">
        <f t="shared" ca="1" si="117"/>
        <v>80.730379419187173</v>
      </c>
      <c r="U286" s="311">
        <f t="shared" ca="1" si="118"/>
        <v>0</v>
      </c>
      <c r="V286" s="306">
        <f t="shared" ca="1" si="119"/>
        <v>1.1922656052015268</v>
      </c>
      <c r="W286" s="304">
        <f t="shared" ca="1" si="120"/>
        <v>117.25429296930896</v>
      </c>
      <c r="Y286" s="314" t="str">
        <f t="shared" ca="1" si="138"/>
        <v/>
      </c>
      <c r="Z286" s="315" t="str">
        <f t="shared" ca="1" si="139"/>
        <v/>
      </c>
      <c r="AA286" s="316" t="str">
        <f t="shared" ca="1" si="140"/>
        <v/>
      </c>
      <c r="AC286" s="310" t="e">
        <f t="shared" ca="1" si="141"/>
        <v>#N/A</v>
      </c>
      <c r="AD286" s="323" t="e">
        <f t="shared" ca="1" si="142"/>
        <v>#N/A</v>
      </c>
      <c r="AE286" s="324">
        <f t="shared" ca="1" si="121"/>
        <v>270.83821263194818</v>
      </c>
      <c r="AG286" s="306">
        <f t="shared" ca="1" si="143"/>
        <v>30.766618084445248</v>
      </c>
      <c r="AH286" s="304">
        <f t="shared" ca="1" si="144"/>
        <v>40.319291777646278</v>
      </c>
    </row>
    <row r="287" spans="1:34" x14ac:dyDescent="0.2">
      <c r="A287" s="347">
        <f t="shared" ca="1" si="122"/>
        <v>0.01</v>
      </c>
      <c r="B287" s="304">
        <f t="shared" ca="1" si="123"/>
        <v>2.8299999999999836</v>
      </c>
      <c r="D287" s="306">
        <f t="shared" ca="1" si="124"/>
        <v>9.1142488185725625</v>
      </c>
      <c r="E287" s="307">
        <f t="shared" ca="1" si="125"/>
        <v>29.172309924084068</v>
      </c>
      <c r="F287" s="304">
        <f t="shared" ca="1" si="126"/>
        <v>30.562938304974296</v>
      </c>
      <c r="G287" s="306">
        <f t="shared" ca="1" si="127"/>
        <v>39.374370395497664</v>
      </c>
      <c r="H287" s="307">
        <f t="shared" ca="1" si="128"/>
        <v>168.30896682214123</v>
      </c>
      <c r="I287" s="304">
        <f t="shared" ca="1" si="129"/>
        <v>172.85325960703915</v>
      </c>
      <c r="J287" s="306">
        <f t="shared" ca="1" si="130"/>
        <v>59.219805674577998</v>
      </c>
      <c r="K287" s="307">
        <f t="shared" ca="1" si="131"/>
        <v>272.51984368467339</v>
      </c>
      <c r="L287" s="304">
        <f t="shared" ca="1" si="116"/>
        <v>278.87999316202945</v>
      </c>
      <c r="M287" s="306">
        <f t="shared" ca="1" si="132"/>
        <v>1.3409881667785113</v>
      </c>
      <c r="N287" s="304">
        <f t="shared" ca="1" si="133"/>
        <v>76.83296233339405</v>
      </c>
      <c r="P287" s="310">
        <f t="shared" ca="1" si="134"/>
        <v>7</v>
      </c>
      <c r="Q287" s="304">
        <f t="shared" ca="1" si="135"/>
        <v>446.61702127659908</v>
      </c>
      <c r="R287" s="306">
        <f t="shared" ca="1" si="136"/>
        <v>0.22413627432323965</v>
      </c>
      <c r="S287" s="307">
        <f t="shared" ca="1" si="137"/>
        <v>8.2271551121993944</v>
      </c>
      <c r="T287" s="304">
        <f t="shared" ca="1" si="117"/>
        <v>80.708391650676063</v>
      </c>
      <c r="U287" s="311">
        <f t="shared" ca="1" si="118"/>
        <v>0</v>
      </c>
      <c r="V287" s="306">
        <f t="shared" ca="1" si="119"/>
        <v>1.1920650899752139</v>
      </c>
      <c r="W287" s="304">
        <f t="shared" ca="1" si="120"/>
        <v>117.64913808232286</v>
      </c>
      <c r="Y287" s="314" t="str">
        <f t="shared" ca="1" si="138"/>
        <v/>
      </c>
      <c r="Z287" s="315" t="str">
        <f t="shared" ca="1" si="139"/>
        <v/>
      </c>
      <c r="AA287" s="316" t="str">
        <f t="shared" ca="1" si="140"/>
        <v/>
      </c>
      <c r="AC287" s="310" t="e">
        <f t="shared" ca="1" si="141"/>
        <v>#N/A</v>
      </c>
      <c r="AD287" s="323" t="e">
        <f t="shared" ca="1" si="142"/>
        <v>#N/A</v>
      </c>
      <c r="AE287" s="324">
        <f t="shared" ca="1" si="121"/>
        <v>272.51984368467339</v>
      </c>
      <c r="AG287" s="306">
        <f t="shared" ca="1" si="143"/>
        <v>30.481226258149107</v>
      </c>
      <c r="AH287" s="304">
        <f t="shared" ca="1" si="144"/>
        <v>40.033611110468101</v>
      </c>
    </row>
    <row r="288" spans="1:34" x14ac:dyDescent="0.2">
      <c r="A288" s="347">
        <f t="shared" ca="1" si="122"/>
        <v>0.01</v>
      </c>
      <c r="B288" s="304">
        <f t="shared" ca="1" si="123"/>
        <v>2.8399999999999834</v>
      </c>
      <c r="D288" s="306">
        <f t="shared" ca="1" si="124"/>
        <v>9.0542550869904748</v>
      </c>
      <c r="E288" s="307">
        <f t="shared" ca="1" si="125"/>
        <v>28.893153948329214</v>
      </c>
      <c r="F288" s="304">
        <f t="shared" ca="1" si="126"/>
        <v>30.278604331477119</v>
      </c>
      <c r="G288" s="306">
        <f t="shared" ca="1" si="127"/>
        <v>39.464912946367569</v>
      </c>
      <c r="H288" s="307">
        <f t="shared" ca="1" si="128"/>
        <v>168.59789836162452</v>
      </c>
      <c r="I288" s="304">
        <f t="shared" ca="1" si="129"/>
        <v>173.15522136459253</v>
      </c>
      <c r="J288" s="306">
        <f t="shared" ca="1" si="130"/>
        <v>59.614002091287325</v>
      </c>
      <c r="K288" s="307">
        <f t="shared" ca="1" si="131"/>
        <v>274.20437801059222</v>
      </c>
      <c r="L288" s="304">
        <f t="shared" ca="1" si="116"/>
        <v>280.60981836977084</v>
      </c>
      <c r="M288" s="306">
        <f t="shared" ca="1" si="132"/>
        <v>1.3408591133741945</v>
      </c>
      <c r="N288" s="304">
        <f t="shared" ca="1" si="133"/>
        <v>76.825568117994905</v>
      </c>
      <c r="P288" s="310">
        <f t="shared" ca="1" si="134"/>
        <v>7</v>
      </c>
      <c r="Q288" s="304">
        <f t="shared" ca="1" si="135"/>
        <v>444.57446808510974</v>
      </c>
      <c r="R288" s="306">
        <f t="shared" ca="1" si="136"/>
        <v>0.22311121204249884</v>
      </c>
      <c r="S288" s="307">
        <f t="shared" ca="1" si="137"/>
        <v>8.2249240000789694</v>
      </c>
      <c r="T288" s="304">
        <f t="shared" ca="1" si="117"/>
        <v>80.686504440774698</v>
      </c>
      <c r="U288" s="311">
        <f t="shared" ca="1" si="118"/>
        <v>0</v>
      </c>
      <c r="V288" s="306">
        <f t="shared" ca="1" si="119"/>
        <v>1.1918642619162612</v>
      </c>
      <c r="W288" s="304">
        <f t="shared" ca="1" si="120"/>
        <v>118.04065591919829</v>
      </c>
      <c r="Y288" s="314" t="str">
        <f t="shared" ca="1" si="138"/>
        <v/>
      </c>
      <c r="Z288" s="315" t="str">
        <f t="shared" ca="1" si="139"/>
        <v/>
      </c>
      <c r="AA288" s="316" t="str">
        <f t="shared" ca="1" si="140"/>
        <v/>
      </c>
      <c r="AC288" s="310" t="e">
        <f t="shared" ca="1" si="141"/>
        <v>#N/A</v>
      </c>
      <c r="AD288" s="323" t="e">
        <f t="shared" ca="1" si="142"/>
        <v>#N/A</v>
      </c>
      <c r="AE288" s="324">
        <f t="shared" ca="1" si="121"/>
        <v>274.20437801059222</v>
      </c>
      <c r="AG288" s="306">
        <f t="shared" ca="1" si="143"/>
        <v>30.196031562220462</v>
      </c>
      <c r="AH288" s="304">
        <f t="shared" ca="1" si="144"/>
        <v>39.748127763812526</v>
      </c>
    </row>
    <row r="289" spans="1:34" x14ac:dyDescent="0.2">
      <c r="A289" s="347">
        <f t="shared" ca="1" si="122"/>
        <v>0.01</v>
      </c>
      <c r="B289" s="304">
        <f t="shared" ca="1" si="123"/>
        <v>2.8499999999999832</v>
      </c>
      <c r="D289" s="306">
        <f t="shared" ca="1" si="124"/>
        <v>8.9942291548502968</v>
      </c>
      <c r="E289" s="307">
        <f t="shared" ca="1" si="125"/>
        <v>28.614210765430911</v>
      </c>
      <c r="F289" s="304">
        <f t="shared" ca="1" si="126"/>
        <v>29.994486423648954</v>
      </c>
      <c r="G289" s="306">
        <f t="shared" ca="1" si="127"/>
        <v>39.554855237916072</v>
      </c>
      <c r="H289" s="307">
        <f t="shared" ca="1" si="128"/>
        <v>168.88404046927883</v>
      </c>
      <c r="I289" s="304">
        <f t="shared" ca="1" si="129"/>
        <v>173.45433317770272</v>
      </c>
      <c r="J289" s="306">
        <f t="shared" ca="1" si="130"/>
        <v>60.009100932208746</v>
      </c>
      <c r="K289" s="307">
        <f t="shared" ca="1" si="131"/>
        <v>275.89178770474672</v>
      </c>
      <c r="L289" s="304">
        <f t="shared" ca="1" si="116"/>
        <v>282.34264771304572</v>
      </c>
      <c r="M289" s="306">
        <f t="shared" ca="1" si="132"/>
        <v>1.3407302114465121</v>
      </c>
      <c r="N289" s="304">
        <f t="shared" ca="1" si="133"/>
        <v>76.818182581567598</v>
      </c>
      <c r="P289" s="310">
        <f t="shared" ca="1" si="134"/>
        <v>7</v>
      </c>
      <c r="Q289" s="304">
        <f t="shared" ca="1" si="135"/>
        <v>442.53191489362047</v>
      </c>
      <c r="R289" s="306">
        <f t="shared" ca="1" si="136"/>
        <v>0.22208614976175803</v>
      </c>
      <c r="S289" s="307">
        <f t="shared" ca="1" si="137"/>
        <v>8.2227031385813518</v>
      </c>
      <c r="T289" s="304">
        <f t="shared" ca="1" si="117"/>
        <v>80.664717789483063</v>
      </c>
      <c r="U289" s="311">
        <f t="shared" ca="1" si="118"/>
        <v>0</v>
      </c>
      <c r="V289" s="306">
        <f t="shared" ca="1" si="119"/>
        <v>1.1916631245148728</v>
      </c>
      <c r="W289" s="304">
        <f t="shared" ca="1" si="120"/>
        <v>118.42883049532212</v>
      </c>
      <c r="Y289" s="314" t="str">
        <f t="shared" ca="1" si="138"/>
        <v/>
      </c>
      <c r="Z289" s="315" t="str">
        <f t="shared" ca="1" si="139"/>
        <v/>
      </c>
      <c r="AA289" s="316" t="str">
        <f t="shared" ca="1" si="140"/>
        <v/>
      </c>
      <c r="AC289" s="310" t="e">
        <f t="shared" ca="1" si="141"/>
        <v>#N/A</v>
      </c>
      <c r="AD289" s="323" t="e">
        <f t="shared" ca="1" si="142"/>
        <v>#N/A</v>
      </c>
      <c r="AE289" s="324">
        <f t="shared" ca="1" si="121"/>
        <v>275.89178770474672</v>
      </c>
      <c r="AG289" s="306">
        <f t="shared" ca="1" si="143"/>
        <v>29.911037207701238</v>
      </c>
      <c r="AH289" s="304">
        <f t="shared" ca="1" si="144"/>
        <v>39.46284494351891</v>
      </c>
    </row>
    <row r="290" spans="1:34" x14ac:dyDescent="0.2">
      <c r="A290" s="347">
        <f t="shared" ca="1" si="122"/>
        <v>0.01</v>
      </c>
      <c r="B290" s="304">
        <f t="shared" ca="1" si="123"/>
        <v>2.859999999999983</v>
      </c>
      <c r="D290" s="306">
        <f t="shared" ca="1" si="124"/>
        <v>8.9341720516020544</v>
      </c>
      <c r="E290" s="307">
        <f t="shared" ca="1" si="125"/>
        <v>28.335483411501237</v>
      </c>
      <c r="F290" s="304">
        <f t="shared" ca="1" si="126"/>
        <v>29.710588186892043</v>
      </c>
      <c r="G290" s="306">
        <f t="shared" ca="1" si="127"/>
        <v>39.64419695843209</v>
      </c>
      <c r="H290" s="307">
        <f t="shared" ca="1" si="128"/>
        <v>169.16739530339385</v>
      </c>
      <c r="I290" s="304">
        <f t="shared" ca="1" si="129"/>
        <v>173.75059708160336</v>
      </c>
      <c r="J290" s="306">
        <f t="shared" ca="1" si="130"/>
        <v>60.405096193190488</v>
      </c>
      <c r="K290" s="307">
        <f t="shared" ca="1" si="131"/>
        <v>277.58204488361008</v>
      </c>
      <c r="L290" s="304">
        <f t="shared" ca="1" si="116"/>
        <v>284.07845269903015</v>
      </c>
      <c r="M290" s="306">
        <f t="shared" ca="1" si="132"/>
        <v>1.3406014584490227</v>
      </c>
      <c r="N290" s="304">
        <f t="shared" ca="1" si="133"/>
        <v>76.810805578211799</v>
      </c>
      <c r="P290" s="310">
        <f t="shared" ca="1" si="134"/>
        <v>7</v>
      </c>
      <c r="Q290" s="304">
        <f t="shared" ca="1" si="135"/>
        <v>440.48936170213113</v>
      </c>
      <c r="R290" s="306">
        <f t="shared" ca="1" si="136"/>
        <v>0.22106108748101722</v>
      </c>
      <c r="S290" s="307">
        <f t="shared" ca="1" si="137"/>
        <v>8.2204925277065417</v>
      </c>
      <c r="T290" s="304">
        <f t="shared" ca="1" si="117"/>
        <v>80.643031696801174</v>
      </c>
      <c r="U290" s="311">
        <f t="shared" ca="1" si="118"/>
        <v>0</v>
      </c>
      <c r="V290" s="306">
        <f t="shared" ca="1" si="119"/>
        <v>1.1914616812566943</v>
      </c>
      <c r="W290" s="304">
        <f t="shared" ca="1" si="120"/>
        <v>118.81364610148016</v>
      </c>
      <c r="Y290" s="314" t="str">
        <f t="shared" ca="1" si="138"/>
        <v/>
      </c>
      <c r="Z290" s="315" t="str">
        <f t="shared" ca="1" si="139"/>
        <v/>
      </c>
      <c r="AA290" s="316" t="str">
        <f t="shared" ca="1" si="140"/>
        <v/>
      </c>
      <c r="AC290" s="310" t="e">
        <f t="shared" ca="1" si="141"/>
        <v>#N/A</v>
      </c>
      <c r="AD290" s="323" t="e">
        <f t="shared" ca="1" si="142"/>
        <v>#N/A</v>
      </c>
      <c r="AE290" s="324">
        <f t="shared" ca="1" si="121"/>
        <v>277.58204488361008</v>
      </c>
      <c r="AG290" s="306">
        <f t="shared" ca="1" si="143"/>
        <v>29.626246373975821</v>
      </c>
      <c r="AH290" s="304">
        <f t="shared" ca="1" si="144"/>
        <v>39.177765823802964</v>
      </c>
    </row>
    <row r="291" spans="1:34" x14ac:dyDescent="0.2">
      <c r="A291" s="347">
        <f t="shared" ca="1" si="122"/>
        <v>0.01</v>
      </c>
      <c r="B291" s="304">
        <f t="shared" ca="1" si="123"/>
        <v>2.8699999999999828</v>
      </c>
      <c r="D291" s="306">
        <f t="shared" ca="1" si="124"/>
        <v>8.8740847972286279</v>
      </c>
      <c r="E291" s="307">
        <f t="shared" ca="1" si="125"/>
        <v>28.056974892256349</v>
      </c>
      <c r="F291" s="304">
        <f t="shared" ca="1" si="126"/>
        <v>29.426913210411783</v>
      </c>
      <c r="G291" s="306">
        <f t="shared" ca="1" si="127"/>
        <v>39.732937806404379</v>
      </c>
      <c r="H291" s="307">
        <f t="shared" ca="1" si="128"/>
        <v>169.44796505231642</v>
      </c>
      <c r="I291" s="304">
        <f t="shared" ca="1" si="129"/>
        <v>174.04401514300525</v>
      </c>
      <c r="J291" s="306">
        <f t="shared" ca="1" si="130"/>
        <v>60.801981867014668</v>
      </c>
      <c r="K291" s="307">
        <f t="shared" ca="1" si="131"/>
        <v>279.27512168538863</v>
      </c>
      <c r="L291" s="304">
        <f t="shared" ca="1" si="116"/>
        <v>285.81720485538551</v>
      </c>
      <c r="M291" s="306">
        <f t="shared" ca="1" si="132"/>
        <v>1.3404728518557221</v>
      </c>
      <c r="N291" s="304">
        <f t="shared" ca="1" si="133"/>
        <v>76.803436963198109</v>
      </c>
      <c r="P291" s="310">
        <f t="shared" ca="1" si="134"/>
        <v>7</v>
      </c>
      <c r="Q291" s="304">
        <f t="shared" ca="1" si="135"/>
        <v>438.44680851064186</v>
      </c>
      <c r="R291" s="306">
        <f t="shared" ca="1" si="136"/>
        <v>0.22003602520027643</v>
      </c>
      <c r="S291" s="307">
        <f t="shared" ca="1" si="137"/>
        <v>8.2182921674545391</v>
      </c>
      <c r="T291" s="304">
        <f t="shared" ca="1" si="117"/>
        <v>80.621446162729029</v>
      </c>
      <c r="U291" s="311">
        <f t="shared" ca="1" si="118"/>
        <v>0</v>
      </c>
      <c r="V291" s="306">
        <f t="shared" ca="1" si="119"/>
        <v>1.1912599356227709</v>
      </c>
      <c r="W291" s="304">
        <f t="shared" ca="1" si="120"/>
        <v>119.19508730306657</v>
      </c>
      <c r="Y291" s="314" t="str">
        <f t="shared" ca="1" si="138"/>
        <v/>
      </c>
      <c r="Z291" s="315" t="str">
        <f t="shared" ca="1" si="139"/>
        <v/>
      </c>
      <c r="AA291" s="316" t="str">
        <f t="shared" ca="1" si="140"/>
        <v/>
      </c>
      <c r="AC291" s="310" t="e">
        <f t="shared" ca="1" si="141"/>
        <v>#N/A</v>
      </c>
      <c r="AD291" s="323" t="e">
        <f t="shared" ca="1" si="142"/>
        <v>#N/A</v>
      </c>
      <c r="AE291" s="324">
        <f t="shared" ca="1" si="121"/>
        <v>279.27512168538863</v>
      </c>
      <c r="AG291" s="306">
        <f t="shared" ca="1" si="143"/>
        <v>29.341662208783703</v>
      </c>
      <c r="AH291" s="304">
        <f t="shared" ca="1" si="144"/>
        <v>38.89289354726872</v>
      </c>
    </row>
    <row r="292" spans="1:34" x14ac:dyDescent="0.2">
      <c r="A292" s="347">
        <f t="shared" ca="1" si="122"/>
        <v>0.01</v>
      </c>
      <c r="B292" s="304">
        <f t="shared" ca="1" si="123"/>
        <v>2.8799999999999826</v>
      </c>
      <c r="D292" s="306">
        <f t="shared" ca="1" si="124"/>
        <v>8.8139684022728293</v>
      </c>
      <c r="E292" s="307">
        <f t="shared" ca="1" si="125"/>
        <v>27.778688183027221</v>
      </c>
      <c r="F292" s="304">
        <f t="shared" ca="1" si="126"/>
        <v>29.143465067937957</v>
      </c>
      <c r="G292" s="306">
        <f t="shared" ca="1" si="127"/>
        <v>39.821077490427108</v>
      </c>
      <c r="H292" s="307">
        <f t="shared" ca="1" si="128"/>
        <v>169.7257519341467</v>
      </c>
      <c r="I292" s="304">
        <f t="shared" ca="1" si="129"/>
        <v>174.33458945978018</v>
      </c>
      <c r="J292" s="306">
        <f t="shared" ca="1" si="130"/>
        <v>61.199751943498825</v>
      </c>
      <c r="K292" s="307">
        <f t="shared" ca="1" si="131"/>
        <v>280.97099027032095</v>
      </c>
      <c r="L292" s="304">
        <f t="shared" ca="1" si="116"/>
        <v>287.55887573057203</v>
      </c>
      <c r="M292" s="306">
        <f t="shared" ca="1" si="132"/>
        <v>1.3403443891606865</v>
      </c>
      <c r="N292" s="304">
        <f t="shared" ca="1" si="133"/>
        <v>76.796076592947699</v>
      </c>
      <c r="P292" s="310">
        <f t="shared" ca="1" si="134"/>
        <v>7</v>
      </c>
      <c r="Q292" s="304">
        <f t="shared" ca="1" si="135"/>
        <v>436.40425531915253</v>
      </c>
      <c r="R292" s="306">
        <f t="shared" ca="1" si="136"/>
        <v>0.21901096291953562</v>
      </c>
      <c r="S292" s="307">
        <f t="shared" ca="1" si="137"/>
        <v>8.2161020578253439</v>
      </c>
      <c r="T292" s="304">
        <f t="shared" ca="1" si="117"/>
        <v>80.599961187266629</v>
      </c>
      <c r="U292" s="311">
        <f t="shared" ca="1" si="118"/>
        <v>0</v>
      </c>
      <c r="V292" s="306">
        <f t="shared" ca="1" si="119"/>
        <v>1.1910578910895078</v>
      </c>
      <c r="W292" s="304">
        <f t="shared" ca="1" si="120"/>
        <v>119.57313893927777</v>
      </c>
      <c r="Y292" s="314" t="str">
        <f t="shared" ca="1" si="138"/>
        <v/>
      </c>
      <c r="Z292" s="315" t="str">
        <f t="shared" ca="1" si="139"/>
        <v/>
      </c>
      <c r="AA292" s="316" t="str">
        <f t="shared" ca="1" si="140"/>
        <v/>
      </c>
      <c r="AC292" s="310" t="e">
        <f t="shared" ca="1" si="141"/>
        <v>#N/A</v>
      </c>
      <c r="AD292" s="323" t="e">
        <f t="shared" ca="1" si="142"/>
        <v>#N/A</v>
      </c>
      <c r="AE292" s="324">
        <f t="shared" ca="1" si="121"/>
        <v>280.97099027032095</v>
      </c>
      <c r="AG292" s="306">
        <f t="shared" ca="1" si="143"/>
        <v>29.057287828234518</v>
      </c>
      <c r="AH292" s="304">
        <f t="shared" ca="1" si="144"/>
        <v>38.608231224922932</v>
      </c>
    </row>
    <row r="293" spans="1:34" x14ac:dyDescent="0.2">
      <c r="A293" s="347">
        <f t="shared" ca="1" si="122"/>
        <v>0.01</v>
      </c>
      <c r="B293" s="304">
        <f t="shared" ca="1" si="123"/>
        <v>2.8899999999999824</v>
      </c>
      <c r="D293" s="306">
        <f t="shared" ca="1" si="124"/>
        <v>8.7538238678642433</v>
      </c>
      <c r="E293" s="307">
        <f t="shared" ca="1" si="125"/>
        <v>27.500626228773164</v>
      </c>
      <c r="F293" s="304">
        <f t="shared" ca="1" si="126"/>
        <v>28.860247318487694</v>
      </c>
      <c r="G293" s="306">
        <f t="shared" ca="1" si="127"/>
        <v>39.908615729105748</v>
      </c>
      <c r="H293" s="307">
        <f t="shared" ca="1" si="128"/>
        <v>170.00075819643442</v>
      </c>
      <c r="I293" s="304">
        <f t="shared" ca="1" si="129"/>
        <v>174.6223221606447</v>
      </c>
      <c r="J293" s="306">
        <f t="shared" ca="1" si="130"/>
        <v>61.598400409596486</v>
      </c>
      <c r="K293" s="307">
        <f t="shared" ca="1" si="131"/>
        <v>282.66962282097387</v>
      </c>
      <c r="L293" s="304">
        <f t="shared" ca="1" si="116"/>
        <v>289.30343689415895</v>
      </c>
      <c r="M293" s="306">
        <f t="shared" ca="1" si="132"/>
        <v>1.3402160678777202</v>
      </c>
      <c r="N293" s="304">
        <f t="shared" ca="1" si="133"/>
        <v>76.788724325012026</v>
      </c>
      <c r="P293" s="310">
        <f t="shared" ca="1" si="134"/>
        <v>7</v>
      </c>
      <c r="Q293" s="304">
        <f t="shared" ca="1" si="135"/>
        <v>434.36170212766319</v>
      </c>
      <c r="R293" s="306">
        <f t="shared" ca="1" si="136"/>
        <v>0.21798590063879481</v>
      </c>
      <c r="S293" s="307">
        <f t="shared" ca="1" si="137"/>
        <v>8.2139221988189561</v>
      </c>
      <c r="T293" s="304">
        <f t="shared" ca="1" si="117"/>
        <v>80.57857677041396</v>
      </c>
      <c r="U293" s="311">
        <f t="shared" ca="1" si="118"/>
        <v>0</v>
      </c>
      <c r="V293" s="306">
        <f t="shared" ca="1" si="119"/>
        <v>1.1908555511286261</v>
      </c>
      <c r="W293" s="304">
        <f t="shared" ca="1" si="120"/>
        <v>119.94778612229041</v>
      </c>
      <c r="Y293" s="314" t="str">
        <f t="shared" ca="1" si="138"/>
        <v/>
      </c>
      <c r="Z293" s="315" t="str">
        <f t="shared" ca="1" si="139"/>
        <v/>
      </c>
      <c r="AA293" s="316" t="str">
        <f t="shared" ca="1" si="140"/>
        <v/>
      </c>
      <c r="AC293" s="310" t="e">
        <f t="shared" ca="1" si="141"/>
        <v>#N/A</v>
      </c>
      <c r="AD293" s="323" t="e">
        <f t="shared" ca="1" si="142"/>
        <v>#N/A</v>
      </c>
      <c r="AE293" s="324">
        <f t="shared" ca="1" si="121"/>
        <v>282.66962282097387</v>
      </c>
      <c r="AG293" s="306">
        <f t="shared" ca="1" si="143"/>
        <v>28.773126316825756</v>
      </c>
      <c r="AH293" s="304">
        <f t="shared" ca="1" si="144"/>
        <v>38.323781936192127</v>
      </c>
    </row>
    <row r="294" spans="1:34" x14ac:dyDescent="0.2">
      <c r="A294" s="347">
        <f t="shared" ca="1" si="122"/>
        <v>0.01</v>
      </c>
      <c r="B294" s="304">
        <f t="shared" ca="1" si="123"/>
        <v>2.8999999999999821</v>
      </c>
      <c r="D294" s="306">
        <f t="shared" ca="1" si="124"/>
        <v>8.69365218574608</v>
      </c>
      <c r="E294" s="307">
        <f t="shared" ca="1" si="125"/>
        <v>27.222791944097828</v>
      </c>
      <c r="F294" s="304">
        <f t="shared" ca="1" si="126"/>
        <v>28.577263507172365</v>
      </c>
      <c r="G294" s="306">
        <f t="shared" ca="1" si="127"/>
        <v>39.995552250963208</v>
      </c>
      <c r="H294" s="307">
        <f t="shared" ca="1" si="128"/>
        <v>170.2729861158754</v>
      </c>
      <c r="I294" s="304">
        <f t="shared" ca="1" si="129"/>
        <v>174.90721540484435</v>
      </c>
      <c r="J294" s="306">
        <f t="shared" ca="1" si="130"/>
        <v>61.997921249496834</v>
      </c>
      <c r="K294" s="307">
        <f t="shared" ca="1" si="131"/>
        <v>284.37099154253542</v>
      </c>
      <c r="L294" s="304">
        <f t="shared" ca="1" si="116"/>
        <v>291.05085993713118</v>
      </c>
      <c r="M294" s="306">
        <f t="shared" ca="1" si="132"/>
        <v>1.3400878855400071</v>
      </c>
      <c r="N294" s="304">
        <f t="shared" ca="1" si="133"/>
        <v>76.781380018052943</v>
      </c>
      <c r="P294" s="310">
        <f t="shared" ca="1" si="134"/>
        <v>7</v>
      </c>
      <c r="Q294" s="304">
        <f t="shared" ca="1" si="135"/>
        <v>432.31914893617386</v>
      </c>
      <c r="R294" s="306">
        <f t="shared" ca="1" si="136"/>
        <v>0.21696083835805396</v>
      </c>
      <c r="S294" s="307">
        <f t="shared" ca="1" si="137"/>
        <v>8.2117525904353759</v>
      </c>
      <c r="T294" s="304">
        <f t="shared" ca="1" si="117"/>
        <v>80.557292912171036</v>
      </c>
      <c r="U294" s="311">
        <f t="shared" ca="1" si="118"/>
        <v>0</v>
      </c>
      <c r="V294" s="306">
        <f t="shared" ca="1" si="119"/>
        <v>1.1906529192071227</v>
      </c>
      <c r="W294" s="304">
        <f t="shared" ca="1" si="120"/>
        <v>120.31901423642434</v>
      </c>
      <c r="Y294" s="314" t="str">
        <f t="shared" ca="1" si="138"/>
        <v/>
      </c>
      <c r="Z294" s="315" t="str">
        <f t="shared" ca="1" si="139"/>
        <v/>
      </c>
      <c r="AA294" s="316" t="str">
        <f t="shared" ca="1" si="140"/>
        <v/>
      </c>
      <c r="AC294" s="310" t="e">
        <f t="shared" ca="1" si="141"/>
        <v>#N/A</v>
      </c>
      <c r="AD294" s="323" t="e">
        <f t="shared" ca="1" si="142"/>
        <v>#N/A</v>
      </c>
      <c r="AE294" s="324">
        <f t="shared" ca="1" si="121"/>
        <v>284.37099154253542</v>
      </c>
      <c r="AG294" s="306">
        <f t="shared" ca="1" si="143"/>
        <v>28.489180727462912</v>
      </c>
      <c r="AH294" s="304">
        <f t="shared" ca="1" si="144"/>
        <v>38.039548728942158</v>
      </c>
    </row>
    <row r="295" spans="1:34" x14ac:dyDescent="0.2">
      <c r="A295" s="347">
        <f t="shared" ca="1" si="122"/>
        <v>0.01</v>
      </c>
      <c r="B295" s="304">
        <f t="shared" ca="1" si="123"/>
        <v>2.9099999999999819</v>
      </c>
      <c r="D295" s="306">
        <f t="shared" ca="1" si="124"/>
        <v>8.6334543383019611</v>
      </c>
      <c r="E295" s="307">
        <f t="shared" ca="1" si="125"/>
        <v>26.945188213267663</v>
      </c>
      <c r="F295" s="304">
        <f t="shared" ca="1" si="126"/>
        <v>28.294517166051158</v>
      </c>
      <c r="G295" s="306">
        <f t="shared" ca="1" si="127"/>
        <v>40.081886794346225</v>
      </c>
      <c r="H295" s="307">
        <f t="shared" ca="1" si="128"/>
        <v>170.54243799800807</v>
      </c>
      <c r="I295" s="304">
        <f t="shared" ca="1" si="129"/>
        <v>175.18927138183778</v>
      </c>
      <c r="J295" s="306">
        <f t="shared" ca="1" si="130"/>
        <v>62.398308444723384</v>
      </c>
      <c r="K295" s="307">
        <f t="shared" ca="1" si="131"/>
        <v>286.07506866310484</v>
      </c>
      <c r="L295" s="304">
        <f t="shared" ca="1" si="116"/>
        <v>292.80111647219343</v>
      </c>
      <c r="M295" s="306">
        <f t="shared" ca="1" si="132"/>
        <v>1.3399598396997729</v>
      </c>
      <c r="N295" s="304">
        <f t="shared" ca="1" si="133"/>
        <v>76.774043531823324</v>
      </c>
      <c r="P295" s="310">
        <f t="shared" ca="1" si="134"/>
        <v>7</v>
      </c>
      <c r="Q295" s="304">
        <f t="shared" ca="1" si="135"/>
        <v>430.27659574468453</v>
      </c>
      <c r="R295" s="306">
        <f t="shared" ca="1" si="136"/>
        <v>0.21593577607731315</v>
      </c>
      <c r="S295" s="307">
        <f t="shared" ca="1" si="137"/>
        <v>8.2095932326746031</v>
      </c>
      <c r="T295" s="304">
        <f t="shared" ca="1" si="117"/>
        <v>80.536109612537857</v>
      </c>
      <c r="U295" s="311">
        <f t="shared" ca="1" si="118"/>
        <v>0</v>
      </c>
      <c r="V295" s="306">
        <f t="shared" ca="1" si="119"/>
        <v>1.1904499987872326</v>
      </c>
      <c r="W295" s="304">
        <f t="shared" ca="1" si="120"/>
        <v>120.68680893729052</v>
      </c>
      <c r="Y295" s="314" t="str">
        <f t="shared" ca="1" si="138"/>
        <v/>
      </c>
      <c r="Z295" s="315" t="str">
        <f t="shared" ca="1" si="139"/>
        <v/>
      </c>
      <c r="AA295" s="316" t="str">
        <f t="shared" ca="1" si="140"/>
        <v/>
      </c>
      <c r="AC295" s="310" t="e">
        <f t="shared" ca="1" si="141"/>
        <v>#N/A</v>
      </c>
      <c r="AD295" s="323" t="e">
        <f t="shared" ca="1" si="142"/>
        <v>#N/A</v>
      </c>
      <c r="AE295" s="324">
        <f t="shared" ca="1" si="121"/>
        <v>286.07506866310484</v>
      </c>
      <c r="AG295" s="306">
        <f t="shared" ca="1" si="143"/>
        <v>28.205454081482095</v>
      </c>
      <c r="AH295" s="304">
        <f t="shared" ca="1" si="144"/>
        <v>37.75553461950016</v>
      </c>
    </row>
    <row r="296" spans="1:34" x14ac:dyDescent="0.2">
      <c r="A296" s="347">
        <f t="shared" ca="1" si="122"/>
        <v>0.01</v>
      </c>
      <c r="B296" s="304">
        <f t="shared" ca="1" si="123"/>
        <v>2.9199999999999817</v>
      </c>
      <c r="D296" s="306">
        <f t="shared" ca="1" si="124"/>
        <v>8.5732312985825487</v>
      </c>
      <c r="E296" s="307">
        <f t="shared" ca="1" si="125"/>
        <v>26.667817890232989</v>
      </c>
      <c r="F296" s="304">
        <f t="shared" ca="1" si="126"/>
        <v>28.012011815034388</v>
      </c>
      <c r="G296" s="306">
        <f t="shared" ca="1" si="127"/>
        <v>40.167619107332051</v>
      </c>
      <c r="H296" s="307">
        <f t="shared" ca="1" si="128"/>
        <v>170.80911617691041</v>
      </c>
      <c r="I296" s="304">
        <f t="shared" ca="1" si="129"/>
        <v>175.46849231098153</v>
      </c>
      <c r="J296" s="306">
        <f t="shared" ca="1" si="130"/>
        <v>62.799555974231772</v>
      </c>
      <c r="K296" s="307">
        <f t="shared" ca="1" si="131"/>
        <v>287.78182643397946</v>
      </c>
      <c r="L296" s="304">
        <f t="shared" ca="1" si="116"/>
        <v>294.55417813407053</v>
      </c>
      <c r="M296" s="306">
        <f t="shared" ca="1" si="132"/>
        <v>1.339831927927948</v>
      </c>
      <c r="N296" s="304">
        <f t="shared" ca="1" si="133"/>
        <v>76.766714727147715</v>
      </c>
      <c r="P296" s="310">
        <f t="shared" ca="1" si="134"/>
        <v>7</v>
      </c>
      <c r="Q296" s="304">
        <f t="shared" ca="1" si="135"/>
        <v>428.23404255319525</v>
      </c>
      <c r="R296" s="306">
        <f t="shared" ca="1" si="136"/>
        <v>0.21491071379657237</v>
      </c>
      <c r="S296" s="307">
        <f t="shared" ca="1" si="137"/>
        <v>8.2074441255366377</v>
      </c>
      <c r="T296" s="304">
        <f t="shared" ca="1" si="117"/>
        <v>80.515026871514422</v>
      </c>
      <c r="U296" s="311">
        <f t="shared" ca="1" si="118"/>
        <v>0</v>
      </c>
      <c r="V296" s="306">
        <f t="shared" ca="1" si="119"/>
        <v>1.1902467933263861</v>
      </c>
      <c r="W296" s="304">
        <f t="shared" ca="1" si="120"/>
        <v>121.05115615092411</v>
      </c>
      <c r="Y296" s="314" t="str">
        <f t="shared" ca="1" si="138"/>
        <v/>
      </c>
      <c r="Z296" s="315" t="str">
        <f t="shared" ca="1" si="139"/>
        <v/>
      </c>
      <c r="AA296" s="316" t="str">
        <f t="shared" ca="1" si="140"/>
        <v/>
      </c>
      <c r="AC296" s="310" t="e">
        <f t="shared" ca="1" si="141"/>
        <v>#N/A</v>
      </c>
      <c r="AD296" s="323" t="e">
        <f t="shared" ca="1" si="142"/>
        <v>#N/A</v>
      </c>
      <c r="AE296" s="324">
        <f t="shared" ca="1" si="121"/>
        <v>287.78182643397946</v>
      </c>
      <c r="AG296" s="306">
        <f t="shared" ca="1" si="143"/>
        <v>27.921949368675126</v>
      </c>
      <c r="AH296" s="304">
        <f t="shared" ca="1" si="144"/>
        <v>37.47174259267905</v>
      </c>
    </row>
    <row r="297" spans="1:34" x14ac:dyDescent="0.2">
      <c r="A297" s="347">
        <f t="shared" ca="1" si="122"/>
        <v>0.01</v>
      </c>
      <c r="B297" s="304">
        <f t="shared" ca="1" si="123"/>
        <v>2.9299999999999815</v>
      </c>
      <c r="D297" s="306">
        <f t="shared" ca="1" si="124"/>
        <v>8.5129840303322286</v>
      </c>
      <c r="E297" s="307">
        <f t="shared" ca="1" si="125"/>
        <v>26.390683798651509</v>
      </c>
      <c r="F297" s="304">
        <f t="shared" ca="1" si="126"/>
        <v>27.72975096283951</v>
      </c>
      <c r="G297" s="306">
        <f t="shared" ca="1" si="127"/>
        <v>40.252748947635375</v>
      </c>
      <c r="H297" s="307">
        <f t="shared" ca="1" si="128"/>
        <v>171.07302301489693</v>
      </c>
      <c r="I297" s="304">
        <f t="shared" ca="1" si="129"/>
        <v>175.7448804412146</v>
      </c>
      <c r="J297" s="306">
        <f t="shared" ca="1" si="130"/>
        <v>63.201657814506611</v>
      </c>
      <c r="K297" s="307">
        <f t="shared" ca="1" si="131"/>
        <v>289.4912371299385</v>
      </c>
      <c r="L297" s="304">
        <f t="shared" ca="1" si="116"/>
        <v>296.31001657980494</v>
      </c>
      <c r="M297" s="306">
        <f t="shared" ca="1" si="132"/>
        <v>1.3397041478138387</v>
      </c>
      <c r="N297" s="304">
        <f t="shared" ca="1" si="133"/>
        <v>76.759393465903557</v>
      </c>
      <c r="P297" s="310">
        <f t="shared" ca="1" si="134"/>
        <v>7</v>
      </c>
      <c r="Q297" s="304">
        <f t="shared" ca="1" si="135"/>
        <v>426.19148936170592</v>
      </c>
      <c r="R297" s="306">
        <f t="shared" ca="1" si="136"/>
        <v>0.21388565151583155</v>
      </c>
      <c r="S297" s="307">
        <f t="shared" ca="1" si="137"/>
        <v>8.2053052690214798</v>
      </c>
      <c r="T297" s="304">
        <f t="shared" ca="1" si="117"/>
        <v>80.494044689100718</v>
      </c>
      <c r="U297" s="311">
        <f t="shared" ca="1" si="118"/>
        <v>0</v>
      </c>
      <c r="V297" s="306">
        <f t="shared" ca="1" si="119"/>
        <v>1.190043306277172</v>
      </c>
      <c r="W297" s="304">
        <f t="shared" ca="1" si="120"/>
        <v>121.41204207290291</v>
      </c>
      <c r="Y297" s="314" t="str">
        <f t="shared" ca="1" si="138"/>
        <v/>
      </c>
      <c r="Z297" s="315" t="str">
        <f t="shared" ca="1" si="139"/>
        <v/>
      </c>
      <c r="AA297" s="316" t="str">
        <f t="shared" ca="1" si="140"/>
        <v/>
      </c>
      <c r="AC297" s="310" t="e">
        <f t="shared" ca="1" si="141"/>
        <v>#N/A</v>
      </c>
      <c r="AD297" s="323" t="e">
        <f t="shared" ca="1" si="142"/>
        <v>#N/A</v>
      </c>
      <c r="AE297" s="324">
        <f t="shared" ca="1" si="121"/>
        <v>289.4912371299385</v>
      </c>
      <c r="AG297" s="306">
        <f t="shared" ca="1" si="143"/>
        <v>27.638669547317033</v>
      </c>
      <c r="AH297" s="304">
        <f t="shared" ca="1" si="144"/>
        <v>37.188175601804417</v>
      </c>
    </row>
    <row r="298" spans="1:34" x14ac:dyDescent="0.2">
      <c r="A298" s="347">
        <f t="shared" ca="1" si="122"/>
        <v>0.01</v>
      </c>
      <c r="B298" s="304">
        <f t="shared" ca="1" si="123"/>
        <v>2.9399999999999813</v>
      </c>
      <c r="D298" s="306">
        <f t="shared" ca="1" si="124"/>
        <v>8.4527134880156769</v>
      </c>
      <c r="E298" s="307">
        <f t="shared" ca="1" si="125"/>
        <v>26.113788731914227</v>
      </c>
      <c r="F298" s="304">
        <f t="shared" ca="1" si="126"/>
        <v>27.447738108003225</v>
      </c>
      <c r="G298" s="306">
        <f t="shared" ca="1" si="127"/>
        <v>40.33727608251553</v>
      </c>
      <c r="H298" s="307">
        <f t="shared" ca="1" si="128"/>
        <v>171.33416090221607</v>
      </c>
      <c r="I298" s="304">
        <f t="shared" ca="1" si="129"/>
        <v>176.01843805074384</v>
      </c>
      <c r="J298" s="306">
        <f t="shared" ca="1" si="130"/>
        <v>63.604607939657363</v>
      </c>
      <c r="K298" s="307">
        <f t="shared" ca="1" si="131"/>
        <v>291.20327304952406</v>
      </c>
      <c r="L298" s="304">
        <f t="shared" ca="1" si="116"/>
        <v>298.06860348905116</v>
      </c>
      <c r="M298" s="306">
        <f t="shared" ca="1" si="132"/>
        <v>1.3395764969648025</v>
      </c>
      <c r="N298" s="304">
        <f t="shared" ca="1" si="133"/>
        <v>76.752079611002515</v>
      </c>
      <c r="P298" s="310">
        <f t="shared" ca="1" si="134"/>
        <v>7</v>
      </c>
      <c r="Q298" s="304">
        <f t="shared" ca="1" si="135"/>
        <v>424.14893617021659</v>
      </c>
      <c r="R298" s="306">
        <f t="shared" ca="1" si="136"/>
        <v>0.21286058923509071</v>
      </c>
      <c r="S298" s="307">
        <f t="shared" ca="1" si="137"/>
        <v>8.2031766631291294</v>
      </c>
      <c r="T298" s="304">
        <f t="shared" ca="1" si="117"/>
        <v>80.47316306529676</v>
      </c>
      <c r="U298" s="311">
        <f t="shared" ca="1" si="118"/>
        <v>0</v>
      </c>
      <c r="V298" s="306">
        <f t="shared" ca="1" si="119"/>
        <v>1.1898395410872986</v>
      </c>
      <c r="W298" s="304">
        <f t="shared" ca="1" si="120"/>
        <v>121.76945316745181</v>
      </c>
      <c r="Y298" s="314" t="str">
        <f t="shared" ca="1" si="138"/>
        <v/>
      </c>
      <c r="Z298" s="315" t="str">
        <f t="shared" ca="1" si="139"/>
        <v/>
      </c>
      <c r="AA298" s="316" t="str">
        <f t="shared" ca="1" si="140"/>
        <v/>
      </c>
      <c r="AC298" s="310" t="e">
        <f t="shared" ca="1" si="141"/>
        <v>#N/A</v>
      </c>
      <c r="AD298" s="323" t="e">
        <f t="shared" ca="1" si="142"/>
        <v>#N/A</v>
      </c>
      <c r="AE298" s="324">
        <f t="shared" ca="1" si="121"/>
        <v>291.20327304952406</v>
      </c>
      <c r="AG298" s="306">
        <f t="shared" ca="1" si="143"/>
        <v>27.355617544195923</v>
      </c>
      <c r="AH298" s="304">
        <f t="shared" ca="1" si="144"/>
        <v>36.904836568743804</v>
      </c>
    </row>
    <row r="299" spans="1:34" x14ac:dyDescent="0.2">
      <c r="A299" s="347">
        <f t="shared" ca="1" si="122"/>
        <v>0.01</v>
      </c>
      <c r="B299" s="304">
        <f t="shared" ca="1" si="123"/>
        <v>2.9499999999999811</v>
      </c>
      <c r="D299" s="306">
        <f t="shared" ca="1" si="124"/>
        <v>8.3924206168444453</v>
      </c>
      <c r="E299" s="307">
        <f t="shared" ca="1" si="125"/>
        <v>25.837135453173872</v>
      </c>
      <c r="F299" s="304">
        <f t="shared" ca="1" si="126"/>
        <v>27.165976739953411</v>
      </c>
      <c r="G299" s="306">
        <f t="shared" ca="1" si="127"/>
        <v>40.421200288683977</v>
      </c>
      <c r="H299" s="307">
        <f t="shared" ca="1" si="128"/>
        <v>171.5925322567478</v>
      </c>
      <c r="I299" s="304">
        <f t="shared" ca="1" si="129"/>
        <v>176.28916744672924</v>
      </c>
      <c r="J299" s="306">
        <f t="shared" ca="1" si="130"/>
        <v>64.008400321513363</v>
      </c>
      <c r="K299" s="307">
        <f t="shared" ca="1" si="131"/>
        <v>292.91790651531886</v>
      </c>
      <c r="L299" s="304">
        <f t="shared" ca="1" si="116"/>
        <v>299.8299105643668</v>
      </c>
      <c r="M299" s="306">
        <f t="shared" ca="1" si="132"/>
        <v>1.3394489730059298</v>
      </c>
      <c r="N299" s="304">
        <f t="shared" ca="1" si="133"/>
        <v>76.744773026372314</v>
      </c>
      <c r="P299" s="310">
        <f t="shared" ca="1" si="134"/>
        <v>7</v>
      </c>
      <c r="Q299" s="304">
        <f t="shared" ca="1" si="135"/>
        <v>422.10638297872731</v>
      </c>
      <c r="R299" s="306">
        <f t="shared" ca="1" si="136"/>
        <v>0.21183552695434993</v>
      </c>
      <c r="S299" s="307">
        <f t="shared" ca="1" si="137"/>
        <v>8.2010583078595864</v>
      </c>
      <c r="T299" s="304">
        <f t="shared" ca="1" si="117"/>
        <v>80.452382000102546</v>
      </c>
      <c r="U299" s="311">
        <f t="shared" ca="1" si="118"/>
        <v>0</v>
      </c>
      <c r="V299" s="306">
        <f t="shared" ca="1" si="119"/>
        <v>1.1896355011995532</v>
      </c>
      <c r="W299" s="304">
        <f t="shared" ca="1" si="120"/>
        <v>122.12337616653276</v>
      </c>
      <c r="Y299" s="314" t="str">
        <f t="shared" ca="1" si="138"/>
        <v/>
      </c>
      <c r="Z299" s="315" t="str">
        <f t="shared" ca="1" si="139"/>
        <v/>
      </c>
      <c r="AA299" s="316" t="str">
        <f t="shared" ca="1" si="140"/>
        <v/>
      </c>
      <c r="AC299" s="310" t="e">
        <f t="shared" ca="1" si="141"/>
        <v>#N/A</v>
      </c>
      <c r="AD299" s="323" t="e">
        <f t="shared" ca="1" si="142"/>
        <v>#N/A</v>
      </c>
      <c r="AE299" s="324">
        <f t="shared" ca="1" si="121"/>
        <v>292.91790651531886</v>
      </c>
      <c r="AG299" s="306">
        <f t="shared" ca="1" si="143"/>
        <v>27.072796254645297</v>
      </c>
      <c r="AH299" s="304">
        <f t="shared" ca="1" si="144"/>
        <v>36.621728383938425</v>
      </c>
    </row>
    <row r="300" spans="1:34" x14ac:dyDescent="0.2">
      <c r="A300" s="347">
        <f t="shared" ca="1" si="122"/>
        <v>0.01</v>
      </c>
      <c r="B300" s="304">
        <f t="shared" ca="1" si="123"/>
        <v>2.9599999999999809</v>
      </c>
      <c r="D300" s="306">
        <f t="shared" ca="1" si="124"/>
        <v>8.3321063528034482</v>
      </c>
      <c r="E300" s="307">
        <f t="shared" ca="1" si="125"/>
        <v>25.560726695375614</v>
      </c>
      <c r="F300" s="304">
        <f t="shared" ca="1" si="126"/>
        <v>26.88447034014461</v>
      </c>
      <c r="G300" s="306">
        <f t="shared" ca="1" si="127"/>
        <v>40.504521352212009</v>
      </c>
      <c r="H300" s="307">
        <f t="shared" ca="1" si="128"/>
        <v>171.84813952370155</v>
      </c>
      <c r="I300" s="304">
        <f t="shared" ca="1" si="129"/>
        <v>176.55707096496982</v>
      </c>
      <c r="J300" s="306">
        <f t="shared" ca="1" si="130"/>
        <v>64.413028929717839</v>
      </c>
      <c r="K300" s="307">
        <f t="shared" ca="1" si="131"/>
        <v>294.63510987422109</v>
      </c>
      <c r="L300" s="304">
        <f t="shared" ca="1" si="116"/>
        <v>301.59390953150063</v>
      </c>
      <c r="M300" s="306">
        <f t="shared" ca="1" si="132"/>
        <v>1.3393215735797295</v>
      </c>
      <c r="N300" s="304">
        <f t="shared" ca="1" si="133"/>
        <v>76.73747357693864</v>
      </c>
      <c r="P300" s="310">
        <f t="shared" ca="1" si="134"/>
        <v>7</v>
      </c>
      <c r="Q300" s="304">
        <f t="shared" ca="1" si="135"/>
        <v>420.06382978723798</v>
      </c>
      <c r="R300" s="306">
        <f t="shared" ca="1" si="136"/>
        <v>0.21081046467360912</v>
      </c>
      <c r="S300" s="307">
        <f t="shared" ca="1" si="137"/>
        <v>8.198950203212851</v>
      </c>
      <c r="T300" s="304">
        <f t="shared" ca="1" si="117"/>
        <v>80.431701493518077</v>
      </c>
      <c r="U300" s="311">
        <f t="shared" ca="1" si="118"/>
        <v>0</v>
      </c>
      <c r="V300" s="306">
        <f t="shared" ca="1" si="119"/>
        <v>1.1894311900517678</v>
      </c>
      <c r="W300" s="304">
        <f t="shared" ca="1" si="120"/>
        <v>122.4737980689216</v>
      </c>
      <c r="Y300" s="314" t="str">
        <f t="shared" ca="1" si="138"/>
        <v/>
      </c>
      <c r="Z300" s="315" t="str">
        <f t="shared" ca="1" si="139"/>
        <v/>
      </c>
      <c r="AA300" s="316" t="str">
        <f t="shared" ca="1" si="140"/>
        <v/>
      </c>
      <c r="AC300" s="310" t="e">
        <f t="shared" ca="1" si="141"/>
        <v>#N/A</v>
      </c>
      <c r="AD300" s="323" t="e">
        <f t="shared" ca="1" si="142"/>
        <v>#N/A</v>
      </c>
      <c r="AE300" s="324">
        <f t="shared" ca="1" si="121"/>
        <v>294.63510987422109</v>
      </c>
      <c r="AG300" s="306">
        <f t="shared" ca="1" si="143"/>
        <v>26.790208542578622</v>
      </c>
      <c r="AH300" s="304">
        <f t="shared" ca="1" si="144"/>
        <v>36.33885390643718</v>
      </c>
    </row>
    <row r="301" spans="1:34" x14ac:dyDescent="0.2">
      <c r="A301" s="347">
        <f t="shared" ca="1" si="122"/>
        <v>0.01</v>
      </c>
      <c r="B301" s="304">
        <f t="shared" ca="1" si="123"/>
        <v>2.9699999999999807</v>
      </c>
      <c r="D301" s="306">
        <f t="shared" ca="1" si="124"/>
        <v>8.2717716226774751</v>
      </c>
      <c r="E301" s="307">
        <f t="shared" ca="1" si="125"/>
        <v>25.284565161290175</v>
      </c>
      <c r="F301" s="304">
        <f t="shared" ca="1" si="126"/>
        <v>26.603222383261414</v>
      </c>
      <c r="G301" s="306">
        <f t="shared" ca="1" si="127"/>
        <v>40.587239068438784</v>
      </c>
      <c r="H301" s="307">
        <f t="shared" ca="1" si="128"/>
        <v>172.10098517531446</v>
      </c>
      <c r="I301" s="304">
        <f t="shared" ca="1" si="129"/>
        <v>176.82215096958981</v>
      </c>
      <c r="J301" s="306">
        <f t="shared" ca="1" si="130"/>
        <v>64.818487731821094</v>
      </c>
      <c r="K301" s="307">
        <f t="shared" ca="1" si="131"/>
        <v>296.35485549771619</v>
      </c>
      <c r="L301" s="304">
        <f t="shared" ca="1" si="116"/>
        <v>303.36057213967752</v>
      </c>
      <c r="M301" s="306">
        <f t="shared" ca="1" si="132"/>
        <v>1.3391942963458203</v>
      </c>
      <c r="N301" s="304">
        <f t="shared" ca="1" si="133"/>
        <v>76.730181128607555</v>
      </c>
      <c r="P301" s="310">
        <f t="shared" ca="1" si="134"/>
        <v>7</v>
      </c>
      <c r="Q301" s="304">
        <f t="shared" ca="1" si="135"/>
        <v>418.02127659574865</v>
      </c>
      <c r="R301" s="306">
        <f t="shared" ca="1" si="136"/>
        <v>0.2097854023928683</v>
      </c>
      <c r="S301" s="307">
        <f t="shared" ca="1" si="137"/>
        <v>8.1968523491889229</v>
      </c>
      <c r="T301" s="304">
        <f t="shared" ca="1" si="117"/>
        <v>80.411121545543338</v>
      </c>
      <c r="U301" s="311">
        <f t="shared" ca="1" si="118"/>
        <v>0</v>
      </c>
      <c r="V301" s="306">
        <f t="shared" ca="1" si="119"/>
        <v>1.18922661107678</v>
      </c>
      <c r="W301" s="304">
        <f t="shared" ca="1" si="120"/>
        <v>122.82070613927084</v>
      </c>
      <c r="Y301" s="314" t="str">
        <f t="shared" ca="1" si="138"/>
        <v/>
      </c>
      <c r="Z301" s="315" t="str">
        <f t="shared" ca="1" si="139"/>
        <v/>
      </c>
      <c r="AA301" s="316" t="str">
        <f t="shared" ca="1" si="140"/>
        <v/>
      </c>
      <c r="AC301" s="310" t="e">
        <f t="shared" ca="1" si="141"/>
        <v>#N/A</v>
      </c>
      <c r="AD301" s="323" t="e">
        <f t="shared" ca="1" si="142"/>
        <v>#N/A</v>
      </c>
      <c r="AE301" s="324">
        <f t="shared" ca="1" si="121"/>
        <v>296.35485549771619</v>
      </c>
      <c r="AG301" s="306">
        <f t="shared" ca="1" si="143"/>
        <v>26.507857240526224</v>
      </c>
      <c r="AH301" s="304">
        <f t="shared" ca="1" si="144"/>
        <v>36.056215963932964</v>
      </c>
    </row>
    <row r="302" spans="1:34" x14ac:dyDescent="0.2">
      <c r="A302" s="347">
        <f t="shared" ca="1" si="122"/>
        <v>0.01</v>
      </c>
      <c r="B302" s="304">
        <f t="shared" ca="1" si="123"/>
        <v>2.9799999999999804</v>
      </c>
      <c r="D302" s="306">
        <f t="shared" ca="1" si="124"/>
        <v>8.1230956549213964</v>
      </c>
      <c r="E302" s="307">
        <f t="shared" ca="1" si="125"/>
        <v>24.634145425313932</v>
      </c>
      <c r="F302" s="304">
        <f t="shared" ca="1" si="126"/>
        <v>25.938885940890334</v>
      </c>
      <c r="G302" s="306">
        <f t="shared" ca="1" si="127"/>
        <v>40.668470024987997</v>
      </c>
      <c r="H302" s="307">
        <f t="shared" ca="1" si="128"/>
        <v>172.34732662956759</v>
      </c>
      <c r="I302" s="304">
        <f t="shared" ca="1" si="129"/>
        <v>177.08056203471969</v>
      </c>
      <c r="J302" s="306">
        <f t="shared" ca="1" si="130"/>
        <v>65.224766277288225</v>
      </c>
      <c r="K302" s="307">
        <f t="shared" ca="1" si="131"/>
        <v>298.07709705674057</v>
      </c>
      <c r="L302" s="304">
        <f t="shared" ca="1" si="116"/>
        <v>305.12985092530755</v>
      </c>
      <c r="M302" s="306">
        <f t="shared" ca="1" si="132"/>
        <v>1.3390671362175994</v>
      </c>
      <c r="N302" s="304">
        <f t="shared" ca="1" si="133"/>
        <v>76.722895389938145</v>
      </c>
      <c r="P302" s="310">
        <f t="shared" ca="1" si="134"/>
        <v>8</v>
      </c>
      <c r="Q302" s="304">
        <f t="shared" ca="1" si="135"/>
        <v>412.82608695653812</v>
      </c>
      <c r="R302" s="306">
        <f t="shared" ca="1" si="136"/>
        <v>0.20717817876577282</v>
      </c>
      <c r="S302" s="307">
        <f t="shared" ca="1" si="137"/>
        <v>8.1947805674012653</v>
      </c>
      <c r="T302" s="304">
        <f t="shared" ca="1" si="117"/>
        <v>80.390797366206414</v>
      </c>
      <c r="U302" s="311">
        <f t="shared" ca="1" si="118"/>
        <v>0</v>
      </c>
      <c r="V302" s="306">
        <f t="shared" ca="1" si="119"/>
        <v>1.1890217699293839</v>
      </c>
      <c r="W302" s="304">
        <f t="shared" ca="1" si="120"/>
        <v>123.15873579939803</v>
      </c>
      <c r="Y302" s="314" t="str">
        <f t="shared" ca="1" si="138"/>
        <v/>
      </c>
      <c r="Z302" s="315" t="str">
        <f t="shared" ca="1" si="139"/>
        <v/>
      </c>
      <c r="AA302" s="316" t="str">
        <f t="shared" ca="1" si="140"/>
        <v/>
      </c>
      <c r="AC302" s="310" t="e">
        <f t="shared" ca="1" si="141"/>
        <v>#N/A</v>
      </c>
      <c r="AD302" s="323" t="e">
        <f t="shared" ca="1" si="142"/>
        <v>#N/A</v>
      </c>
      <c r="AE302" s="324">
        <f t="shared" ca="1" si="121"/>
        <v>298.07709705674057</v>
      </c>
      <c r="AG302" s="306">
        <f t="shared" ca="1" si="143"/>
        <v>25.840963346025653</v>
      </c>
      <c r="AH302" s="304">
        <f t="shared" ca="1" si="144"/>
        <v>35.389035549152474</v>
      </c>
    </row>
    <row r="303" spans="1:34" x14ac:dyDescent="0.2">
      <c r="A303" s="347">
        <f t="shared" ca="1" si="122"/>
        <v>0.01</v>
      </c>
      <c r="B303" s="304">
        <f t="shared" ca="1" si="123"/>
        <v>2.9899999999999802</v>
      </c>
      <c r="D303" s="306">
        <f t="shared" ca="1" si="124"/>
        <v>7.8860055689782786</v>
      </c>
      <c r="E303" s="307">
        <f t="shared" ca="1" si="125"/>
        <v>23.609796140946393</v>
      </c>
      <c r="F303" s="304">
        <f t="shared" ca="1" si="126"/>
        <v>24.891997863791563</v>
      </c>
      <c r="G303" s="306">
        <f t="shared" ca="1" si="127"/>
        <v>40.747330080677777</v>
      </c>
      <c r="H303" s="307">
        <f t="shared" ca="1" si="128"/>
        <v>172.58342459097705</v>
      </c>
      <c r="I303" s="304">
        <f t="shared" ca="1" si="129"/>
        <v>177.32846176588001</v>
      </c>
      <c r="J303" s="306">
        <f t="shared" ca="1" si="130"/>
        <v>65.631845277816552</v>
      </c>
      <c r="K303" s="307">
        <f t="shared" ca="1" si="131"/>
        <v>299.8017508128433</v>
      </c>
      <c r="L303" s="304">
        <f t="shared" ca="1" si="116"/>
        <v>306.90165999065147</v>
      </c>
      <c r="M303" s="306">
        <f t="shared" ca="1" si="132"/>
        <v>1.3389400853882623</v>
      </c>
      <c r="N303" s="304">
        <f t="shared" ca="1" si="133"/>
        <v>76.715615913633499</v>
      </c>
      <c r="P303" s="310">
        <f t="shared" ca="1" si="134"/>
        <v>8</v>
      </c>
      <c r="Q303" s="304">
        <f t="shared" ca="1" si="135"/>
        <v>404.47826086958179</v>
      </c>
      <c r="R303" s="306">
        <f t="shared" ca="1" si="136"/>
        <v>0.20298879379231038</v>
      </c>
      <c r="S303" s="307">
        <f t="shared" ca="1" si="137"/>
        <v>8.1927506794633427</v>
      </c>
      <c r="T303" s="304">
        <f t="shared" ca="1" si="117"/>
        <v>80.370884165535401</v>
      </c>
      <c r="U303" s="311">
        <f t="shared" ca="1" si="118"/>
        <v>0</v>
      </c>
      <c r="V303" s="306">
        <f t="shared" ca="1" si="119"/>
        <v>1.1888166767090693</v>
      </c>
      <c r="W303" s="304">
        <f t="shared" ca="1" si="120"/>
        <v>123.48250041283832</v>
      </c>
      <c r="Y303" s="314" t="str">
        <f t="shared" ca="1" si="138"/>
        <v/>
      </c>
      <c r="Z303" s="315" t="str">
        <f t="shared" ca="1" si="139"/>
        <v/>
      </c>
      <c r="AA303" s="316" t="str">
        <f t="shared" ca="1" si="140"/>
        <v/>
      </c>
      <c r="AC303" s="310" t="e">
        <f t="shared" ca="1" si="141"/>
        <v>#N/A</v>
      </c>
      <c r="AD303" s="323" t="e">
        <f t="shared" ca="1" si="142"/>
        <v>#N/A</v>
      </c>
      <c r="AE303" s="324">
        <f t="shared" ca="1" si="121"/>
        <v>299.8017508128433</v>
      </c>
      <c r="AG303" s="306">
        <f t="shared" ca="1" si="143"/>
        <v>24.789829995001821</v>
      </c>
      <c r="AH303" s="304">
        <f t="shared" ca="1" si="144"/>
        <v>34.337615787010783</v>
      </c>
    </row>
    <row r="304" spans="1:34" x14ac:dyDescent="0.2">
      <c r="A304" s="347">
        <f t="shared" ca="1" si="122"/>
        <v>0.01</v>
      </c>
      <c r="B304" s="304">
        <f t="shared" ca="1" si="123"/>
        <v>2.99999999999998</v>
      </c>
      <c r="D304" s="306">
        <f t="shared" ca="1" si="124"/>
        <v>7.6488928869813444</v>
      </c>
      <c r="E304" s="307">
        <f t="shared" ca="1" si="125"/>
        <v>22.586530672098654</v>
      </c>
      <c r="F304" s="304">
        <f t="shared" ca="1" si="126"/>
        <v>23.846528682350542</v>
      </c>
      <c r="G304" s="306">
        <f t="shared" ca="1" si="127"/>
        <v>40.823819009547591</v>
      </c>
      <c r="H304" s="307">
        <f t="shared" ca="1" si="128"/>
        <v>172.80928989769802</v>
      </c>
      <c r="I304" s="304">
        <f t="shared" ca="1" si="129"/>
        <v>177.5658606643488</v>
      </c>
      <c r="J304" s="306">
        <f t="shared" ca="1" si="130"/>
        <v>66.039701023267682</v>
      </c>
      <c r="K304" s="307">
        <f t="shared" ca="1" si="131"/>
        <v>301.52871438528666</v>
      </c>
      <c r="L304" s="304">
        <f t="shared" ca="1" si="116"/>
        <v>308.67589428085626</v>
      </c>
      <c r="M304" s="306">
        <f t="shared" ca="1" si="132"/>
        <v>1.3388131361064171</v>
      </c>
      <c r="N304" s="304">
        <f t="shared" ca="1" si="133"/>
        <v>76.708342255571552</v>
      </c>
      <c r="P304" s="310">
        <f t="shared" ca="1" si="134"/>
        <v>8</v>
      </c>
      <c r="Q304" s="304">
        <f t="shared" ca="1" si="135"/>
        <v>396.13043478262546</v>
      </c>
      <c r="R304" s="306">
        <f t="shared" ca="1" si="136"/>
        <v>0.19879940881884794</v>
      </c>
      <c r="S304" s="307">
        <f t="shared" ca="1" si="137"/>
        <v>8.1907626853751534</v>
      </c>
      <c r="T304" s="304">
        <f t="shared" ca="1" si="117"/>
        <v>80.351381943530257</v>
      </c>
      <c r="U304" s="311">
        <f t="shared" ca="1" si="118"/>
        <v>0</v>
      </c>
      <c r="V304" s="306">
        <f t="shared" ca="1" si="119"/>
        <v>1.1886113437250421</v>
      </c>
      <c r="W304" s="304">
        <f t="shared" ca="1" si="120"/>
        <v>123.79196160514404</v>
      </c>
      <c r="Y304" s="314" t="str">
        <f t="shared" ca="1" si="138"/>
        <v/>
      </c>
      <c r="Z304" s="315" t="str">
        <f t="shared" ca="1" si="139"/>
        <v/>
      </c>
      <c r="AA304" s="316" t="str">
        <f t="shared" ca="1" si="140"/>
        <v/>
      </c>
      <c r="AC304" s="310">
        <f t="shared" ca="1" si="141"/>
        <v>2.99999999999998</v>
      </c>
      <c r="AD304" s="323">
        <f t="shared" ca="1" si="142"/>
        <v>66.039701023267682</v>
      </c>
      <c r="AE304" s="324">
        <f t="shared" ca="1" si="121"/>
        <v>301.52871438528666</v>
      </c>
      <c r="AG304" s="306">
        <f t="shared" ca="1" si="143"/>
        <v>23.739746763243545</v>
      </c>
      <c r="AH304" s="304">
        <f t="shared" ca="1" si="144"/>
        <v>33.287246236129882</v>
      </c>
    </row>
    <row r="305" spans="1:34" x14ac:dyDescent="0.2">
      <c r="A305" s="347">
        <f t="shared" ca="1" si="122"/>
        <v>0.01</v>
      </c>
      <c r="B305" s="304">
        <f t="shared" ca="1" si="123"/>
        <v>3.0099999999999798</v>
      </c>
      <c r="D305" s="306">
        <f t="shared" ca="1" si="124"/>
        <v>7.4117635484524271</v>
      </c>
      <c r="E305" s="307">
        <f t="shared" ca="1" si="125"/>
        <v>21.564369835368829</v>
      </c>
      <c r="F305" s="304">
        <f t="shared" ca="1" si="126"/>
        <v>22.802549973516847</v>
      </c>
      <c r="G305" s="306">
        <f t="shared" ca="1" si="127"/>
        <v>40.897936645032118</v>
      </c>
      <c r="H305" s="307">
        <f t="shared" ca="1" si="128"/>
        <v>173.02493359605171</v>
      </c>
      <c r="I305" s="304">
        <f t="shared" ca="1" si="129"/>
        <v>177.79276944729548</v>
      </c>
      <c r="J305" s="306">
        <f t="shared" ca="1" si="130"/>
        <v>66.448309801540574</v>
      </c>
      <c r="K305" s="307">
        <f t="shared" ca="1" si="131"/>
        <v>303.25788550275541</v>
      </c>
      <c r="L305" s="304">
        <f t="shared" ca="1" si="116"/>
        <v>310.4524488469753</v>
      </c>
      <c r="M305" s="306">
        <f t="shared" ca="1" si="132"/>
        <v>1.3386862806731958</v>
      </c>
      <c r="N305" s="304">
        <f t="shared" ca="1" si="133"/>
        <v>76.701073974639669</v>
      </c>
      <c r="P305" s="310">
        <f t="shared" ca="1" si="134"/>
        <v>8</v>
      </c>
      <c r="Q305" s="304">
        <f t="shared" ca="1" si="135"/>
        <v>387.78260869566913</v>
      </c>
      <c r="R305" s="306">
        <f t="shared" ca="1" si="136"/>
        <v>0.1946100238453855</v>
      </c>
      <c r="S305" s="307">
        <f t="shared" ca="1" si="137"/>
        <v>8.1888165851366992</v>
      </c>
      <c r="T305" s="304">
        <f t="shared" ca="1" si="117"/>
        <v>80.332290700191024</v>
      </c>
      <c r="U305" s="311">
        <f t="shared" ca="1" si="118"/>
        <v>0</v>
      </c>
      <c r="V305" s="306">
        <f t="shared" ca="1" si="119"/>
        <v>1.1884057832653416</v>
      </c>
      <c r="W305" s="304">
        <f t="shared" ca="1" si="120"/>
        <v>124.08708404159759</v>
      </c>
      <c r="Y305" s="314" t="str">
        <f t="shared" ca="1" si="138"/>
        <v/>
      </c>
      <c r="Z305" s="315" t="str">
        <f t="shared" ca="1" si="139"/>
        <v/>
      </c>
      <c r="AA305" s="316" t="str">
        <f t="shared" ca="1" si="140"/>
        <v/>
      </c>
      <c r="AC305" s="310" t="e">
        <f t="shared" ca="1" si="141"/>
        <v>#N/A</v>
      </c>
      <c r="AD305" s="323" t="e">
        <f t="shared" ca="1" si="142"/>
        <v>#N/A</v>
      </c>
      <c r="AE305" s="324">
        <f t="shared" ca="1" si="121"/>
        <v>303.25788550275541</v>
      </c>
      <c r="AG305" s="306">
        <f t="shared" ca="1" si="143"/>
        <v>22.690735239929836</v>
      </c>
      <c r="AH305" s="304">
        <f t="shared" ca="1" si="144"/>
        <v>32.237948468608693</v>
      </c>
    </row>
    <row r="306" spans="1:34" x14ac:dyDescent="0.2">
      <c r="A306" s="347">
        <f t="shared" ca="1" si="122"/>
        <v>0.01</v>
      </c>
      <c r="B306" s="304">
        <f t="shared" ca="1" si="123"/>
        <v>3.0199999999999796</v>
      </c>
      <c r="D306" s="306">
        <f t="shared" ca="1" si="124"/>
        <v>7.1746233813774536</v>
      </c>
      <c r="E306" s="307">
        <f t="shared" ca="1" si="125"/>
        <v>20.543334079270863</v>
      </c>
      <c r="F306" s="304">
        <f t="shared" ca="1" si="126"/>
        <v>21.760142365277385</v>
      </c>
      <c r="G306" s="306">
        <f t="shared" ca="1" si="127"/>
        <v>40.969682878845894</v>
      </c>
      <c r="H306" s="307">
        <f t="shared" ca="1" si="128"/>
        <v>173.2303669368444</v>
      </c>
      <c r="I306" s="304">
        <f t="shared" ca="1" si="129"/>
        <v>178.00919904394533</v>
      </c>
      <c r="J306" s="306">
        <f t="shared" ca="1" si="130"/>
        <v>66.857647899159971</v>
      </c>
      <c r="K306" s="307">
        <f t="shared" ca="1" si="131"/>
        <v>304.98916200541987</v>
      </c>
      <c r="L306" s="304">
        <f t="shared" ca="1" si="116"/>
        <v>312.2312188481099</v>
      </c>
      <c r="M306" s="306">
        <f t="shared" ca="1" si="132"/>
        <v>1.3385595114394135</v>
      </c>
      <c r="N306" s="304">
        <f t="shared" ca="1" si="133"/>
        <v>76.693810632571839</v>
      </c>
      <c r="P306" s="310">
        <f t="shared" ca="1" si="134"/>
        <v>8</v>
      </c>
      <c r="Q306" s="304">
        <f t="shared" ca="1" si="135"/>
        <v>379.43478260871274</v>
      </c>
      <c r="R306" s="306">
        <f t="shared" ca="1" si="136"/>
        <v>0.19042063887192304</v>
      </c>
      <c r="S306" s="307">
        <f t="shared" ca="1" si="137"/>
        <v>8.1869123787479801</v>
      </c>
      <c r="T306" s="304">
        <f t="shared" ca="1" si="117"/>
        <v>80.313610435517688</v>
      </c>
      <c r="U306" s="311">
        <f t="shared" ca="1" si="118"/>
        <v>0</v>
      </c>
      <c r="V306" s="306">
        <f t="shared" ca="1" si="119"/>
        <v>1.1882000075965824</v>
      </c>
      <c r="W306" s="304">
        <f t="shared" ca="1" si="120"/>
        <v>124.36783541102473</v>
      </c>
      <c r="Y306" s="314" t="str">
        <f t="shared" ca="1" si="138"/>
        <v/>
      </c>
      <c r="Z306" s="315" t="str">
        <f t="shared" ca="1" si="139"/>
        <v/>
      </c>
      <c r="AA306" s="316" t="str">
        <f t="shared" ca="1" si="140"/>
        <v/>
      </c>
      <c r="AC306" s="310" t="e">
        <f t="shared" ca="1" si="141"/>
        <v>#N/A</v>
      </c>
      <c r="AD306" s="323" t="e">
        <f t="shared" ca="1" si="142"/>
        <v>#N/A</v>
      </c>
      <c r="AE306" s="324">
        <f t="shared" ca="1" si="121"/>
        <v>304.98916200541987</v>
      </c>
      <c r="AG306" s="306">
        <f t="shared" ca="1" si="143"/>
        <v>21.64281663069297</v>
      </c>
      <c r="AH306" s="304">
        <f t="shared" ca="1" si="144"/>
        <v>31.189743673079999</v>
      </c>
    </row>
    <row r="307" spans="1:34" x14ac:dyDescent="0.2">
      <c r="A307" s="347">
        <f t="shared" ca="1" si="122"/>
        <v>0.01</v>
      </c>
      <c r="B307" s="304">
        <f t="shared" ca="1" si="123"/>
        <v>3.0299999999999794</v>
      </c>
      <c r="D307" s="306">
        <f t="shared" ca="1" si="124"/>
        <v>6.9374781024869119</v>
      </c>
      <c r="E307" s="307">
        <f t="shared" ca="1" si="125"/>
        <v>19.523443484637106</v>
      </c>
      <c r="F307" s="304">
        <f t="shared" ca="1" si="126"/>
        <v>20.719397865775552</v>
      </c>
      <c r="G307" s="306">
        <f t="shared" ca="1" si="127"/>
        <v>41.039057659870764</v>
      </c>
      <c r="H307" s="307">
        <f t="shared" ca="1" si="128"/>
        <v>173.42560137169079</v>
      </c>
      <c r="I307" s="304">
        <f t="shared" ca="1" si="129"/>
        <v>178.21516059174874</v>
      </c>
      <c r="J307" s="306">
        <f t="shared" ca="1" si="130"/>
        <v>67.267691601853556</v>
      </c>
      <c r="K307" s="307">
        <f t="shared" ca="1" si="131"/>
        <v>306.72244184696257</v>
      </c>
      <c r="L307" s="304">
        <f t="shared" ca="1" si="116"/>
        <v>314.01209955351311</v>
      </c>
      <c r="M307" s="306">
        <f t="shared" ca="1" si="132"/>
        <v>1.338432820802776</v>
      </c>
      <c r="N307" s="304">
        <f t="shared" ca="1" si="133"/>
        <v>76.686551793788681</v>
      </c>
      <c r="P307" s="310">
        <f t="shared" ca="1" si="134"/>
        <v>8</v>
      </c>
      <c r="Q307" s="304">
        <f t="shared" ca="1" si="135"/>
        <v>371.08695652175641</v>
      </c>
      <c r="R307" s="306">
        <f t="shared" ca="1" si="136"/>
        <v>0.1862312538984606</v>
      </c>
      <c r="S307" s="307">
        <f t="shared" ca="1" si="137"/>
        <v>8.185050066208996</v>
      </c>
      <c r="T307" s="304">
        <f t="shared" ca="1" si="117"/>
        <v>80.29534114951025</v>
      </c>
      <c r="U307" s="311">
        <f t="shared" ca="1" si="118"/>
        <v>0</v>
      </c>
      <c r="V307" s="306">
        <f t="shared" ca="1" si="119"/>
        <v>1.1879940289637057</v>
      </c>
      <c r="W307" s="304">
        <f t="shared" ca="1" si="120"/>
        <v>124.63418640931941</v>
      </c>
      <c r="Y307" s="314" t="str">
        <f t="shared" ca="1" si="138"/>
        <v/>
      </c>
      <c r="Z307" s="315" t="str">
        <f t="shared" ca="1" si="139"/>
        <v/>
      </c>
      <c r="AA307" s="316" t="str">
        <f t="shared" ca="1" si="140"/>
        <v/>
      </c>
      <c r="AC307" s="310" t="e">
        <f t="shared" ca="1" si="141"/>
        <v>#N/A</v>
      </c>
      <c r="AD307" s="323" t="e">
        <f t="shared" ca="1" si="142"/>
        <v>#N/A</v>
      </c>
      <c r="AE307" s="324">
        <f t="shared" ca="1" si="121"/>
        <v>306.72244184696257</v>
      </c>
      <c r="AG307" s="306">
        <f t="shared" ca="1" si="143"/>
        <v>20.596011758061771</v>
      </c>
      <c r="AH307" s="304">
        <f t="shared" ca="1" si="144"/>
        <v>30.142652655147728</v>
      </c>
    </row>
    <row r="308" spans="1:34" x14ac:dyDescent="0.2">
      <c r="A308" s="347">
        <f t="shared" ca="1" si="122"/>
        <v>0.01</v>
      </c>
      <c r="B308" s="304">
        <f t="shared" ca="1" si="123"/>
        <v>3.0399999999999792</v>
      </c>
      <c r="D308" s="306">
        <f t="shared" ca="1" si="124"/>
        <v>6.7003333175356659</v>
      </c>
      <c r="E308" s="307">
        <f t="shared" ca="1" si="125"/>
        <v>18.504717765087648</v>
      </c>
      <c r="F308" s="304">
        <f t="shared" ca="1" si="126"/>
        <v>19.680422915466753</v>
      </c>
      <c r="G308" s="306">
        <f t="shared" ca="1" si="127"/>
        <v>41.106060993046121</v>
      </c>
      <c r="H308" s="307">
        <f t="shared" ca="1" si="128"/>
        <v>173.61064854934168</v>
      </c>
      <c r="I308" s="304">
        <f t="shared" ca="1" si="129"/>
        <v>178.41066543255496</v>
      </c>
      <c r="J308" s="306">
        <f t="shared" ca="1" si="130"/>
        <v>67.678417195118143</v>
      </c>
      <c r="K308" s="307">
        <f t="shared" ca="1" si="131"/>
        <v>308.45762309656772</v>
      </c>
      <c r="L308" s="304">
        <f t="shared" ca="1" si="116"/>
        <v>315.79498634465477</v>
      </c>
      <c r="M308" s="306">
        <f t="shared" ca="1" si="132"/>
        <v>1.3383062012051306</v>
      </c>
      <c r="N308" s="304">
        <f t="shared" ca="1" si="133"/>
        <v>76.679297025239947</v>
      </c>
      <c r="P308" s="310">
        <f t="shared" ca="1" si="134"/>
        <v>8</v>
      </c>
      <c r="Q308" s="304">
        <f t="shared" ca="1" si="135"/>
        <v>362.73913043480007</v>
      </c>
      <c r="R308" s="306">
        <f t="shared" ca="1" si="136"/>
        <v>0.18204186892499816</v>
      </c>
      <c r="S308" s="307">
        <f t="shared" ca="1" si="137"/>
        <v>8.1832296475197452</v>
      </c>
      <c r="T308" s="304">
        <f t="shared" ca="1" si="117"/>
        <v>80.277482842168709</v>
      </c>
      <c r="U308" s="311">
        <f t="shared" ca="1" si="118"/>
        <v>0</v>
      </c>
      <c r="V308" s="306">
        <f t="shared" ca="1" si="119"/>
        <v>1.1877878595897349</v>
      </c>
      <c r="W308" s="304">
        <f t="shared" ca="1" si="120"/>
        <v>124.88611072268904</v>
      </c>
      <c r="Y308" s="314" t="str">
        <f t="shared" ca="1" si="138"/>
        <v/>
      </c>
      <c r="Z308" s="315" t="str">
        <f t="shared" ca="1" si="139"/>
        <v/>
      </c>
      <c r="AA308" s="316" t="str">
        <f t="shared" ca="1" si="140"/>
        <v/>
      </c>
      <c r="AC308" s="310" t="e">
        <f t="shared" ca="1" si="141"/>
        <v>#N/A</v>
      </c>
      <c r="AD308" s="323" t="e">
        <f t="shared" ca="1" si="142"/>
        <v>#N/A</v>
      </c>
      <c r="AE308" s="324">
        <f t="shared" ca="1" si="121"/>
        <v>308.45762309656772</v>
      </c>
      <c r="AG308" s="306">
        <f t="shared" ca="1" si="143"/>
        <v>19.550341061969952</v>
      </c>
      <c r="AH308" s="304">
        <f t="shared" ca="1" si="144"/>
        <v>29.096695837889371</v>
      </c>
    </row>
    <row r="309" spans="1:34" x14ac:dyDescent="0.2">
      <c r="A309" s="347">
        <f t="shared" ca="1" si="122"/>
        <v>0.01</v>
      </c>
      <c r="B309" s="304">
        <f t="shared" ca="1" si="123"/>
        <v>3.049999999999979</v>
      </c>
      <c r="D309" s="306">
        <f t="shared" ca="1" si="124"/>
        <v>6.4631945215824587</v>
      </c>
      <c r="E309" s="307">
        <f t="shared" ca="1" si="125"/>
        <v>17.487176267565594</v>
      </c>
      <c r="F309" s="304">
        <f t="shared" ca="1" si="126"/>
        <v>18.643342437361461</v>
      </c>
      <c r="G309" s="306">
        <f t="shared" ca="1" si="127"/>
        <v>41.170692938261944</v>
      </c>
      <c r="H309" s="307">
        <f t="shared" ca="1" si="128"/>
        <v>173.78552031201733</v>
      </c>
      <c r="I309" s="304">
        <f t="shared" ca="1" si="129"/>
        <v>178.59572510879212</v>
      </c>
      <c r="J309" s="306">
        <f t="shared" ca="1" si="130"/>
        <v>68.089800964774682</v>
      </c>
      <c r="K309" s="307">
        <f t="shared" ca="1" si="131"/>
        <v>310.19460394087452</v>
      </c>
      <c r="L309" s="304">
        <f t="shared" ca="1" si="116"/>
        <v>317.57977471724899</v>
      </c>
      <c r="M309" s="306">
        <f t="shared" ca="1" si="132"/>
        <v>1.338179645129761</v>
      </c>
      <c r="N309" s="304">
        <f t="shared" ca="1" si="133"/>
        <v>76.672045896249529</v>
      </c>
      <c r="P309" s="310">
        <f t="shared" ca="1" si="134"/>
        <v>8</v>
      </c>
      <c r="Q309" s="304">
        <f t="shared" ca="1" si="135"/>
        <v>354.39130434784374</v>
      </c>
      <c r="R309" s="306">
        <f t="shared" ca="1" si="136"/>
        <v>0.17785248395153572</v>
      </c>
      <c r="S309" s="307">
        <f t="shared" ca="1" si="137"/>
        <v>8.1814511226802296</v>
      </c>
      <c r="T309" s="304">
        <f t="shared" ca="1" si="117"/>
        <v>80.260035513493051</v>
      </c>
      <c r="U309" s="311">
        <f t="shared" ca="1" si="118"/>
        <v>0</v>
      </c>
      <c r="V309" s="306">
        <f t="shared" ca="1" si="119"/>
        <v>1.1875815116755366</v>
      </c>
      <c r="W309" s="304">
        <f t="shared" ca="1" si="120"/>
        <v>125.12358501062999</v>
      </c>
      <c r="Y309" s="314" t="str">
        <f t="shared" ca="1" si="138"/>
        <v/>
      </c>
      <c r="Z309" s="315" t="str">
        <f t="shared" ca="1" si="139"/>
        <v/>
      </c>
      <c r="AA309" s="316" t="str">
        <f t="shared" ca="1" si="140"/>
        <v/>
      </c>
      <c r="AC309" s="310" t="e">
        <f t="shared" ca="1" si="141"/>
        <v>#N/A</v>
      </c>
      <c r="AD309" s="323" t="e">
        <f t="shared" ca="1" si="142"/>
        <v>#N/A</v>
      </c>
      <c r="AE309" s="324">
        <f t="shared" ca="1" si="121"/>
        <v>310.19460394087452</v>
      </c>
      <c r="AG309" s="306">
        <f t="shared" ca="1" si="143"/>
        <v>18.505824600328815</v>
      </c>
      <c r="AH309" s="304">
        <f t="shared" ca="1" si="144"/>
        <v>28.051893262422766</v>
      </c>
    </row>
    <row r="310" spans="1:34" x14ac:dyDescent="0.2">
      <c r="A310" s="347">
        <f t="shared" ca="1" si="122"/>
        <v>0.01</v>
      </c>
      <c r="B310" s="304">
        <f t="shared" ca="1" si="123"/>
        <v>3.0599999999999787</v>
      </c>
      <c r="D310" s="306">
        <f t="shared" ca="1" si="124"/>
        <v>6.2260670992690308</v>
      </c>
      <c r="E310" s="307">
        <f t="shared" ca="1" si="125"/>
        <v>16.470837972936934</v>
      </c>
      <c r="F310" s="304">
        <f t="shared" ca="1" si="126"/>
        <v>17.60830528629435</v>
      </c>
      <c r="G310" s="306">
        <f t="shared" ca="1" si="127"/>
        <v>41.232953609254636</v>
      </c>
      <c r="H310" s="307">
        <f t="shared" ca="1" si="128"/>
        <v>173.9502286917467</v>
      </c>
      <c r="I310" s="304">
        <f t="shared" ca="1" si="129"/>
        <v>178.77035135965338</v>
      </c>
      <c r="J310" s="306">
        <f t="shared" ca="1" si="130"/>
        <v>68.501819197512262</v>
      </c>
      <c r="K310" s="307">
        <f t="shared" ca="1" si="131"/>
        <v>311.93328268589335</v>
      </c>
      <c r="L310" s="304">
        <f t="shared" ca="1" si="116"/>
        <v>319.3663602832429</v>
      </c>
      <c r="M310" s="306">
        <f t="shared" ca="1" si="132"/>
        <v>1.3380531450987192</v>
      </c>
      <c r="N310" s="304">
        <f t="shared" ca="1" si="133"/>
        <v>76.664797978362557</v>
      </c>
      <c r="P310" s="310">
        <f t="shared" ca="1" si="134"/>
        <v>8</v>
      </c>
      <c r="Q310" s="304">
        <f t="shared" ca="1" si="135"/>
        <v>346.04347826088735</v>
      </c>
      <c r="R310" s="306">
        <f t="shared" ca="1" si="136"/>
        <v>0.17366309897807322</v>
      </c>
      <c r="S310" s="307">
        <f t="shared" ca="1" si="137"/>
        <v>8.179714491690449</v>
      </c>
      <c r="T310" s="304">
        <f t="shared" ca="1" si="117"/>
        <v>80.242999163483304</v>
      </c>
      <c r="U310" s="311">
        <f t="shared" ca="1" si="118"/>
        <v>0</v>
      </c>
      <c r="V310" s="306">
        <f t="shared" ca="1" si="119"/>
        <v>1.1873749973995888</v>
      </c>
      <c r="W310" s="304">
        <f t="shared" ca="1" si="120"/>
        <v>125.34658888864429</v>
      </c>
      <c r="Y310" s="314" t="str">
        <f t="shared" ca="1" si="138"/>
        <v/>
      </c>
      <c r="Z310" s="315" t="str">
        <f t="shared" ca="1" si="139"/>
        <v/>
      </c>
      <c r="AA310" s="316" t="str">
        <f t="shared" ca="1" si="140"/>
        <v/>
      </c>
      <c r="AC310" s="310" t="e">
        <f t="shared" ca="1" si="141"/>
        <v>#N/A</v>
      </c>
      <c r="AD310" s="323" t="e">
        <f t="shared" ca="1" si="142"/>
        <v>#N/A</v>
      </c>
      <c r="AE310" s="324">
        <f t="shared" ca="1" si="121"/>
        <v>311.93328268589335</v>
      </c>
      <c r="AG310" s="306">
        <f t="shared" ca="1" si="143"/>
        <v>17.462482049662821</v>
      </c>
      <c r="AH310" s="304">
        <f t="shared" ca="1" si="144"/>
        <v>27.008264588535933</v>
      </c>
    </row>
    <row r="311" spans="1:34" x14ac:dyDescent="0.2">
      <c r="A311" s="347">
        <f t="shared" ca="1" si="122"/>
        <v>0.01</v>
      </c>
      <c r="B311" s="304">
        <f t="shared" ca="1" si="123"/>
        <v>3.0699999999999785</v>
      </c>
      <c r="D311" s="306">
        <f t="shared" ca="1" si="124"/>
        <v>5.9889563250990978</v>
      </c>
      <c r="E311" s="307">
        <f t="shared" ca="1" si="125"/>
        <v>15.455721496653739</v>
      </c>
      <c r="F311" s="304">
        <f t="shared" ca="1" si="126"/>
        <v>16.575491692437634</v>
      </c>
      <c r="G311" s="306">
        <f t="shared" ca="1" si="127"/>
        <v>41.292843172505627</v>
      </c>
      <c r="H311" s="307">
        <f t="shared" ca="1" si="128"/>
        <v>174.10478590671323</v>
      </c>
      <c r="I311" s="304">
        <f t="shared" ca="1" si="129"/>
        <v>178.93455611728999</v>
      </c>
      <c r="J311" s="306">
        <f t="shared" ca="1" si="130"/>
        <v>68.914448181421065</v>
      </c>
      <c r="K311" s="307">
        <f t="shared" ca="1" si="131"/>
        <v>313.67355775888564</v>
      </c>
      <c r="L311" s="304">
        <f t="shared" ca="1" si="116"/>
        <v>321.15463877276744</v>
      </c>
      <c r="M311" s="306">
        <f t="shared" ca="1" si="132"/>
        <v>1.3379266936701957</v>
      </c>
      <c r="N311" s="304">
        <f t="shared" ca="1" si="133"/>
        <v>76.657552845194772</v>
      </c>
      <c r="P311" s="310">
        <f t="shared" ca="1" si="134"/>
        <v>8</v>
      </c>
      <c r="Q311" s="304">
        <f t="shared" ca="1" si="135"/>
        <v>337.69565217393102</v>
      </c>
      <c r="R311" s="306">
        <f t="shared" ca="1" si="136"/>
        <v>0.16947371400461078</v>
      </c>
      <c r="S311" s="307">
        <f t="shared" ca="1" si="137"/>
        <v>8.1780197545504034</v>
      </c>
      <c r="T311" s="304">
        <f t="shared" ca="1" si="117"/>
        <v>80.226373792139455</v>
      </c>
      <c r="U311" s="311">
        <f t="shared" ca="1" si="118"/>
        <v>0</v>
      </c>
      <c r="V311" s="306">
        <f t="shared" ca="1" si="119"/>
        <v>1.1871683289177533</v>
      </c>
      <c r="W311" s="304">
        <f t="shared" ca="1" si="120"/>
        <v>125.55510491070507</v>
      </c>
      <c r="Y311" s="314" t="str">
        <f t="shared" ca="1" si="138"/>
        <v/>
      </c>
      <c r="Z311" s="315" t="str">
        <f t="shared" ca="1" si="139"/>
        <v/>
      </c>
      <c r="AA311" s="316" t="str">
        <f t="shared" ca="1" si="140"/>
        <v/>
      </c>
      <c r="AC311" s="310" t="e">
        <f t="shared" ca="1" si="141"/>
        <v>#N/A</v>
      </c>
      <c r="AD311" s="323" t="e">
        <f t="shared" ca="1" si="142"/>
        <v>#N/A</v>
      </c>
      <c r="AE311" s="324">
        <f t="shared" ca="1" si="121"/>
        <v>313.67355775888564</v>
      </c>
      <c r="AG311" s="306">
        <f t="shared" ca="1" si="143"/>
        <v>16.420332705807013</v>
      </c>
      <c r="AH311" s="304">
        <f t="shared" ca="1" si="144"/>
        <v>25.965829095378709</v>
      </c>
    </row>
    <row r="312" spans="1:34" x14ac:dyDescent="0.2">
      <c r="A312" s="347">
        <f t="shared" ca="1" si="122"/>
        <v>0.01</v>
      </c>
      <c r="B312" s="304">
        <f t="shared" ca="1" si="123"/>
        <v>3.0799999999999783</v>
      </c>
      <c r="D312" s="306">
        <f t="shared" ca="1" si="124"/>
        <v>5.7518673637171478</v>
      </c>
      <c r="E312" s="307">
        <f t="shared" ca="1" si="125"/>
        <v>14.441845089479683</v>
      </c>
      <c r="F312" s="304">
        <f t="shared" ca="1" si="126"/>
        <v>15.545123600612602</v>
      </c>
      <c r="G312" s="306">
        <f t="shared" ca="1" si="127"/>
        <v>41.350361846142796</v>
      </c>
      <c r="H312" s="307">
        <f t="shared" ca="1" si="128"/>
        <v>174.24920435760802</v>
      </c>
      <c r="I312" s="304">
        <f t="shared" ca="1" si="129"/>
        <v>179.08835150301201</v>
      </c>
      <c r="J312" s="306">
        <f t="shared" ca="1" si="130"/>
        <v>69.327664206514314</v>
      </c>
      <c r="K312" s="307">
        <f t="shared" ca="1" si="131"/>
        <v>315.41532771020724</v>
      </c>
      <c r="L312" s="304">
        <f t="shared" ca="1" si="116"/>
        <v>322.94450603605048</v>
      </c>
      <c r="M312" s="306">
        <f t="shared" ca="1" si="132"/>
        <v>1.3378002834359237</v>
      </c>
      <c r="N312" s="304">
        <f t="shared" ca="1" si="133"/>
        <v>76.650310072283716</v>
      </c>
      <c r="P312" s="310">
        <f t="shared" ca="1" si="134"/>
        <v>8</v>
      </c>
      <c r="Q312" s="304">
        <f t="shared" ca="1" si="135"/>
        <v>329.34782608697469</v>
      </c>
      <c r="R312" s="306">
        <f t="shared" ca="1" si="136"/>
        <v>0.16528432903114834</v>
      </c>
      <c r="S312" s="307">
        <f t="shared" ca="1" si="137"/>
        <v>8.1763669112600912</v>
      </c>
      <c r="T312" s="304">
        <f t="shared" ca="1" si="117"/>
        <v>80.210159399461503</v>
      </c>
      <c r="U312" s="311">
        <f t="shared" ca="1" si="118"/>
        <v>0</v>
      </c>
      <c r="V312" s="306">
        <f t="shared" ca="1" si="119"/>
        <v>1.1869615183630553</v>
      </c>
      <c r="W312" s="304">
        <f t="shared" ca="1" si="120"/>
        <v>125.74911855148191</v>
      </c>
      <c r="Y312" s="314" t="str">
        <f t="shared" ca="1" si="138"/>
        <v/>
      </c>
      <c r="Z312" s="315" t="str">
        <f t="shared" ca="1" si="139"/>
        <v/>
      </c>
      <c r="AA312" s="316" t="str">
        <f t="shared" ca="1" si="140"/>
        <v/>
      </c>
      <c r="AC312" s="310" t="e">
        <f t="shared" ca="1" si="141"/>
        <v>#N/A</v>
      </c>
      <c r="AD312" s="323" t="e">
        <f t="shared" ca="1" si="142"/>
        <v>#N/A</v>
      </c>
      <c r="AE312" s="324">
        <f t="shared" ca="1" si="121"/>
        <v>315.41532771020724</v>
      </c>
      <c r="AG312" s="306">
        <f t="shared" ca="1" si="143"/>
        <v>15.3793954846651</v>
      </c>
      <c r="AH312" s="304">
        <f t="shared" ca="1" si="144"/>
        <v>24.924605682215201</v>
      </c>
    </row>
    <row r="313" spans="1:34" x14ac:dyDescent="0.2">
      <c r="A313" s="347">
        <f t="shared" ca="1" si="122"/>
        <v>0.01</v>
      </c>
      <c r="B313" s="304">
        <f t="shared" ca="1" si="123"/>
        <v>3.0899999999999781</v>
      </c>
      <c r="D313" s="306">
        <f t="shared" ca="1" si="124"/>
        <v>5.5148052701871508</v>
      </c>
      <c r="E313" s="307">
        <f t="shared" ca="1" si="125"/>
        <v>13.429226638276509</v>
      </c>
      <c r="F313" s="304">
        <f t="shared" ca="1" si="126"/>
        <v>14.5174793015275</v>
      </c>
      <c r="G313" s="306">
        <f t="shared" ca="1" si="127"/>
        <v>41.40550989884467</v>
      </c>
      <c r="H313" s="307">
        <f t="shared" ca="1" si="128"/>
        <v>174.38349662399079</v>
      </c>
      <c r="I313" s="304">
        <f t="shared" ca="1" si="129"/>
        <v>179.23174982349732</v>
      </c>
      <c r="J313" s="306">
        <f t="shared" ca="1" si="130"/>
        <v>69.741443565239251</v>
      </c>
      <c r="K313" s="307">
        <f t="shared" ca="1" si="131"/>
        <v>317.15849121511525</v>
      </c>
      <c r="L313" s="304">
        <f t="shared" ca="1" si="116"/>
        <v>324.73585804529165</v>
      </c>
      <c r="M313" s="306">
        <f t="shared" ca="1" si="132"/>
        <v>1.3376739070186159</v>
      </c>
      <c r="N313" s="304">
        <f t="shared" ca="1" si="133"/>
        <v>76.643069236941997</v>
      </c>
      <c r="P313" s="310">
        <f t="shared" ca="1" si="134"/>
        <v>8</v>
      </c>
      <c r="Q313" s="304">
        <f t="shared" ca="1" si="135"/>
        <v>321.00000000001836</v>
      </c>
      <c r="R313" s="306">
        <f t="shared" ca="1" si="136"/>
        <v>0.1610949440576859</v>
      </c>
      <c r="S313" s="307">
        <f t="shared" ca="1" si="137"/>
        <v>8.174755961819514</v>
      </c>
      <c r="T313" s="304">
        <f t="shared" ca="1" si="117"/>
        <v>80.194355985449434</v>
      </c>
      <c r="U313" s="311">
        <f t="shared" ca="1" si="118"/>
        <v>0</v>
      </c>
      <c r="V313" s="306">
        <f t="shared" ca="1" si="119"/>
        <v>1.1867545778454693</v>
      </c>
      <c r="W313" s="304">
        <f t="shared" ca="1" si="120"/>
        <v>125.92861818833551</v>
      </c>
      <c r="Y313" s="314" t="str">
        <f t="shared" ca="1" si="138"/>
        <v/>
      </c>
      <c r="Z313" s="315" t="str">
        <f t="shared" ca="1" si="139"/>
        <v/>
      </c>
      <c r="AA313" s="316" t="str">
        <f t="shared" ca="1" si="140"/>
        <v/>
      </c>
      <c r="AC313" s="310" t="e">
        <f t="shared" ca="1" si="141"/>
        <v>#N/A</v>
      </c>
      <c r="AD313" s="323" t="e">
        <f t="shared" ca="1" si="142"/>
        <v>#N/A</v>
      </c>
      <c r="AE313" s="324">
        <f t="shared" ca="1" si="121"/>
        <v>317.15849121511525</v>
      </c>
      <c r="AG313" s="306">
        <f t="shared" ca="1" si="143"/>
        <v>14.339688923027133</v>
      </c>
      <c r="AH313" s="304">
        <f t="shared" ca="1" si="144"/>
        <v>23.884612869235802</v>
      </c>
    </row>
    <row r="314" spans="1:34" x14ac:dyDescent="0.2">
      <c r="A314" s="347">
        <f t="shared" ca="1" si="122"/>
        <v>0.01</v>
      </c>
      <c r="B314" s="304">
        <f t="shared" ca="1" si="123"/>
        <v>3.0999999999999779</v>
      </c>
      <c r="D314" s="306">
        <f t="shared" ca="1" si="124"/>
        <v>5.2777749902712063</v>
      </c>
      <c r="E314" s="307">
        <f t="shared" ca="1" si="125"/>
        <v>12.417883666850399</v>
      </c>
      <c r="F314" s="304">
        <f t="shared" ca="1" si="126"/>
        <v>13.492914570668642</v>
      </c>
      <c r="G314" s="306">
        <f t="shared" ca="1" si="127"/>
        <v>41.45828764874738</v>
      </c>
      <c r="H314" s="307">
        <f t="shared" ca="1" si="128"/>
        <v>174.5076754606593</v>
      </c>
      <c r="I314" s="304">
        <f t="shared" ca="1" si="129"/>
        <v>179.36476356700911</v>
      </c>
      <c r="J314" s="306">
        <f t="shared" ca="1" si="130"/>
        <v>70.155762552977208</v>
      </c>
      <c r="K314" s="307">
        <f t="shared" ca="1" si="131"/>
        <v>318.90294707553852</v>
      </c>
      <c r="L314" s="304">
        <f t="shared" ca="1" si="116"/>
        <v>326.52859089649934</v>
      </c>
      <c r="M314" s="306">
        <f t="shared" ca="1" si="132"/>
        <v>1.3375475570694295</v>
      </c>
      <c r="N314" s="304">
        <f t="shared" ca="1" si="133"/>
        <v>76.635829918111924</v>
      </c>
      <c r="P314" s="310">
        <f t="shared" ca="1" si="134"/>
        <v>8</v>
      </c>
      <c r="Q314" s="304">
        <f t="shared" ca="1" si="135"/>
        <v>312.65217391306203</v>
      </c>
      <c r="R314" s="306">
        <f t="shared" ca="1" si="136"/>
        <v>0.15690555908422346</v>
      </c>
      <c r="S314" s="307">
        <f t="shared" ca="1" si="137"/>
        <v>8.1731869062286719</v>
      </c>
      <c r="T314" s="304">
        <f t="shared" ca="1" si="117"/>
        <v>80.178963550103276</v>
      </c>
      <c r="U314" s="311">
        <f t="shared" ca="1" si="118"/>
        <v>0</v>
      </c>
      <c r="V314" s="306">
        <f t="shared" ca="1" si="119"/>
        <v>1.1865475194517074</v>
      </c>
      <c r="W314" s="304">
        <f t="shared" ca="1" si="120"/>
        <v>126.09359508308971</v>
      </c>
      <c r="Y314" s="314" t="str">
        <f t="shared" ca="1" si="138"/>
        <v/>
      </c>
      <c r="Z314" s="315" t="str">
        <f t="shared" ca="1" si="139"/>
        <v/>
      </c>
      <c r="AA314" s="316" t="str">
        <f t="shared" ca="1" si="140"/>
        <v/>
      </c>
      <c r="AC314" s="310" t="e">
        <f t="shared" ca="1" si="141"/>
        <v>#N/A</v>
      </c>
      <c r="AD314" s="323" t="e">
        <f t="shared" ca="1" si="142"/>
        <v>#N/A</v>
      </c>
      <c r="AE314" s="324">
        <f t="shared" ca="1" si="121"/>
        <v>318.90294707553852</v>
      </c>
      <c r="AG314" s="306">
        <f t="shared" ca="1" si="143"/>
        <v>13.301231179445436</v>
      </c>
      <c r="AH314" s="304">
        <f t="shared" ca="1" si="144"/>
        <v>22.845868798427585</v>
      </c>
    </row>
    <row r="315" spans="1:34" x14ac:dyDescent="0.2">
      <c r="A315" s="347">
        <f t="shared" ca="1" si="122"/>
        <v>0.01</v>
      </c>
      <c r="B315" s="304">
        <f t="shared" ca="1" si="123"/>
        <v>3.1099999999999777</v>
      </c>
      <c r="D315" s="306">
        <f t="shared" ca="1" si="124"/>
        <v>5.0407813607081673</v>
      </c>
      <c r="E315" s="307">
        <f t="shared" ca="1" si="125"/>
        <v>11.407833336857069</v>
      </c>
      <c r="F315" s="304">
        <f t="shared" ca="1" si="126"/>
        <v>12.471893928668988</v>
      </c>
      <c r="G315" s="306">
        <f t="shared" ca="1" si="127"/>
        <v>41.50869546235446</v>
      </c>
      <c r="H315" s="307">
        <f t="shared" ca="1" si="128"/>
        <v>174.62175379402788</v>
      </c>
      <c r="I315" s="304">
        <f t="shared" ca="1" si="129"/>
        <v>179.4874053996229</v>
      </c>
      <c r="J315" s="306">
        <f t="shared" ca="1" si="130"/>
        <v>70.570597468532711</v>
      </c>
      <c r="K315" s="307">
        <f t="shared" ca="1" si="131"/>
        <v>320.64859422181195</v>
      </c>
      <c r="L315" s="304">
        <f t="shared" ca="1" si="116"/>
        <v>328.32260081129033</v>
      </c>
      <c r="M315" s="306">
        <f t="shared" ca="1" si="132"/>
        <v>1.3374212262654608</v>
      </c>
      <c r="N315" s="304">
        <f t="shared" ca="1" si="133"/>
        <v>76.628591696222031</v>
      </c>
      <c r="P315" s="310">
        <f t="shared" ca="1" si="134"/>
        <v>8</v>
      </c>
      <c r="Q315" s="304">
        <f t="shared" ca="1" si="135"/>
        <v>304.30434782610564</v>
      </c>
      <c r="R315" s="306">
        <f t="shared" ca="1" si="136"/>
        <v>0.15271617411076099</v>
      </c>
      <c r="S315" s="307">
        <f t="shared" ca="1" si="137"/>
        <v>8.1716597444875649</v>
      </c>
      <c r="T315" s="304">
        <f t="shared" ca="1" si="117"/>
        <v>80.163982093423016</v>
      </c>
      <c r="U315" s="311">
        <f t="shared" ca="1" si="118"/>
        <v>0</v>
      </c>
      <c r="V315" s="306">
        <f t="shared" ca="1" si="119"/>
        <v>1.186340355245018</v>
      </c>
      <c r="W315" s="304">
        <f t="shared" ca="1" si="120"/>
        <v>126.24404336359234</v>
      </c>
      <c r="Y315" s="314" t="str">
        <f t="shared" ca="1" si="138"/>
        <v/>
      </c>
      <c r="Z315" s="315" t="str">
        <f t="shared" ca="1" si="139"/>
        <v/>
      </c>
      <c r="AA315" s="316" t="str">
        <f t="shared" ca="1" si="140"/>
        <v/>
      </c>
      <c r="AC315" s="310" t="e">
        <f t="shared" ca="1" si="141"/>
        <v>#N/A</v>
      </c>
      <c r="AD315" s="323" t="e">
        <f t="shared" ca="1" si="142"/>
        <v>#N/A</v>
      </c>
      <c r="AE315" s="324">
        <f t="shared" ca="1" si="121"/>
        <v>320.64859422181195</v>
      </c>
      <c r="AG315" s="306">
        <f t="shared" ca="1" si="143"/>
        <v>12.264040035167913</v>
      </c>
      <c r="AH315" s="304">
        <f t="shared" ca="1" si="144"/>
        <v>21.808391234502054</v>
      </c>
    </row>
    <row r="316" spans="1:34" x14ac:dyDescent="0.2">
      <c r="A316" s="347">
        <f t="shared" ca="1" si="122"/>
        <v>0.01</v>
      </c>
      <c r="B316" s="304">
        <f t="shared" ca="1" si="123"/>
        <v>3.1199999999999775</v>
      </c>
      <c r="D316" s="306">
        <f t="shared" ca="1" si="124"/>
        <v>4.8038291094921437</v>
      </c>
      <c r="E316" s="307">
        <f t="shared" ca="1" si="125"/>
        <v>10.399092448764234</v>
      </c>
      <c r="F316" s="304">
        <f t="shared" ca="1" si="126"/>
        <v>11.45503809994316</v>
      </c>
      <c r="G316" s="306">
        <f t="shared" ca="1" si="127"/>
        <v>41.556733753449379</v>
      </c>
      <c r="H316" s="307">
        <f t="shared" ca="1" si="128"/>
        <v>174.72574471851553</v>
      </c>
      <c r="I316" s="304">
        <f t="shared" ca="1" si="129"/>
        <v>179.59968816146352</v>
      </c>
      <c r="J316" s="306">
        <f t="shared" ca="1" si="130"/>
        <v>70.985924614611733</v>
      </c>
      <c r="K316" s="307">
        <f t="shared" ca="1" si="131"/>
        <v>322.39533171437466</v>
      </c>
      <c r="L316" s="304">
        <f t="shared" ca="1" si="116"/>
        <v>330.11778413865107</v>
      </c>
      <c r="M316" s="306">
        <f t="shared" ca="1" si="132"/>
        <v>1.3372949073072637</v>
      </c>
      <c r="N316" s="304">
        <f t="shared" ca="1" si="133"/>
        <v>76.621354153044848</v>
      </c>
      <c r="P316" s="310">
        <f t="shared" ca="1" si="134"/>
        <v>8</v>
      </c>
      <c r="Q316" s="304">
        <f t="shared" ca="1" si="135"/>
        <v>295.95652173914931</v>
      </c>
      <c r="R316" s="306">
        <f t="shared" ca="1" si="136"/>
        <v>0.14852678913729855</v>
      </c>
      <c r="S316" s="307">
        <f t="shared" ca="1" si="137"/>
        <v>8.1701744765961912</v>
      </c>
      <c r="T316" s="304">
        <f t="shared" ca="1" si="117"/>
        <v>80.149411615408638</v>
      </c>
      <c r="U316" s="311">
        <f t="shared" ca="1" si="118"/>
        <v>0</v>
      </c>
      <c r="V316" s="306">
        <f t="shared" ca="1" si="119"/>
        <v>1.1861330972649875</v>
      </c>
      <c r="W316" s="304">
        <f t="shared" ca="1" si="120"/>
        <v>126.37996000507262</v>
      </c>
      <c r="Y316" s="314" t="str">
        <f t="shared" ca="1" si="138"/>
        <v/>
      </c>
      <c r="Z316" s="315" t="str">
        <f t="shared" ca="1" si="139"/>
        <v/>
      </c>
      <c r="AA316" s="316" t="str">
        <f t="shared" ca="1" si="140"/>
        <v/>
      </c>
      <c r="AC316" s="310" t="e">
        <f t="shared" ca="1" si="141"/>
        <v>#N/A</v>
      </c>
      <c r="AD316" s="323" t="e">
        <f t="shared" ca="1" si="142"/>
        <v>#N/A</v>
      </c>
      <c r="AE316" s="324">
        <f t="shared" ca="1" si="121"/>
        <v>322.39533171437466</v>
      </c>
      <c r="AG316" s="306">
        <f t="shared" ca="1" si="143"/>
        <v>11.228132895127242</v>
      </c>
      <c r="AH316" s="304">
        <f t="shared" ca="1" si="144"/>
        <v>20.772197565878859</v>
      </c>
    </row>
    <row r="317" spans="1:34" x14ac:dyDescent="0.2">
      <c r="A317" s="347">
        <f t="shared" ca="1" si="122"/>
        <v>0.01</v>
      </c>
      <c r="B317" s="304">
        <f t="shared" ca="1" si="123"/>
        <v>3.1299999999999772</v>
      </c>
      <c r="D317" s="306">
        <f t="shared" ca="1" si="124"/>
        <v>4.5669228561509216</v>
      </c>
      <c r="E317" s="307">
        <f t="shared" ca="1" si="125"/>
        <v>9.3916774428703942</v>
      </c>
      <c r="F317" s="304">
        <f t="shared" ca="1" si="126"/>
        <v>10.443198244070361</v>
      </c>
      <c r="G317" s="306">
        <f t="shared" ca="1" si="127"/>
        <v>41.602402982010886</v>
      </c>
      <c r="H317" s="307">
        <f t="shared" ca="1" si="128"/>
        <v>174.81966149294422</v>
      </c>
      <c r="I317" s="304">
        <f t="shared" ca="1" si="129"/>
        <v>179.70162486295229</v>
      </c>
      <c r="J317" s="306">
        <f t="shared" ca="1" si="130"/>
        <v>71.401720298289035</v>
      </c>
      <c r="K317" s="307">
        <f t="shared" ca="1" si="131"/>
        <v>324.14305874543197</v>
      </c>
      <c r="L317" s="304">
        <f t="shared" ca="1" si="116"/>
        <v>331.91403735666205</v>
      </c>
      <c r="M317" s="306">
        <f t="shared" ca="1" si="132"/>
        <v>1.3371685929163926</v>
      </c>
      <c r="N317" s="304">
        <f t="shared" ca="1" si="133"/>
        <v>76.614116871556163</v>
      </c>
      <c r="P317" s="310">
        <f t="shared" ca="1" si="134"/>
        <v>8</v>
      </c>
      <c r="Q317" s="304">
        <f t="shared" ca="1" si="135"/>
        <v>287.60869565219298</v>
      </c>
      <c r="R317" s="306">
        <f t="shared" ca="1" si="136"/>
        <v>0.14433740416383611</v>
      </c>
      <c r="S317" s="307">
        <f t="shared" ca="1" si="137"/>
        <v>8.1687311025545526</v>
      </c>
      <c r="T317" s="304">
        <f t="shared" ca="1" si="117"/>
        <v>80.135252116060158</v>
      </c>
      <c r="U317" s="311">
        <f t="shared" ca="1" si="118"/>
        <v>0</v>
      </c>
      <c r="V317" s="306">
        <f t="shared" ca="1" si="119"/>
        <v>1.1859257575273472</v>
      </c>
      <c r="W317" s="304">
        <f t="shared" ca="1" si="120"/>
        <v>126.50134481130485</v>
      </c>
      <c r="Y317" s="314" t="str">
        <f t="shared" ca="1" si="138"/>
        <v/>
      </c>
      <c r="Z317" s="315" t="str">
        <f t="shared" ca="1" si="139"/>
        <v/>
      </c>
      <c r="AA317" s="316" t="str">
        <f t="shared" ca="1" si="140"/>
        <v/>
      </c>
      <c r="AC317" s="310" t="e">
        <f t="shared" ca="1" si="141"/>
        <v>#N/A</v>
      </c>
      <c r="AD317" s="323" t="e">
        <f t="shared" ca="1" si="142"/>
        <v>#N/A</v>
      </c>
      <c r="AE317" s="324">
        <f t="shared" ca="1" si="121"/>
        <v>324.14305874543197</v>
      </c>
      <c r="AG317" s="306">
        <f t="shared" ca="1" si="143"/>
        <v>10.193526788984942</v>
      </c>
      <c r="AH317" s="304">
        <f t="shared" ca="1" si="144"/>
        <v>19.737304805724399</v>
      </c>
    </row>
    <row r="318" spans="1:34" x14ac:dyDescent="0.2">
      <c r="A318" s="347">
        <f t="shared" ca="1" si="122"/>
        <v>0.01</v>
      </c>
      <c r="B318" s="304">
        <f t="shared" ca="1" si="123"/>
        <v>3.139999999999977</v>
      </c>
      <c r="D318" s="306">
        <f t="shared" ca="1" si="124"/>
        <v>4.3300671120242695</v>
      </c>
      <c r="E318" s="307">
        <f t="shared" ca="1" si="125"/>
        <v>8.3856044003788863</v>
      </c>
      <c r="F318" s="304">
        <f t="shared" ca="1" si="126"/>
        <v>9.4375760846886916</v>
      </c>
      <c r="G318" s="306">
        <f t="shared" ca="1" si="127"/>
        <v>41.645703653131129</v>
      </c>
      <c r="H318" s="307">
        <f t="shared" ca="1" si="128"/>
        <v>174.90351753694802</v>
      </c>
      <c r="I318" s="304">
        <f t="shared" ca="1" si="129"/>
        <v>179.79322868106547</v>
      </c>
      <c r="J318" s="306">
        <f t="shared" ca="1" si="130"/>
        <v>71.817960831464745</v>
      </c>
      <c r="K318" s="307">
        <f t="shared" ca="1" si="131"/>
        <v>325.89167464058141</v>
      </c>
      <c r="L318" s="304">
        <f t="shared" ca="1" si="116"/>
        <v>333.7112570741844</v>
      </c>
      <c r="M318" s="306">
        <f t="shared" ca="1" si="132"/>
        <v>1.3370422758329648</v>
      </c>
      <c r="N318" s="304">
        <f t="shared" ca="1" si="133"/>
        <v>76.606879435795349</v>
      </c>
      <c r="P318" s="310">
        <f t="shared" ca="1" si="134"/>
        <v>8</v>
      </c>
      <c r="Q318" s="304">
        <f t="shared" ca="1" si="135"/>
        <v>279.26086956523659</v>
      </c>
      <c r="R318" s="306">
        <f t="shared" ca="1" si="136"/>
        <v>0.14014801919037362</v>
      </c>
      <c r="S318" s="307">
        <f t="shared" ca="1" si="137"/>
        <v>8.167329622362649</v>
      </c>
      <c r="T318" s="304">
        <f t="shared" ca="1" si="117"/>
        <v>80.12150359537759</v>
      </c>
      <c r="U318" s="311">
        <f t="shared" ca="1" si="118"/>
        <v>0</v>
      </c>
      <c r="V318" s="306">
        <f t="shared" ca="1" si="119"/>
        <v>1.1857183480237876</v>
      </c>
      <c r="W318" s="304">
        <f t="shared" ca="1" si="120"/>
        <v>126.60820039558783</v>
      </c>
      <c r="Y318" s="314" t="str">
        <f t="shared" ca="1" si="138"/>
        <v/>
      </c>
      <c r="Z318" s="315" t="str">
        <f t="shared" ca="1" si="139"/>
        <v/>
      </c>
      <c r="AA318" s="316" t="str">
        <f t="shared" ca="1" si="140"/>
        <v/>
      </c>
      <c r="AC318" s="310" t="e">
        <f t="shared" ca="1" si="141"/>
        <v>#N/A</v>
      </c>
      <c r="AD318" s="323" t="e">
        <f t="shared" ca="1" si="142"/>
        <v>#N/A</v>
      </c>
      <c r="AE318" s="324">
        <f t="shared" ca="1" si="121"/>
        <v>325.89167464058141</v>
      </c>
      <c r="AG318" s="306">
        <f t="shared" ca="1" si="143"/>
        <v>9.1602383722292764</v>
      </c>
      <c r="AH318" s="304">
        <f t="shared" ca="1" si="144"/>
        <v>18.703729593044315</v>
      </c>
    </row>
    <row r="319" spans="1:34" x14ac:dyDescent="0.2">
      <c r="A319" s="347">
        <f t="shared" ca="1" si="122"/>
        <v>0.01</v>
      </c>
      <c r="B319" s="304">
        <f t="shared" ca="1" si="123"/>
        <v>3.1499999999999768</v>
      </c>
      <c r="D319" s="306">
        <f t="shared" ca="1" si="124"/>
        <v>4.0932662805420064</v>
      </c>
      <c r="E319" s="307">
        <f t="shared" ca="1" si="125"/>
        <v>7.3808890445257251</v>
      </c>
      <c r="F319" s="304">
        <f t="shared" ca="1" si="126"/>
        <v>8.4399260619404757</v>
      </c>
      <c r="G319" s="306">
        <f t="shared" ca="1" si="127"/>
        <v>41.686636315936546</v>
      </c>
      <c r="H319" s="307">
        <f t="shared" ca="1" si="128"/>
        <v>174.97732642739328</v>
      </c>
      <c r="I319" s="304">
        <f t="shared" ca="1" si="129"/>
        <v>179.87451295560388</v>
      </c>
      <c r="J319" s="306">
        <f t="shared" ca="1" si="130"/>
        <v>72.23462253131008</v>
      </c>
      <c r="K319" s="307">
        <f t="shared" ca="1" si="131"/>
        <v>327.64107886040313</v>
      </c>
      <c r="L319" s="304">
        <f t="shared" ca="1" si="116"/>
        <v>335.50934003250899</v>
      </c>
      <c r="M319" s="306">
        <f t="shared" ca="1" si="132"/>
        <v>1.3369159488132425</v>
      </c>
      <c r="N319" s="304">
        <f t="shared" ca="1" si="133"/>
        <v>76.599641430726791</v>
      </c>
      <c r="P319" s="310">
        <f t="shared" ca="1" si="134"/>
        <v>8</v>
      </c>
      <c r="Q319" s="304">
        <f t="shared" ca="1" si="135"/>
        <v>270.91304347828031</v>
      </c>
      <c r="R319" s="306">
        <f t="shared" ca="1" si="136"/>
        <v>0.13595863421691121</v>
      </c>
      <c r="S319" s="307">
        <f t="shared" ca="1" si="137"/>
        <v>8.1659700360204805</v>
      </c>
      <c r="T319" s="304">
        <f t="shared" ca="1" si="117"/>
        <v>80.108166053360918</v>
      </c>
      <c r="U319" s="311">
        <f t="shared" ca="1" si="118"/>
        <v>0</v>
      </c>
      <c r="V319" s="306">
        <f t="shared" ca="1" si="119"/>
        <v>1.1855108807217789</v>
      </c>
      <c r="W319" s="304">
        <f t="shared" ca="1" si="120"/>
        <v>126.70053216154881</v>
      </c>
      <c r="Y319" s="314" t="str">
        <f t="shared" ca="1" si="138"/>
        <v/>
      </c>
      <c r="Z319" s="315" t="str">
        <f t="shared" ca="1" si="139"/>
        <v/>
      </c>
      <c r="AA319" s="316" t="str">
        <f t="shared" ca="1" si="140"/>
        <v/>
      </c>
      <c r="AC319" s="310" t="e">
        <f t="shared" ca="1" si="141"/>
        <v>#N/A</v>
      </c>
      <c r="AD319" s="323" t="e">
        <f t="shared" ca="1" si="142"/>
        <v>#N/A</v>
      </c>
      <c r="AE319" s="324">
        <f t="shared" ca="1" si="121"/>
        <v>327.64107886040313</v>
      </c>
      <c r="AG319" s="306">
        <f t="shared" ca="1" si="143"/>
        <v>8.1282839273255938</v>
      </c>
      <c r="AH319" s="304">
        <f t="shared" ca="1" si="144"/>
        <v>17.671488193828409</v>
      </c>
    </row>
    <row r="320" spans="1:34" x14ac:dyDescent="0.2">
      <c r="A320" s="347">
        <f t="shared" ca="1" si="122"/>
        <v>0.01</v>
      </c>
      <c r="B320" s="304">
        <f t="shared" ca="1" si="123"/>
        <v>3.1599999999999766</v>
      </c>
      <c r="D320" s="306">
        <f t="shared" ca="1" si="124"/>
        <v>3.8565246575018035</v>
      </c>
      <c r="E320" s="307">
        <f t="shared" ca="1" si="125"/>
        <v>6.3775467417602787</v>
      </c>
      <c r="F320" s="304">
        <f t="shared" ca="1" si="126"/>
        <v>7.4529111679434736</v>
      </c>
      <c r="G320" s="306">
        <f t="shared" ca="1" si="127"/>
        <v>41.725201562511565</v>
      </c>
      <c r="H320" s="307">
        <f t="shared" ca="1" si="128"/>
        <v>175.04110189481088</v>
      </c>
      <c r="I320" s="304">
        <f t="shared" ca="1" si="129"/>
        <v>179.94549118547479</v>
      </c>
      <c r="J320" s="306">
        <f t="shared" ca="1" si="130"/>
        <v>72.651681720702314</v>
      </c>
      <c r="K320" s="307">
        <f t="shared" ca="1" si="131"/>
        <v>329.39117100201418</v>
      </c>
      <c r="L320" s="304">
        <f t="shared" ca="1" si="116"/>
        <v>337.30818310696878</v>
      </c>
      <c r="M320" s="306">
        <f t="shared" ca="1" si="132"/>
        <v>1.3367896046272327</v>
      </c>
      <c r="N320" s="304">
        <f t="shared" ca="1" si="133"/>
        <v>76.592402442102426</v>
      </c>
      <c r="P320" s="310">
        <f t="shared" ca="1" si="134"/>
        <v>8</v>
      </c>
      <c r="Q320" s="304">
        <f t="shared" ca="1" si="135"/>
        <v>262.56521739132393</v>
      </c>
      <c r="R320" s="306">
        <f t="shared" ca="1" si="136"/>
        <v>0.13176924924344874</v>
      </c>
      <c r="S320" s="307">
        <f t="shared" ca="1" si="137"/>
        <v>8.1646523435280454</v>
      </c>
      <c r="T320" s="304">
        <f t="shared" ca="1" si="117"/>
        <v>80.09523949001013</v>
      </c>
      <c r="U320" s="311">
        <f t="shared" ca="1" si="118"/>
        <v>0</v>
      </c>
      <c r="V320" s="306">
        <f t="shared" ca="1" si="119"/>
        <v>1.1853033675643934</v>
      </c>
      <c r="W320" s="304">
        <f t="shared" ca="1" si="120"/>
        <v>126.77834828378083</v>
      </c>
      <c r="Y320" s="314" t="str">
        <f t="shared" ca="1" si="138"/>
        <v/>
      </c>
      <c r="Z320" s="315" t="str">
        <f t="shared" ca="1" si="139"/>
        <v/>
      </c>
      <c r="AA320" s="316" t="str">
        <f t="shared" ca="1" si="140"/>
        <v/>
      </c>
      <c r="AC320" s="310" t="e">
        <f t="shared" ca="1" si="141"/>
        <v>#N/A</v>
      </c>
      <c r="AD320" s="323" t="e">
        <f t="shared" ca="1" si="142"/>
        <v>#N/A</v>
      </c>
      <c r="AE320" s="324">
        <f t="shared" ca="1" si="121"/>
        <v>329.39117100201418</v>
      </c>
      <c r="AG320" s="306">
        <f t="shared" ca="1" si="143"/>
        <v>7.0976793649180099</v>
      </c>
      <c r="AH320" s="304">
        <f t="shared" ca="1" si="144"/>
        <v>16.640596502246947</v>
      </c>
    </row>
    <row r="321" spans="1:34" x14ac:dyDescent="0.2">
      <c r="A321" s="347">
        <f t="shared" ca="1" si="122"/>
        <v>0.01</v>
      </c>
      <c r="B321" s="304">
        <f t="shared" ca="1" si="123"/>
        <v>3.1699999999999764</v>
      </c>
      <c r="D321" s="306">
        <f t="shared" ca="1" si="124"/>
        <v>3.6198464313465957</v>
      </c>
      <c r="E321" s="307">
        <f t="shared" ca="1" si="125"/>
        <v>5.3755925029776481</v>
      </c>
      <c r="F321" s="304">
        <f t="shared" ca="1" si="126"/>
        <v>6.4807625280210797</v>
      </c>
      <c r="G321" s="306">
        <f t="shared" ca="1" si="127"/>
        <v>41.761400026825029</v>
      </c>
      <c r="H321" s="307">
        <f t="shared" ca="1" si="128"/>
        <v>175.09485781984066</v>
      </c>
      <c r="I321" s="304">
        <f t="shared" ca="1" si="129"/>
        <v>180.00617702498633</v>
      </c>
      <c r="J321" s="306">
        <f t="shared" ca="1" si="130"/>
        <v>73.069114728648998</v>
      </c>
      <c r="K321" s="307">
        <f t="shared" ca="1" si="131"/>
        <v>331.14185080058741</v>
      </c>
      <c r="L321" s="304">
        <f t="shared" ca="1" si="116"/>
        <v>339.10768330851329</v>
      </c>
      <c r="M321" s="306">
        <f t="shared" ca="1" si="132"/>
        <v>1.3366632360563013</v>
      </c>
      <c r="N321" s="304">
        <f t="shared" ca="1" si="133"/>
        <v>76.585162056324947</v>
      </c>
      <c r="P321" s="310">
        <f t="shared" ca="1" si="134"/>
        <v>8</v>
      </c>
      <c r="Q321" s="304">
        <f t="shared" ca="1" si="135"/>
        <v>254.2173913043676</v>
      </c>
      <c r="R321" s="306">
        <f t="shared" ca="1" si="136"/>
        <v>0.1275798642699863</v>
      </c>
      <c r="S321" s="307">
        <f t="shared" ca="1" si="137"/>
        <v>8.1633765448853453</v>
      </c>
      <c r="T321" s="304">
        <f t="shared" ca="1" si="117"/>
        <v>80.082723905325238</v>
      </c>
      <c r="U321" s="311">
        <f t="shared" ca="1" si="118"/>
        <v>0</v>
      </c>
      <c r="V321" s="306">
        <f t="shared" ca="1" si="119"/>
        <v>1.1850958204701378</v>
      </c>
      <c r="W321" s="304">
        <f t="shared" ca="1" si="120"/>
        <v>126.84165968832302</v>
      </c>
      <c r="Y321" s="314" t="str">
        <f t="shared" ca="1" si="138"/>
        <v/>
      </c>
      <c r="Z321" s="315" t="str">
        <f t="shared" ca="1" si="139"/>
        <v/>
      </c>
      <c r="AA321" s="316" t="str">
        <f t="shared" ca="1" si="140"/>
        <v/>
      </c>
      <c r="AC321" s="310" t="e">
        <f t="shared" ca="1" si="141"/>
        <v>#N/A</v>
      </c>
      <c r="AD321" s="323" t="e">
        <f t="shared" ca="1" si="142"/>
        <v>#N/A</v>
      </c>
      <c r="AE321" s="324">
        <f t="shared" ca="1" si="121"/>
        <v>331.14185080058741</v>
      </c>
      <c r="AG321" s="306">
        <f t="shared" ca="1" si="143"/>
        <v>6.0684402250814067</v>
      </c>
      <c r="AH321" s="304">
        <f t="shared" ca="1" si="144"/>
        <v>15.611070041897309</v>
      </c>
    </row>
    <row r="322" spans="1:34" x14ac:dyDescent="0.2">
      <c r="A322" s="347">
        <f t="shared" ca="1" si="122"/>
        <v>0.01</v>
      </c>
      <c r="B322" s="304">
        <f t="shared" ca="1" si="123"/>
        <v>3.1799999999999762</v>
      </c>
      <c r="D322" s="306">
        <f t="shared" ca="1" si="124"/>
        <v>3.3832356834414825</v>
      </c>
      <c r="E322" s="307">
        <f t="shared" ca="1" si="125"/>
        <v>4.3750409848013589</v>
      </c>
      <c r="F322" s="304">
        <f t="shared" ca="1" si="126"/>
        <v>5.5305756760398284</v>
      </c>
      <c r="G322" s="306">
        <f t="shared" ca="1" si="127"/>
        <v>41.795232383659446</v>
      </c>
      <c r="H322" s="307">
        <f t="shared" ca="1" si="128"/>
        <v>175.13860822968866</v>
      </c>
      <c r="I322" s="304">
        <f t="shared" ca="1" si="129"/>
        <v>180.05658428015474</v>
      </c>
      <c r="J322" s="306">
        <f t="shared" ca="1" si="130"/>
        <v>73.486897890701414</v>
      </c>
      <c r="K322" s="307">
        <f t="shared" ca="1" si="131"/>
        <v>332.89301813083506</v>
      </c>
      <c r="L322" s="304">
        <f t="shared" ca="1" si="116"/>
        <v>340.90773778524721</v>
      </c>
      <c r="M322" s="306">
        <f t="shared" ca="1" si="132"/>
        <v>1.336536835890799</v>
      </c>
      <c r="N322" s="304">
        <f t="shared" ca="1" si="133"/>
        <v>76.577919860311908</v>
      </c>
      <c r="P322" s="310">
        <f t="shared" ca="1" si="134"/>
        <v>8</v>
      </c>
      <c r="Q322" s="304">
        <f t="shared" ca="1" si="135"/>
        <v>245.86956521741126</v>
      </c>
      <c r="R322" s="306">
        <f t="shared" ca="1" si="136"/>
        <v>0.12339047929652386</v>
      </c>
      <c r="S322" s="307">
        <f t="shared" ca="1" si="137"/>
        <v>8.1621426400923802</v>
      </c>
      <c r="T322" s="304">
        <f t="shared" ca="1" si="117"/>
        <v>80.070619299306259</v>
      </c>
      <c r="U322" s="311">
        <f t="shared" ca="1" si="118"/>
        <v>0</v>
      </c>
      <c r="V322" s="306">
        <f t="shared" ca="1" si="119"/>
        <v>1.1848882513327894</v>
      </c>
      <c r="W322" s="304">
        <f t="shared" ca="1" si="120"/>
        <v>126.89048003299204</v>
      </c>
      <c r="Y322" s="314" t="str">
        <f t="shared" ca="1" si="138"/>
        <v/>
      </c>
      <c r="Z322" s="315" t="str">
        <f t="shared" ca="1" si="139"/>
        <v/>
      </c>
      <c r="AA322" s="316" t="str">
        <f t="shared" ca="1" si="140"/>
        <v/>
      </c>
      <c r="AC322" s="310" t="e">
        <f t="shared" ca="1" si="141"/>
        <v>#N/A</v>
      </c>
      <c r="AD322" s="323" t="e">
        <f t="shared" ca="1" si="142"/>
        <v>#N/A</v>
      </c>
      <c r="AE322" s="324">
        <f t="shared" ca="1" si="121"/>
        <v>332.89301813083506</v>
      </c>
      <c r="AG322" s="306">
        <f t="shared" ca="1" si="143"/>
        <v>5.0405816786223525</v>
      </c>
      <c r="AH322" s="304">
        <f t="shared" ca="1" si="144"/>
        <v>14.582923967099536</v>
      </c>
    </row>
    <row r="323" spans="1:34" x14ac:dyDescent="0.2">
      <c r="A323" s="347">
        <f t="shared" ca="1" si="122"/>
        <v>0.01</v>
      </c>
      <c r="B323" s="304">
        <f t="shared" ca="1" si="123"/>
        <v>3.189999999999976</v>
      </c>
      <c r="D323" s="306">
        <f t="shared" ca="1" si="124"/>
        <v>3.1466963883500476</v>
      </c>
      <c r="E323" s="307">
        <f t="shared" ca="1" si="125"/>
        <v>3.3759064909154581</v>
      </c>
      <c r="F323" s="304">
        <f t="shared" ca="1" si="126"/>
        <v>4.6150235964575907</v>
      </c>
      <c r="G323" s="306">
        <f t="shared" ca="1" si="127"/>
        <v>41.826699347542949</v>
      </c>
      <c r="H323" s="307">
        <f t="shared" ca="1" si="128"/>
        <v>175.17236729459782</v>
      </c>
      <c r="I323" s="304">
        <f t="shared" ca="1" si="129"/>
        <v>180.09672690502521</v>
      </c>
      <c r="J323" s="306">
        <f t="shared" ca="1" si="130"/>
        <v>73.905007549357421</v>
      </c>
      <c r="K323" s="307">
        <f t="shared" ca="1" si="131"/>
        <v>334.64457300845652</v>
      </c>
      <c r="L323" s="304">
        <f t="shared" ca="1" si="116"/>
        <v>342.70824382393073</v>
      </c>
      <c r="M323" s="306">
        <f t="shared" ca="1" si="132"/>
        <v>1.3364103969276997</v>
      </c>
      <c r="N323" s="304">
        <f t="shared" ca="1" si="133"/>
        <v>76.570675441360308</v>
      </c>
      <c r="P323" s="310">
        <f t="shared" ca="1" si="134"/>
        <v>8</v>
      </c>
      <c r="Q323" s="304">
        <f t="shared" ca="1" si="135"/>
        <v>237.5217391304549</v>
      </c>
      <c r="R323" s="306">
        <f t="shared" ca="1" si="136"/>
        <v>0.1192010943230614</v>
      </c>
      <c r="S323" s="307">
        <f t="shared" ca="1" si="137"/>
        <v>8.1609506291491503</v>
      </c>
      <c r="T323" s="304">
        <f t="shared" ca="1" si="117"/>
        <v>80.058925671953162</v>
      </c>
      <c r="U323" s="311">
        <f t="shared" ca="1" si="118"/>
        <v>0</v>
      </c>
      <c r="V323" s="306">
        <f t="shared" ca="1" si="119"/>
        <v>1.1846806720212364</v>
      </c>
      <c r="W323" s="304">
        <f t="shared" ca="1" si="120"/>
        <v>126.92482568757364</v>
      </c>
      <c r="Y323" s="314" t="str">
        <f t="shared" ca="1" si="138"/>
        <v/>
      </c>
      <c r="Z323" s="315" t="str">
        <f t="shared" ca="1" si="139"/>
        <v/>
      </c>
      <c r="AA323" s="316" t="str">
        <f t="shared" ca="1" si="140"/>
        <v/>
      </c>
      <c r="AC323" s="310" t="e">
        <f t="shared" ca="1" si="141"/>
        <v>#N/A</v>
      </c>
      <c r="AD323" s="323" t="e">
        <f t="shared" ca="1" si="142"/>
        <v>#N/A</v>
      </c>
      <c r="AE323" s="324">
        <f t="shared" ca="1" si="121"/>
        <v>334.64457300845652</v>
      </c>
      <c r="AG323" s="306">
        <f t="shared" ca="1" si="143"/>
        <v>4.0141185284279484</v>
      </c>
      <c r="AH323" s="304">
        <f t="shared" ca="1" si="144"/>
        <v>13.556173064239836</v>
      </c>
    </row>
    <row r="324" spans="1:34" x14ac:dyDescent="0.2">
      <c r="A324" s="347">
        <f t="shared" ca="1" si="122"/>
        <v>0.01</v>
      </c>
      <c r="B324" s="304">
        <f t="shared" ca="1" si="123"/>
        <v>3.1999999999999758</v>
      </c>
      <c r="D324" s="306">
        <f t="shared" ca="1" si="124"/>
        <v>2.9102324141098954</v>
      </c>
      <c r="E324" s="307">
        <f t="shared" ca="1" si="125"/>
        <v>2.3782029734447576</v>
      </c>
      <c r="F324" s="304">
        <f t="shared" ca="1" si="126"/>
        <v>3.7583642834399908</v>
      </c>
      <c r="G324" s="306">
        <f t="shared" ca="1" si="127"/>
        <v>41.855801671684048</v>
      </c>
      <c r="H324" s="307">
        <f t="shared" ca="1" si="128"/>
        <v>175.19614932433225</v>
      </c>
      <c r="I324" s="304">
        <f t="shared" ca="1" si="129"/>
        <v>180.12661899800671</v>
      </c>
      <c r="J324" s="306">
        <f t="shared" ca="1" si="130"/>
        <v>74.32342005445355</v>
      </c>
      <c r="K324" s="307">
        <f t="shared" ca="1" si="131"/>
        <v>336.39641559155115</v>
      </c>
      <c r="L324" s="304">
        <f t="shared" ref="L324:L387" ca="1" si="145">SQRT(pos_x^2+pos_z^2)</f>
        <v>344.50909885144449</v>
      </c>
      <c r="M324" s="306">
        <f t="shared" ca="1" si="132"/>
        <v>1.3362839119682468</v>
      </c>
      <c r="N324" s="304">
        <f t="shared" ca="1" si="133"/>
        <v>76.563428387011783</v>
      </c>
      <c r="P324" s="310">
        <f t="shared" ca="1" si="134"/>
        <v>8</v>
      </c>
      <c r="Q324" s="304">
        <f t="shared" ca="1" si="135"/>
        <v>229.17391304349857</v>
      </c>
      <c r="R324" s="306">
        <f t="shared" ca="1" si="136"/>
        <v>0.11501170934959895</v>
      </c>
      <c r="S324" s="307">
        <f t="shared" ca="1" si="137"/>
        <v>8.1598005120556536</v>
      </c>
      <c r="T324" s="304">
        <f t="shared" ref="T324:T387" ca="1" si="146">m*g</f>
        <v>80.047643023265962</v>
      </c>
      <c r="U324" s="311">
        <f t="shared" ref="U324:U387" ca="1" si="147">IF(pos_xz&lt;L_rampe,Poids*COS(Beta),0)</f>
        <v>0</v>
      </c>
      <c r="V324" s="306">
        <f t="shared" ref="V324:V387" ca="1" si="148">Rho_moyen*(20000-Alt_rampe-pos_z)/(20000+Alt_rampe+pos_z)</f>
        <v>1.1844730943793256</v>
      </c>
      <c r="W324" s="304">
        <f t="shared" ref="W324:W387" ca="1" si="149">1/2*Rho*Sref*Cx*vit_xz^2</f>
        <v>126.9447157138833</v>
      </c>
      <c r="Y324" s="314" t="str">
        <f t="shared" ca="1" si="138"/>
        <v/>
      </c>
      <c r="Z324" s="315" t="str">
        <f t="shared" ca="1" si="139"/>
        <v/>
      </c>
      <c r="AA324" s="316" t="str">
        <f t="shared" ca="1" si="140"/>
        <v/>
      </c>
      <c r="AC324" s="310" t="e">
        <f t="shared" ca="1" si="141"/>
        <v>#N/A</v>
      </c>
      <c r="AD324" s="323" t="e">
        <f t="shared" ca="1" si="142"/>
        <v>#N/A</v>
      </c>
      <c r="AE324" s="324">
        <f t="shared" ref="AE324:AE387" ca="1" si="150">IF(t&lt;T_para, pos_z, NA())</f>
        <v>336.39641559155115</v>
      </c>
      <c r="AG324" s="306">
        <f t="shared" ca="1" si="143"/>
        <v>2.9890652108614066</v>
      </c>
      <c r="AH324" s="304">
        <f t="shared" ca="1" si="144"/>
        <v>12.530831753160824</v>
      </c>
    </row>
    <row r="325" spans="1:34" x14ac:dyDescent="0.2">
      <c r="A325" s="347">
        <f t="shared" ref="A325:A388" ca="1" si="151">IF(B324+0.01&lt;=T_ini+ROUNDUP(Temps_fin_propu,0), 0.01, IF(K324&gt;0, 0.1, 0.0001))</f>
        <v>0.01</v>
      </c>
      <c r="B325" s="304">
        <f t="shared" ref="B325:B388" ca="1" si="152">B324+pas</f>
        <v>3.2099999999999755</v>
      </c>
      <c r="D325" s="306">
        <f t="shared" ref="D325:D388" ca="1" si="153">IF(AND(L324&lt;L_rampe,Poussee&lt;Poids*SIN(M324)),0,(-W324+Poussee)/m*COS(M324)-U324/m*SIN(M324))</f>
        <v>2.7093936855032377</v>
      </c>
      <c r="E325" s="307">
        <f t="shared" ref="E325:E388" ca="1" si="154">IF(AND(L324&lt;L_rampe,Poussee&lt;Poids*SIN(M324)),0,(-W324+Poussee)/m*SIN(M324)+U324/m*COS(M324)-Poids/m)</f>
        <v>1.5307298808220278</v>
      </c>
      <c r="F325" s="304">
        <f t="shared" ref="F325:F388" ca="1" si="155">SQRT(acc_x^2+acc_z^2)</f>
        <v>3.1119042580205187</v>
      </c>
      <c r="G325" s="306">
        <f t="shared" ref="G325:G388" ca="1" si="156">G324+acc_x*pas</f>
        <v>41.88289560853908</v>
      </c>
      <c r="H325" s="307">
        <f t="shared" ref="H325:H388" ca="1" si="157">H324+acc_z*pas</f>
        <v>175.21145662314046</v>
      </c>
      <c r="I325" s="304">
        <f t="shared" ref="I325:I388" ca="1" si="158">SQRT(vit_x^2+vit_z^2)</f>
        <v>180.14780452883244</v>
      </c>
      <c r="J325" s="306">
        <f t="shared" ref="J325:J388" ca="1" si="159">J324+0.5*(vit_x+G324)*pas*(K324&gt;=0)</f>
        <v>74.74211354085466</v>
      </c>
      <c r="K325" s="307">
        <f t="shared" ref="K325:K388" ca="1" si="160">K324+0.5*(vit_z+H324)*pas</f>
        <v>338.14845362128852</v>
      </c>
      <c r="L325" s="304">
        <f t="shared" ca="1" si="145"/>
        <v>346.31020808376809</v>
      </c>
      <c r="M325" s="306">
        <f t="shared" ref="M325:M388" ca="1" si="161">IF(AND(L324&gt;L_rampe,G325&gt;0),ATAN2(G325,H325),$M$4)</f>
        <v>1.3361573748901112</v>
      </c>
      <c r="N325" s="304">
        <f t="shared" ref="N325:N388" ca="1" si="162">DEGREES(Beta)</f>
        <v>76.556178346482696</v>
      </c>
      <c r="P325" s="310">
        <f t="shared" ref="P325:P388" ca="1" si="163">MATCH(t-pas/2-T_ini,CdP_t)</f>
        <v>9</v>
      </c>
      <c r="Q325" s="304">
        <f t="shared" ref="Q325:Q388" ca="1" si="164">(INDEX(CdP,2,i_P+1)-INDEX(CdP,2,i_P+0))/(INDEX(CdP,1,i_P+1)-INDEX(CdP,1,i_P+0))*(t-pas/2-T_ini-INDEX(CdP,1,i_P+0))+INDEX(CdP,2,i_P+0)</f>
        <v>222.07407407408843</v>
      </c>
      <c r="R325" s="306">
        <f t="shared" ref="R325:R388" ca="1" si="165">Poussee/(g*ISP)</f>
        <v>0.11144863096456581</v>
      </c>
      <c r="S325" s="307">
        <f t="shared" ref="S325:S388" ca="1" si="166">S324-Débit*pas</f>
        <v>8.1586860257460074</v>
      </c>
      <c r="T325" s="304">
        <f t="shared" ca="1" si="146"/>
        <v>80.036709912568341</v>
      </c>
      <c r="U325" s="311">
        <f t="shared" ca="1" si="147"/>
        <v>0</v>
      </c>
      <c r="V325" s="306">
        <f t="shared" ca="1" si="148"/>
        <v>1.1842655293444548</v>
      </c>
      <c r="W325" s="304">
        <f t="shared" ca="1" si="149"/>
        <v>126.95232778125693</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f t="shared" ca="1" si="150"/>
        <v>338.14845362128852</v>
      </c>
      <c r="AG325" s="306">
        <f t="shared" ref="AG325:AG388" ca="1" si="172">IF(AND(L324&lt;L_rampe,Poussee&lt;Poids*SIN(M324)),0,(-W324+Poussee)/m-Poids*SIN(M324)/m)</f>
        <v>2.1184088595526944</v>
      </c>
      <c r="AH325" s="304">
        <f t="shared" ref="AH325:AH388" ca="1" si="173">IF(AND(L324&lt;L_rampe,Poussee&lt;Poids*SIN(M324)), g*SIN(M324), (-W324+Poussee)/m)</f>
        <v>11.659887150946806</v>
      </c>
    </row>
    <row r="326" spans="1:34" x14ac:dyDescent="0.2">
      <c r="A326" s="347">
        <f t="shared" ca="1" si="151"/>
        <v>0.01</v>
      </c>
      <c r="B326" s="304">
        <f t="shared" ca="1" si="152"/>
        <v>3.2199999999999753</v>
      </c>
      <c r="D326" s="306">
        <f t="shared" ca="1" si="153"/>
        <v>2.5441943994936205</v>
      </c>
      <c r="E326" s="307">
        <f t="shared" ca="1" si="154"/>
        <v>0.83329483887999345</v>
      </c>
      <c r="F326" s="304">
        <f t="shared" ca="1" si="155"/>
        <v>2.677182367885822</v>
      </c>
      <c r="G326" s="306">
        <f t="shared" ca="1" si="156"/>
        <v>41.908337552534014</v>
      </c>
      <c r="H326" s="307">
        <f t="shared" ca="1" si="157"/>
        <v>175.21978957152928</v>
      </c>
      <c r="I326" s="304">
        <f t="shared" ca="1" si="158"/>
        <v>180.16182562881664</v>
      </c>
      <c r="J326" s="306">
        <f t="shared" ca="1" si="159"/>
        <v>75.16106970666003</v>
      </c>
      <c r="K326" s="307">
        <f t="shared" ca="1" si="160"/>
        <v>339.90060985226188</v>
      </c>
      <c r="L326" s="304">
        <f t="shared" ca="1" si="145"/>
        <v>348.11149216506618</v>
      </c>
      <c r="M326" s="306">
        <f t="shared" ca="1" si="161"/>
        <v>1.336030780645945</v>
      </c>
      <c r="N326" s="304">
        <f t="shared" ca="1" si="162"/>
        <v>76.548925030581316</v>
      </c>
      <c r="P326" s="310">
        <f t="shared" ca="1" si="163"/>
        <v>9</v>
      </c>
      <c r="Q326" s="304">
        <f t="shared" ca="1" si="164"/>
        <v>216.2222222222367</v>
      </c>
      <c r="R326" s="306">
        <f t="shared" ca="1" si="165"/>
        <v>0.1085118591679681</v>
      </c>
      <c r="S326" s="307">
        <f t="shared" ca="1" si="166"/>
        <v>8.1576009071543272</v>
      </c>
      <c r="T326" s="304">
        <f t="shared" ca="1" si="146"/>
        <v>80.02606489918395</v>
      </c>
      <c r="U326" s="311">
        <f t="shared" ca="1" si="147"/>
        <v>0</v>
      </c>
      <c r="V326" s="306">
        <f t="shared" ca="1" si="148"/>
        <v>1.1840579860682963</v>
      </c>
      <c r="W326" s="304">
        <f t="shared" ca="1" si="149"/>
        <v>126.94983828800561</v>
      </c>
      <c r="Y326" s="314" t="str">
        <f t="shared" ca="1" si="167"/>
        <v/>
      </c>
      <c r="Z326" s="315" t="str">
        <f t="shared" ca="1" si="168"/>
        <v/>
      </c>
      <c r="AA326" s="316" t="str">
        <f t="shared" ca="1" si="169"/>
        <v/>
      </c>
      <c r="AC326" s="310" t="e">
        <f t="shared" ca="1" si="170"/>
        <v>#N/A</v>
      </c>
      <c r="AD326" s="323" t="e">
        <f t="shared" ca="1" si="171"/>
        <v>#N/A</v>
      </c>
      <c r="AE326" s="324">
        <f t="shared" ca="1" si="150"/>
        <v>339.90060985226188</v>
      </c>
      <c r="AG326" s="306">
        <f t="shared" ca="1" si="172"/>
        <v>1.401965633825462</v>
      </c>
      <c r="AH326" s="304">
        <f t="shared" ca="1" si="173"/>
        <v>10.943155402796043</v>
      </c>
    </row>
    <row r="327" spans="1:34" x14ac:dyDescent="0.2">
      <c r="A327" s="347">
        <f t="shared" ca="1" si="151"/>
        <v>0.01</v>
      </c>
      <c r="B327" s="304">
        <f t="shared" ca="1" si="152"/>
        <v>3.2299999999999751</v>
      </c>
      <c r="D327" s="306">
        <f t="shared" ca="1" si="153"/>
        <v>2.3790543844741303</v>
      </c>
      <c r="E327" s="307">
        <f t="shared" ca="1" si="154"/>
        <v>0.13688486758109342</v>
      </c>
      <c r="F327" s="304">
        <f t="shared" ca="1" si="155"/>
        <v>2.3829891378808834</v>
      </c>
      <c r="G327" s="306">
        <f t="shared" ca="1" si="156"/>
        <v>41.932128096378754</v>
      </c>
      <c r="H327" s="307">
        <f t="shared" ca="1" si="157"/>
        <v>175.22115842020509</v>
      </c>
      <c r="I327" s="304">
        <f t="shared" ca="1" si="158"/>
        <v>180.16869241022349</v>
      </c>
      <c r="J327" s="306">
        <f t="shared" ca="1" si="159"/>
        <v>75.580272034904596</v>
      </c>
      <c r="K327" s="307">
        <f t="shared" ca="1" si="160"/>
        <v>341.65281459222058</v>
      </c>
      <c r="L327" s="304">
        <f t="shared" ca="1" si="145"/>
        <v>349.91287949953551</v>
      </c>
      <c r="M327" s="306">
        <f t="shared" ca="1" si="161"/>
        <v>1.3359041241871998</v>
      </c>
      <c r="N327" s="304">
        <f t="shared" ca="1" si="162"/>
        <v>76.541668150047144</v>
      </c>
      <c r="P327" s="310">
        <f t="shared" ca="1" si="163"/>
        <v>9</v>
      </c>
      <c r="Q327" s="304">
        <f t="shared" ca="1" si="164"/>
        <v>210.37037037038499</v>
      </c>
      <c r="R327" s="306">
        <f t="shared" ca="1" si="165"/>
        <v>0.10557508737137039</v>
      </c>
      <c r="S327" s="307">
        <f t="shared" ca="1" si="166"/>
        <v>8.1565451562806128</v>
      </c>
      <c r="T327" s="304">
        <f t="shared" ca="1" si="146"/>
        <v>80.015707983112819</v>
      </c>
      <c r="U327" s="311">
        <f t="shared" ca="1" si="147"/>
        <v>0</v>
      </c>
      <c r="V327" s="306">
        <f t="shared" ca="1" si="148"/>
        <v>1.1838504728017738</v>
      </c>
      <c r="W327" s="304">
        <f t="shared" ca="1" si="149"/>
        <v>126.9372653196862</v>
      </c>
      <c r="Y327" s="314" t="str">
        <f t="shared" ca="1" si="167"/>
        <v/>
      </c>
      <c r="Z327" s="315" t="str">
        <f t="shared" ca="1" si="168"/>
        <v/>
      </c>
      <c r="AA327" s="316" t="str">
        <f t="shared" ca="1" si="169"/>
        <v/>
      </c>
      <c r="AC327" s="310" t="e">
        <f t="shared" ca="1" si="170"/>
        <v>#N/A</v>
      </c>
      <c r="AD327" s="323" t="e">
        <f t="shared" ca="1" si="171"/>
        <v>#N/A</v>
      </c>
      <c r="AE327" s="324">
        <f t="shared" ca="1" si="150"/>
        <v>341.65281459222058</v>
      </c>
      <c r="AG327" s="306">
        <f t="shared" ca="1" si="172"/>
        <v>0.6865336286516861</v>
      </c>
      <c r="AH327" s="304">
        <f t="shared" ca="1" si="173"/>
        <v>10.227434591978545</v>
      </c>
    </row>
    <row r="328" spans="1:34" x14ac:dyDescent="0.2">
      <c r="A328" s="347">
        <f t="shared" ca="1" si="151"/>
        <v>0.01</v>
      </c>
      <c r="B328" s="304">
        <f t="shared" ca="1" si="152"/>
        <v>3.2399999999999749</v>
      </c>
      <c r="D328" s="306">
        <f t="shared" ca="1" si="153"/>
        <v>2.2139753238644868</v>
      </c>
      <c r="E328" s="307">
        <f t="shared" ca="1" si="154"/>
        <v>-0.55849432707933744</v>
      </c>
      <c r="F328" s="304">
        <f t="shared" ca="1" si="155"/>
        <v>2.283331480109855</v>
      </c>
      <c r="G328" s="306">
        <f t="shared" ca="1" si="156"/>
        <v>41.954267849617402</v>
      </c>
      <c r="H328" s="307">
        <f t="shared" ca="1" si="157"/>
        <v>175.21557347693428</v>
      </c>
      <c r="I328" s="304">
        <f t="shared" ca="1" si="158"/>
        <v>180.16841504450329</v>
      </c>
      <c r="J328" s="306">
        <f t="shared" ca="1" si="159"/>
        <v>75.999704014634574</v>
      </c>
      <c r="K328" s="307">
        <f t="shared" ca="1" si="160"/>
        <v>343.40499825170627</v>
      </c>
      <c r="L328" s="304">
        <f t="shared" ca="1" si="145"/>
        <v>351.71429859271637</v>
      </c>
      <c r="M328" s="306">
        <f t="shared" ca="1" si="161"/>
        <v>1.335777400462977</v>
      </c>
      <c r="N328" s="304">
        <f t="shared" ca="1" si="162"/>
        <v>76.534407415484992</v>
      </c>
      <c r="P328" s="310">
        <f t="shared" ca="1" si="163"/>
        <v>9</v>
      </c>
      <c r="Q328" s="304">
        <f t="shared" ca="1" si="164"/>
        <v>204.51851851853326</v>
      </c>
      <c r="R328" s="306">
        <f t="shared" ca="1" si="165"/>
        <v>0.10263831557477268</v>
      </c>
      <c r="S328" s="307">
        <f t="shared" ca="1" si="166"/>
        <v>8.1555187731248644</v>
      </c>
      <c r="T328" s="304">
        <f t="shared" ca="1" si="146"/>
        <v>80.005639164354918</v>
      </c>
      <c r="U328" s="311">
        <f t="shared" ca="1" si="147"/>
        <v>0</v>
      </c>
      <c r="V328" s="306">
        <f t="shared" ca="1" si="148"/>
        <v>1.1836429977779539</v>
      </c>
      <c r="W328" s="304">
        <f t="shared" ca="1" si="149"/>
        <v>126.914628237889</v>
      </c>
      <c r="Y328" s="314" t="str">
        <f t="shared" ca="1" si="167"/>
        <v/>
      </c>
      <c r="Z328" s="315" t="str">
        <f t="shared" ca="1" si="168"/>
        <v/>
      </c>
      <c r="AA328" s="316" t="str">
        <f t="shared" ca="1" si="169"/>
        <v/>
      </c>
      <c r="AC328" s="310" t="e">
        <f t="shared" ca="1" si="170"/>
        <v>#N/A</v>
      </c>
      <c r="AD328" s="323" t="e">
        <f t="shared" ca="1" si="171"/>
        <v>#N/A</v>
      </c>
      <c r="AE328" s="324">
        <f t="shared" ca="1" si="150"/>
        <v>343.40499825170627</v>
      </c>
      <c r="AG328" s="306">
        <f t="shared" ca="1" si="172"/>
        <v>-2.7881237368417189E-2</v>
      </c>
      <c r="AH328" s="304">
        <f t="shared" ca="1" si="173"/>
        <v>9.5127306253653625</v>
      </c>
    </row>
    <row r="329" spans="1:34" x14ac:dyDescent="0.2">
      <c r="A329" s="347">
        <f t="shared" ca="1" si="151"/>
        <v>0.01</v>
      </c>
      <c r="B329" s="304">
        <f t="shared" ca="1" si="152"/>
        <v>3.2499999999999747</v>
      </c>
      <c r="D329" s="306">
        <f t="shared" ca="1" si="153"/>
        <v>2.0489588494763673</v>
      </c>
      <c r="E329" s="307">
        <f t="shared" ca="1" si="154"/>
        <v>-1.2528372072064435</v>
      </c>
      <c r="F329" s="304">
        <f t="shared" ca="1" si="155"/>
        <v>2.4016314110638124</v>
      </c>
      <c r="G329" s="306">
        <f t="shared" ca="1" si="156"/>
        <v>41.974757438112164</v>
      </c>
      <c r="H329" s="307">
        <f t="shared" ca="1" si="157"/>
        <v>175.20304510486221</v>
      </c>
      <c r="I329" s="304">
        <f t="shared" ca="1" si="158"/>
        <v>180.16100376053842</v>
      </c>
      <c r="J329" s="306">
        <f t="shared" ca="1" si="159"/>
        <v>76.419349141073226</v>
      </c>
      <c r="K329" s="307">
        <f t="shared" ca="1" si="160"/>
        <v>345.15709134461525</v>
      </c>
      <c r="L329" s="304">
        <f t="shared" ca="1" si="145"/>
        <v>353.51567805207782</v>
      </c>
      <c r="M329" s="306">
        <f t="shared" ca="1" si="161"/>
        <v>1.3356506044188814</v>
      </c>
      <c r="N329" s="304">
        <f t="shared" ca="1" si="162"/>
        <v>76.527142537299369</v>
      </c>
      <c r="P329" s="310">
        <f t="shared" ca="1" si="163"/>
        <v>9</v>
      </c>
      <c r="Q329" s="304">
        <f t="shared" ca="1" si="164"/>
        <v>198.66666666668152</v>
      </c>
      <c r="R329" s="306">
        <f t="shared" ca="1" si="165"/>
        <v>9.9701543778174959E-2</v>
      </c>
      <c r="S329" s="307">
        <f t="shared" ca="1" si="166"/>
        <v>8.1545217576870819</v>
      </c>
      <c r="T329" s="304">
        <f t="shared" ca="1" si="146"/>
        <v>79.995858442910276</v>
      </c>
      <c r="U329" s="311">
        <f t="shared" ca="1" si="147"/>
        <v>0</v>
      </c>
      <c r="V329" s="306">
        <f t="shared" ca="1" si="148"/>
        <v>1.1834355692119938</v>
      </c>
      <c r="W329" s="304">
        <f t="shared" ca="1" si="149"/>
        <v>126.8819476702658</v>
      </c>
      <c r="Y329" s="314" t="str">
        <f t="shared" ca="1" si="167"/>
        <v/>
      </c>
      <c r="Z329" s="315" t="str">
        <f t="shared" ca="1" si="168"/>
        <v/>
      </c>
      <c r="AA329" s="316" t="str">
        <f t="shared" ca="1" si="169"/>
        <v/>
      </c>
      <c r="AC329" s="310" t="e">
        <f t="shared" ca="1" si="170"/>
        <v>#N/A</v>
      </c>
      <c r="AD329" s="323" t="e">
        <f t="shared" ca="1" si="171"/>
        <v>#N/A</v>
      </c>
      <c r="AE329" s="324">
        <f t="shared" ca="1" si="150"/>
        <v>345.15709134461525</v>
      </c>
      <c r="AG329" s="306">
        <f t="shared" ca="1" si="172"/>
        <v>-0.74127322104239468</v>
      </c>
      <c r="AH329" s="304">
        <f t="shared" ca="1" si="173"/>
        <v>8.7990492343899263</v>
      </c>
    </row>
    <row r="330" spans="1:34" x14ac:dyDescent="0.2">
      <c r="A330" s="347">
        <f t="shared" ca="1" si="151"/>
        <v>0.01</v>
      </c>
      <c r="B330" s="304">
        <f t="shared" ca="1" si="152"/>
        <v>3.2599999999999745</v>
      </c>
      <c r="D330" s="306">
        <f t="shared" ca="1" si="153"/>
        <v>1.8840065416728593</v>
      </c>
      <c r="E330" s="307">
        <f t="shared" ca="1" si="154"/>
        <v>-1.9461384021040997</v>
      </c>
      <c r="F330" s="304">
        <f t="shared" ca="1" si="155"/>
        <v>2.7086777824633232</v>
      </c>
      <c r="G330" s="306">
        <f t="shared" ca="1" si="156"/>
        <v>41.993597503528889</v>
      </c>
      <c r="H330" s="307">
        <f t="shared" ca="1" si="157"/>
        <v>175.18358372084117</v>
      </c>
      <c r="I330" s="304">
        <f t="shared" ca="1" si="158"/>
        <v>180.14646884289837</v>
      </c>
      <c r="J330" s="306">
        <f t="shared" ca="1" si="159"/>
        <v>76.83919091578143</v>
      </c>
      <c r="K330" s="307">
        <f t="shared" ca="1" si="160"/>
        <v>346.9090244887438</v>
      </c>
      <c r="L330" s="304">
        <f t="shared" ca="1" si="145"/>
        <v>355.31694658758363</v>
      </c>
      <c r="M330" s="306">
        <f t="shared" ca="1" si="161"/>
        <v>1.3355237309958723</v>
      </c>
      <c r="N330" s="304">
        <f t="shared" ca="1" si="162"/>
        <v>76.519873225628572</v>
      </c>
      <c r="P330" s="310">
        <f t="shared" ca="1" si="163"/>
        <v>9</v>
      </c>
      <c r="Q330" s="304">
        <f t="shared" ca="1" si="164"/>
        <v>192.81481481482979</v>
      </c>
      <c r="R330" s="306">
        <f t="shared" ca="1" si="165"/>
        <v>9.6764771981577249E-2</v>
      </c>
      <c r="S330" s="307">
        <f t="shared" ca="1" si="166"/>
        <v>8.1535541099672653</v>
      </c>
      <c r="T330" s="304">
        <f t="shared" ca="1" si="146"/>
        <v>79.986365818778879</v>
      </c>
      <c r="U330" s="311">
        <f t="shared" ca="1" si="147"/>
        <v>0</v>
      </c>
      <c r="V330" s="306">
        <f t="shared" ca="1" si="148"/>
        <v>1.1832281953010906</v>
      </c>
      <c r="W330" s="304">
        <f t="shared" ca="1" si="149"/>
        <v>126.83924550054454</v>
      </c>
      <c r="Y330" s="314" t="str">
        <f t="shared" ca="1" si="167"/>
        <v/>
      </c>
      <c r="Z330" s="315" t="str">
        <f t="shared" ca="1" si="168"/>
        <v/>
      </c>
      <c r="AA330" s="316" t="str">
        <f t="shared" ca="1" si="169"/>
        <v/>
      </c>
      <c r="AC330" s="310" t="e">
        <f t="shared" ca="1" si="170"/>
        <v>#N/A</v>
      </c>
      <c r="AD330" s="323" t="e">
        <f t="shared" ca="1" si="171"/>
        <v>#N/A</v>
      </c>
      <c r="AE330" s="324">
        <f t="shared" ca="1" si="150"/>
        <v>346.9090244887438</v>
      </c>
      <c r="AG330" s="306">
        <f t="shared" ca="1" si="172"/>
        <v>-1.4536367536767525</v>
      </c>
      <c r="AH330" s="304">
        <f t="shared" ca="1" si="173"/>
        <v>8.0863959759541828</v>
      </c>
    </row>
    <row r="331" spans="1:34" x14ac:dyDescent="0.2">
      <c r="A331" s="347">
        <f t="shared" ca="1" si="151"/>
        <v>0.01</v>
      </c>
      <c r="B331" s="304">
        <f t="shared" ca="1" si="152"/>
        <v>3.2699999999999743</v>
      </c>
      <c r="D331" s="306">
        <f t="shared" ca="1" si="153"/>
        <v>1.7191199295270181</v>
      </c>
      <c r="E331" s="307">
        <f t="shared" ca="1" si="154"/>
        <v>-2.638392707360806</v>
      </c>
      <c r="F331" s="304">
        <f t="shared" ca="1" si="155"/>
        <v>3.1490457936256915</v>
      </c>
      <c r="G331" s="306">
        <f t="shared" ca="1" si="156"/>
        <v>42.010788702824158</v>
      </c>
      <c r="H331" s="307">
        <f t="shared" ca="1" si="157"/>
        <v>175.15719979376757</v>
      </c>
      <c r="I331" s="304">
        <f t="shared" ca="1" si="158"/>
        <v>180.12482063010404</v>
      </c>
      <c r="J331" s="306">
        <f t="shared" ca="1" si="159"/>
        <v>77.259212846813199</v>
      </c>
      <c r="K331" s="307">
        <f t="shared" ca="1" si="160"/>
        <v>348.66072840631682</v>
      </c>
      <c r="L331" s="304">
        <f t="shared" ca="1" si="145"/>
        <v>357.11803301224177</v>
      </c>
      <c r="M331" s="306">
        <f t="shared" ca="1" si="161"/>
        <v>1.3353967751291169</v>
      </c>
      <c r="N331" s="304">
        <f t="shared" ca="1" si="162"/>
        <v>76.512599190279062</v>
      </c>
      <c r="P331" s="310">
        <f t="shared" ca="1" si="163"/>
        <v>9</v>
      </c>
      <c r="Q331" s="304">
        <f t="shared" ca="1" si="164"/>
        <v>186.96296296297808</v>
      </c>
      <c r="R331" s="306">
        <f t="shared" ca="1" si="165"/>
        <v>9.382800018497954E-2</v>
      </c>
      <c r="S331" s="307">
        <f t="shared" ca="1" si="166"/>
        <v>8.1526158299654163</v>
      </c>
      <c r="T331" s="304">
        <f t="shared" ca="1" si="146"/>
        <v>79.977161291960741</v>
      </c>
      <c r="U331" s="311">
        <f t="shared" ca="1" si="147"/>
        <v>0</v>
      </c>
      <c r="V331" s="306">
        <f t="shared" ca="1" si="148"/>
        <v>1.1830208842244343</v>
      </c>
      <c r="W331" s="304">
        <f t="shared" ca="1" si="149"/>
        <v>126.78654485853323</v>
      </c>
      <c r="Y331" s="314" t="str">
        <f t="shared" ca="1" si="167"/>
        <v/>
      </c>
      <c r="Z331" s="315" t="str">
        <f t="shared" ca="1" si="168"/>
        <v/>
      </c>
      <c r="AA331" s="316" t="str">
        <f t="shared" ca="1" si="169"/>
        <v/>
      </c>
      <c r="AC331" s="310" t="e">
        <f t="shared" ca="1" si="170"/>
        <v>#N/A</v>
      </c>
      <c r="AD331" s="323" t="e">
        <f t="shared" ca="1" si="171"/>
        <v>#N/A</v>
      </c>
      <c r="AE331" s="324">
        <f t="shared" ca="1" si="150"/>
        <v>348.66072840631682</v>
      </c>
      <c r="AG331" s="306">
        <f t="shared" ca="1" si="172"/>
        <v>-2.1649664401563466</v>
      </c>
      <c r="AH331" s="304">
        <f t="shared" ca="1" si="173"/>
        <v>7.3747762333465179</v>
      </c>
    </row>
    <row r="332" spans="1:34" x14ac:dyDescent="0.2">
      <c r="A332" s="347">
        <f t="shared" ca="1" si="151"/>
        <v>0.01</v>
      </c>
      <c r="B332" s="304">
        <f t="shared" ca="1" si="152"/>
        <v>3.279999999999974</v>
      </c>
      <c r="D332" s="306">
        <f t="shared" ca="1" si="153"/>
        <v>1.5543004909793752</v>
      </c>
      <c r="E332" s="307">
        <f t="shared" ca="1" si="154"/>
        <v>-3.3295950839236719</v>
      </c>
      <c r="F332" s="304">
        <f t="shared" ca="1" si="155"/>
        <v>3.6745140412233304</v>
      </c>
      <c r="G332" s="306">
        <f t="shared" ca="1" si="156"/>
        <v>42.026331707733952</v>
      </c>
      <c r="H332" s="307">
        <f t="shared" ca="1" si="157"/>
        <v>175.12390384292834</v>
      </c>
      <c r="I332" s="304">
        <f t="shared" ca="1" si="158"/>
        <v>180.09606951290107</v>
      </c>
      <c r="J332" s="306">
        <f t="shared" ca="1" si="159"/>
        <v>77.679398448865996</v>
      </c>
      <c r="K332" s="307">
        <f t="shared" ca="1" si="160"/>
        <v>350.41213392450032</v>
      </c>
      <c r="L332" s="304">
        <f t="shared" ca="1" si="145"/>
        <v>358.91886624263657</v>
      </c>
      <c r="M332" s="306">
        <f t="shared" ca="1" si="161"/>
        <v>1.3352697317468378</v>
      </c>
      <c r="N332" s="304">
        <f t="shared" ca="1" si="162"/>
        <v>76.505320140659393</v>
      </c>
      <c r="P332" s="310">
        <f t="shared" ca="1" si="163"/>
        <v>9</v>
      </c>
      <c r="Q332" s="304">
        <f t="shared" ca="1" si="164"/>
        <v>181.11111111112635</v>
      </c>
      <c r="R332" s="306">
        <f t="shared" ca="1" si="165"/>
        <v>9.0891228388381831E-2</v>
      </c>
      <c r="S332" s="307">
        <f t="shared" ca="1" si="166"/>
        <v>8.1517069176815333</v>
      </c>
      <c r="T332" s="304">
        <f t="shared" ca="1" si="146"/>
        <v>79.968244862455848</v>
      </c>
      <c r="U332" s="311">
        <f t="shared" ca="1" si="147"/>
        <v>0</v>
      </c>
      <c r="V332" s="306">
        <f t="shared" ca="1" si="148"/>
        <v>1.1828136441431634</v>
      </c>
      <c r="W332" s="304">
        <f t="shared" ca="1" si="149"/>
        <v>126.72387011011442</v>
      </c>
      <c r="Y332" s="314" t="str">
        <f t="shared" ca="1" si="167"/>
        <v/>
      </c>
      <c r="Z332" s="315" t="str">
        <f t="shared" ca="1" si="168"/>
        <v/>
      </c>
      <c r="AA332" s="316" t="str">
        <f t="shared" ca="1" si="169"/>
        <v/>
      </c>
      <c r="AC332" s="310" t="e">
        <f t="shared" ca="1" si="170"/>
        <v>#N/A</v>
      </c>
      <c r="AD332" s="323" t="e">
        <f t="shared" ca="1" si="171"/>
        <v>#N/A</v>
      </c>
      <c r="AE332" s="324">
        <f t="shared" ca="1" si="150"/>
        <v>350.41213392450032</v>
      </c>
      <c r="AG332" s="306">
        <f t="shared" ca="1" si="172"/>
        <v>-2.8752570580124592</v>
      </c>
      <c r="AH332" s="304">
        <f t="shared" ca="1" si="173"/>
        <v>6.6641952171710104</v>
      </c>
    </row>
    <row r="333" spans="1:34" x14ac:dyDescent="0.2">
      <c r="A333" s="347">
        <f t="shared" ca="1" si="151"/>
        <v>0.01</v>
      </c>
      <c r="B333" s="304">
        <f t="shared" ca="1" si="152"/>
        <v>3.2899999999999738</v>
      </c>
      <c r="D333" s="306">
        <f t="shared" ca="1" si="153"/>
        <v>1.3895496529944433</v>
      </c>
      <c r="E333" s="307">
        <f t="shared" ca="1" si="154"/>
        <v>-4.0197406571606233</v>
      </c>
      <c r="F333" s="304">
        <f t="shared" ca="1" si="155"/>
        <v>4.253135688990783</v>
      </c>
      <c r="G333" s="306">
        <f t="shared" ca="1" si="156"/>
        <v>42.0402272042639</v>
      </c>
      <c r="H333" s="307">
        <f t="shared" ca="1" si="157"/>
        <v>175.08370643635675</v>
      </c>
      <c r="I333" s="304">
        <f t="shared" ca="1" si="158"/>
        <v>180.06022593254315</v>
      </c>
      <c r="J333" s="306">
        <f t="shared" ca="1" si="159"/>
        <v>78.099731243425978</v>
      </c>
      <c r="K333" s="307">
        <f t="shared" ca="1" si="160"/>
        <v>352.16317197589677</v>
      </c>
      <c r="L333" s="304">
        <f t="shared" ca="1" si="145"/>
        <v>360.71937529944302</v>
      </c>
      <c r="M333" s="306">
        <f t="shared" ca="1" si="161"/>
        <v>1.3351425957691627</v>
      </c>
      <c r="N333" s="304">
        <f t="shared" ca="1" si="162"/>
        <v>76.49803578571435</v>
      </c>
      <c r="P333" s="310">
        <f t="shared" ca="1" si="163"/>
        <v>9</v>
      </c>
      <c r="Q333" s="304">
        <f t="shared" ca="1" si="164"/>
        <v>175.25925925927461</v>
      </c>
      <c r="R333" s="306">
        <f t="shared" ca="1" si="165"/>
        <v>8.7954456591784108E-2</v>
      </c>
      <c r="S333" s="307">
        <f t="shared" ca="1" si="166"/>
        <v>8.1508273731156162</v>
      </c>
      <c r="T333" s="304">
        <f t="shared" ca="1" si="146"/>
        <v>79.959616530264199</v>
      </c>
      <c r="U333" s="311">
        <f t="shared" ca="1" si="147"/>
        <v>0</v>
      </c>
      <c r="V333" s="306">
        <f t="shared" ca="1" si="148"/>
        <v>1.1826064832003222</v>
      </c>
      <c r="W333" s="304">
        <f t="shared" ca="1" si="149"/>
        <v>126.65124684723521</v>
      </c>
      <c r="Y333" s="314" t="str">
        <f t="shared" ca="1" si="167"/>
        <v/>
      </c>
      <c r="Z333" s="315" t="str">
        <f t="shared" ca="1" si="168"/>
        <v/>
      </c>
      <c r="AA333" s="316" t="str">
        <f t="shared" ca="1" si="169"/>
        <v/>
      </c>
      <c r="AC333" s="310" t="e">
        <f t="shared" ca="1" si="170"/>
        <v>#N/A</v>
      </c>
      <c r="AD333" s="323" t="e">
        <f t="shared" ca="1" si="171"/>
        <v>#N/A</v>
      </c>
      <c r="AE333" s="324">
        <f t="shared" ca="1" si="150"/>
        <v>352.16317197589677</v>
      </c>
      <c r="AG333" s="306">
        <f t="shared" ca="1" si="172"/>
        <v>-3.584503556479623</v>
      </c>
      <c r="AH333" s="304">
        <f t="shared" ca="1" si="173"/>
        <v>5.9546579662878774</v>
      </c>
    </row>
    <row r="334" spans="1:34" x14ac:dyDescent="0.2">
      <c r="A334" s="347">
        <f t="shared" ca="1" si="151"/>
        <v>0.01</v>
      </c>
      <c r="B334" s="304">
        <f t="shared" ca="1" si="152"/>
        <v>3.2999999999999736</v>
      </c>
      <c r="D334" s="306">
        <f t="shared" ca="1" si="153"/>
        <v>1.2248687917159646</v>
      </c>
      <c r="E334" s="307">
        <f t="shared" ca="1" si="154"/>
        <v>-4.7088247159115726</v>
      </c>
      <c r="F334" s="304">
        <f t="shared" ca="1" si="155"/>
        <v>4.8655250243010189</v>
      </c>
      <c r="G334" s="306">
        <f t="shared" ca="1" si="156"/>
        <v>42.052475892181057</v>
      </c>
      <c r="H334" s="307">
        <f t="shared" ca="1" si="157"/>
        <v>175.03661818919764</v>
      </c>
      <c r="I334" s="304">
        <f t="shared" ca="1" si="158"/>
        <v>180.01730037908419</v>
      </c>
      <c r="J334" s="306">
        <f t="shared" ca="1" si="159"/>
        <v>78.520194758908204</v>
      </c>
      <c r="K334" s="307">
        <f t="shared" ca="1" si="160"/>
        <v>353.91377359902452</v>
      </c>
      <c r="L334" s="304">
        <f t="shared" ca="1" si="145"/>
        <v>362.51948930792457</v>
      </c>
      <c r="M334" s="306">
        <f t="shared" ca="1" si="161"/>
        <v>1.3350153621069678</v>
      </c>
      <c r="N334" s="304">
        <f t="shared" ca="1" si="162"/>
        <v>76.490745833858583</v>
      </c>
      <c r="P334" s="310">
        <f t="shared" ca="1" si="163"/>
        <v>9</v>
      </c>
      <c r="Q334" s="304">
        <f t="shared" ca="1" si="164"/>
        <v>169.40740740742291</v>
      </c>
      <c r="R334" s="306">
        <f t="shared" ca="1" si="165"/>
        <v>8.5017684795186413E-2</v>
      </c>
      <c r="S334" s="307">
        <f t="shared" ca="1" si="166"/>
        <v>8.149977196267665</v>
      </c>
      <c r="T334" s="304">
        <f t="shared" ca="1" si="146"/>
        <v>79.951276295385796</v>
      </c>
      <c r="U334" s="311">
        <f t="shared" ca="1" si="147"/>
        <v>0</v>
      </c>
      <c r="V334" s="306">
        <f t="shared" ca="1" si="148"/>
        <v>1.182399409520821</v>
      </c>
      <c r="W334" s="304">
        <f t="shared" ca="1" si="149"/>
        <v>126.56870187789281</v>
      </c>
      <c r="Y334" s="314" t="str">
        <f t="shared" ca="1" si="167"/>
        <v/>
      </c>
      <c r="Z334" s="315" t="str">
        <f t="shared" ca="1" si="168"/>
        <v/>
      </c>
      <c r="AA334" s="316" t="str">
        <f t="shared" ca="1" si="169"/>
        <v/>
      </c>
      <c r="AC334" s="310" t="e">
        <f t="shared" ca="1" si="170"/>
        <v>#N/A</v>
      </c>
      <c r="AD334" s="323" t="e">
        <f t="shared" ca="1" si="171"/>
        <v>#N/A</v>
      </c>
      <c r="AE334" s="324">
        <f t="shared" ca="1" si="150"/>
        <v>353.91377359902452</v>
      </c>
      <c r="AG334" s="306">
        <f t="shared" ca="1" si="172"/>
        <v>-4.2927010555420688</v>
      </c>
      <c r="AH334" s="304">
        <f t="shared" ca="1" si="173"/>
        <v>5.2461693487643322</v>
      </c>
    </row>
    <row r="335" spans="1:34" x14ac:dyDescent="0.2">
      <c r="A335" s="347">
        <f t="shared" ca="1" si="151"/>
        <v>0.01</v>
      </c>
      <c r="B335" s="304">
        <f t="shared" ca="1" si="152"/>
        <v>3.3099999999999734</v>
      </c>
      <c r="D335" s="306">
        <f t="shared" ca="1" si="153"/>
        <v>1.0602592326209717</v>
      </c>
      <c r="E335" s="307">
        <f t="shared" ca="1" si="154"/>
        <v>-5.3968427115285502</v>
      </c>
      <c r="F335" s="304">
        <f t="shared" ca="1" si="155"/>
        <v>5.5000055357551094</v>
      </c>
      <c r="G335" s="306">
        <f t="shared" ca="1" si="156"/>
        <v>42.063078484507265</v>
      </c>
      <c r="H335" s="307">
        <f t="shared" ca="1" si="157"/>
        <v>174.98264976208236</v>
      </c>
      <c r="I335" s="304">
        <f t="shared" ca="1" si="158"/>
        <v>179.96730338968075</v>
      </c>
      <c r="J335" s="306">
        <f t="shared" ca="1" si="159"/>
        <v>78.940772530791648</v>
      </c>
      <c r="K335" s="307">
        <f t="shared" ca="1" si="160"/>
        <v>355.66386993878092</v>
      </c>
      <c r="L335" s="304">
        <f t="shared" ca="1" si="145"/>
        <v>364.31913749841397</v>
      </c>
      <c r="M335" s="306">
        <f t="shared" ca="1" si="161"/>
        <v>1.3348880256607194</v>
      </c>
      <c r="N335" s="304">
        <f t="shared" ca="1" si="162"/>
        <v>76.483449992910352</v>
      </c>
      <c r="P335" s="310">
        <f t="shared" ca="1" si="163"/>
        <v>9</v>
      </c>
      <c r="Q335" s="304">
        <f t="shared" ca="1" si="164"/>
        <v>163.55555555557117</v>
      </c>
      <c r="R335" s="306">
        <f t="shared" ca="1" si="165"/>
        <v>8.208091299858869E-2</v>
      </c>
      <c r="S335" s="307">
        <f t="shared" ca="1" si="166"/>
        <v>8.1491563871376798</v>
      </c>
      <c r="T335" s="304">
        <f t="shared" ca="1" si="146"/>
        <v>79.943224157820637</v>
      </c>
      <c r="U335" s="311">
        <f t="shared" ca="1" si="147"/>
        <v>0</v>
      </c>
      <c r="V335" s="306">
        <f t="shared" ca="1" si="148"/>
        <v>1.1821924312114007</v>
      </c>
      <c r="W335" s="304">
        <f t="shared" ca="1" si="149"/>
        <v>126.4762632161207</v>
      </c>
      <c r="Y335" s="314" t="str">
        <f t="shared" ca="1" si="167"/>
        <v/>
      </c>
      <c r="Z335" s="315" t="str">
        <f t="shared" ca="1" si="168"/>
        <v/>
      </c>
      <c r="AA335" s="316" t="str">
        <f t="shared" ca="1" si="169"/>
        <v/>
      </c>
      <c r="AC335" s="310" t="e">
        <f t="shared" ca="1" si="170"/>
        <v>#N/A</v>
      </c>
      <c r="AD335" s="323" t="e">
        <f t="shared" ca="1" si="171"/>
        <v>#N/A</v>
      </c>
      <c r="AE335" s="324">
        <f t="shared" ca="1" si="150"/>
        <v>355.66386993878092</v>
      </c>
      <c r="AG335" s="306">
        <f t="shared" ca="1" si="172"/>
        <v>-4.9998448449696724</v>
      </c>
      <c r="AH335" s="304">
        <f t="shared" ca="1" si="173"/>
        <v>4.5387340628358803</v>
      </c>
    </row>
    <row r="336" spans="1:34" x14ac:dyDescent="0.2">
      <c r="A336" s="347">
        <f t="shared" ca="1" si="151"/>
        <v>0.01</v>
      </c>
      <c r="B336" s="304">
        <f t="shared" ca="1" si="152"/>
        <v>3.3199999999999732</v>
      </c>
      <c r="D336" s="306">
        <f t="shared" ca="1" si="153"/>
        <v>0.89572225067245159</v>
      </c>
      <c r="E336" s="307">
        <f t="shared" ca="1" si="154"/>
        <v>-6.0837902569054485</v>
      </c>
      <c r="F336" s="304">
        <f t="shared" ca="1" si="155"/>
        <v>6.1493757602188683</v>
      </c>
      <c r="G336" s="306">
        <f t="shared" ca="1" si="156"/>
        <v>42.072035707013988</v>
      </c>
      <c r="H336" s="307">
        <f t="shared" ca="1" si="157"/>
        <v>174.9218118595133</v>
      </c>
      <c r="I336" s="304">
        <f t="shared" ca="1" si="158"/>
        <v>179.91024554690381</v>
      </c>
      <c r="J336" s="306">
        <f t="shared" ca="1" si="159"/>
        <v>79.361448101749261</v>
      </c>
      <c r="K336" s="307">
        <f t="shared" ca="1" si="160"/>
        <v>357.41339224688892</v>
      </c>
      <c r="L336" s="304">
        <f t="shared" ca="1" si="145"/>
        <v>366.11824920677623</v>
      </c>
      <c r="M336" s="306">
        <f t="shared" ca="1" si="161"/>
        <v>1.3347605813193113</v>
      </c>
      <c r="N336" s="304">
        <f t="shared" ca="1" si="162"/>
        <v>76.476147970024854</v>
      </c>
      <c r="P336" s="310">
        <f t="shared" ca="1" si="163"/>
        <v>9</v>
      </c>
      <c r="Q336" s="304">
        <f t="shared" ca="1" si="164"/>
        <v>157.70370370371944</v>
      </c>
      <c r="R336" s="306">
        <f t="shared" ca="1" si="165"/>
        <v>7.9144141201990981E-2</v>
      </c>
      <c r="S336" s="307">
        <f t="shared" ca="1" si="166"/>
        <v>8.1483649457256604</v>
      </c>
      <c r="T336" s="304">
        <f t="shared" ca="1" si="146"/>
        <v>79.935460117568738</v>
      </c>
      <c r="U336" s="311">
        <f t="shared" ca="1" si="147"/>
        <v>0</v>
      </c>
      <c r="V336" s="306">
        <f t="shared" ca="1" si="148"/>
        <v>1.1819855563605948</v>
      </c>
      <c r="W336" s="304">
        <f t="shared" ca="1" si="149"/>
        <v>126.3739600719756</v>
      </c>
      <c r="Y336" s="314" t="str">
        <f t="shared" ca="1" si="167"/>
        <v/>
      </c>
      <c r="Z336" s="315" t="str">
        <f t="shared" ca="1" si="168"/>
        <v/>
      </c>
      <c r="AA336" s="316" t="str">
        <f t="shared" ca="1" si="169"/>
        <v/>
      </c>
      <c r="AC336" s="310" t="e">
        <f t="shared" ca="1" si="170"/>
        <v>#N/A</v>
      </c>
      <c r="AD336" s="323" t="e">
        <f t="shared" ca="1" si="171"/>
        <v>#N/A</v>
      </c>
      <c r="AE336" s="324">
        <f t="shared" ca="1" si="150"/>
        <v>357.41339224688892</v>
      </c>
      <c r="AG336" s="306">
        <f t="shared" ca="1" si="172"/>
        <v>-5.7059303833441852</v>
      </c>
      <c r="AH336" s="304">
        <f t="shared" ca="1" si="173"/>
        <v>3.832356637877337</v>
      </c>
    </row>
    <row r="337" spans="1:34" x14ac:dyDescent="0.2">
      <c r="A337" s="347">
        <f t="shared" ca="1" si="151"/>
        <v>0.01</v>
      </c>
      <c r="B337" s="304">
        <f t="shared" ca="1" si="152"/>
        <v>3.329999999999973</v>
      </c>
      <c r="D337" s="306">
        <f t="shared" ca="1" si="153"/>
        <v>0.73125907047059391</v>
      </c>
      <c r="E337" s="307">
        <f t="shared" ca="1" si="154"/>
        <v>-6.7696631254975177</v>
      </c>
      <c r="F337" s="304">
        <f t="shared" ca="1" si="155"/>
        <v>6.8090438874240142</v>
      </c>
      <c r="G337" s="306">
        <f t="shared" ca="1" si="156"/>
        <v>42.079348297718695</v>
      </c>
      <c r="H337" s="307">
        <f t="shared" ca="1" si="157"/>
        <v>174.85411522825831</v>
      </c>
      <c r="I337" s="304">
        <f t="shared" ca="1" si="158"/>
        <v>179.84613747706052</v>
      </c>
      <c r="J337" s="306">
        <f t="shared" ca="1" si="159"/>
        <v>79.782205021772924</v>
      </c>
      <c r="K337" s="307">
        <f t="shared" ca="1" si="160"/>
        <v>359.16227188232779</v>
      </c>
      <c r="L337" s="304">
        <f t="shared" ca="1" si="145"/>
        <v>367.916753874856</v>
      </c>
      <c r="M337" s="306">
        <f t="shared" ca="1" si="161"/>
        <v>1.3346330239588973</v>
      </c>
      <c r="N337" s="304">
        <f t="shared" ca="1" si="162"/>
        <v>76.468839471627291</v>
      </c>
      <c r="P337" s="310">
        <f t="shared" ca="1" si="163"/>
        <v>9</v>
      </c>
      <c r="Q337" s="304">
        <f t="shared" ca="1" si="164"/>
        <v>151.85185185186771</v>
      </c>
      <c r="R337" s="306">
        <f t="shared" ca="1" si="165"/>
        <v>7.6207369405393258E-2</v>
      </c>
      <c r="S337" s="307">
        <f t="shared" ca="1" si="166"/>
        <v>8.1476028720316069</v>
      </c>
      <c r="T337" s="304">
        <f t="shared" ca="1" si="146"/>
        <v>79.927984174630069</v>
      </c>
      <c r="U337" s="311">
        <f t="shared" ca="1" si="147"/>
        <v>0</v>
      </c>
      <c r="V337" s="306">
        <f t="shared" ca="1" si="148"/>
        <v>1.1817787930387009</v>
      </c>
      <c r="W337" s="304">
        <f t="shared" ca="1" si="149"/>
        <v>126.26182284152966</v>
      </c>
      <c r="Y337" s="314" t="str">
        <f t="shared" ca="1" si="167"/>
        <v/>
      </c>
      <c r="Z337" s="315" t="str">
        <f t="shared" ca="1" si="168"/>
        <v/>
      </c>
      <c r="AA337" s="316" t="str">
        <f t="shared" ca="1" si="169"/>
        <v/>
      </c>
      <c r="AC337" s="310" t="e">
        <f t="shared" ca="1" si="170"/>
        <v>#N/A</v>
      </c>
      <c r="AD337" s="323" t="e">
        <f t="shared" ca="1" si="171"/>
        <v>#N/A</v>
      </c>
      <c r="AE337" s="324">
        <f t="shared" ca="1" si="150"/>
        <v>359.16227188232779</v>
      </c>
      <c r="AG337" s="306">
        <f t="shared" ca="1" si="172"/>
        <v>-6.4109532970758289</v>
      </c>
      <c r="AH337" s="304">
        <f t="shared" ca="1" si="173"/>
        <v>3.1270414353834584</v>
      </c>
    </row>
    <row r="338" spans="1:34" x14ac:dyDescent="0.2">
      <c r="A338" s="347">
        <f t="shared" ca="1" si="151"/>
        <v>0.01</v>
      </c>
      <c r="B338" s="304">
        <f t="shared" ca="1" si="152"/>
        <v>3.3399999999999728</v>
      </c>
      <c r="D338" s="306">
        <f t="shared" ca="1" si="153"/>
        <v>0.56687086640247963</v>
      </c>
      <c r="E338" s="307">
        <f t="shared" ca="1" si="154"/>
        <v>-7.4544572503311439</v>
      </c>
      <c r="F338" s="304">
        <f t="shared" ca="1" si="155"/>
        <v>7.4759799007347834</v>
      </c>
      <c r="G338" s="306">
        <f t="shared" ca="1" si="156"/>
        <v>42.085017006382721</v>
      </c>
      <c r="H338" s="307">
        <f t="shared" ca="1" si="157"/>
        <v>174.77957065575501</v>
      </c>
      <c r="I338" s="304">
        <f t="shared" ca="1" si="158"/>
        <v>179.77498984852588</v>
      </c>
      <c r="J338" s="306">
        <f t="shared" ca="1" si="159"/>
        <v>80.203026848293433</v>
      </c>
      <c r="K338" s="307">
        <f t="shared" ca="1" si="160"/>
        <v>360.91044031174783</v>
      </c>
      <c r="L338" s="304">
        <f t="shared" ca="1" si="145"/>
        <v>369.71458105090716</v>
      </c>
      <c r="M338" s="306">
        <f t="shared" ca="1" si="161"/>
        <v>1.3345053484417166</v>
      </c>
      <c r="N338" s="304">
        <f t="shared" ca="1" si="162"/>
        <v>76.461524203345689</v>
      </c>
      <c r="P338" s="310">
        <f t="shared" ca="1" si="163"/>
        <v>9</v>
      </c>
      <c r="Q338" s="304">
        <f t="shared" ca="1" si="164"/>
        <v>146.00000000001597</v>
      </c>
      <c r="R338" s="306">
        <f t="shared" ca="1" si="165"/>
        <v>7.3270597608795549E-2</v>
      </c>
      <c r="S338" s="307">
        <f t="shared" ca="1" si="166"/>
        <v>8.1468701660555194</v>
      </c>
      <c r="T338" s="304">
        <f t="shared" ca="1" si="146"/>
        <v>79.920796329004645</v>
      </c>
      <c r="U338" s="311">
        <f t="shared" ca="1" si="147"/>
        <v>0</v>
      </c>
      <c r="V338" s="306">
        <f t="shared" ca="1" si="148"/>
        <v>1.181572149297748</v>
      </c>
      <c r="W338" s="304">
        <f t="shared" ca="1" si="149"/>
        <v>126.13988309686903</v>
      </c>
      <c r="Y338" s="314" t="str">
        <f t="shared" ca="1" si="167"/>
        <v/>
      </c>
      <c r="Z338" s="315" t="str">
        <f t="shared" ca="1" si="168"/>
        <v/>
      </c>
      <c r="AA338" s="316" t="str">
        <f t="shared" ca="1" si="169"/>
        <v/>
      </c>
      <c r="AC338" s="310" t="e">
        <f t="shared" ca="1" si="170"/>
        <v>#N/A</v>
      </c>
      <c r="AD338" s="323" t="e">
        <f t="shared" ca="1" si="171"/>
        <v>#N/A</v>
      </c>
      <c r="AE338" s="324">
        <f t="shared" ca="1" si="150"/>
        <v>360.91044031174783</v>
      </c>
      <c r="AG338" s="306">
        <f t="shared" ca="1" si="172"/>
        <v>-7.1149093794108325</v>
      </c>
      <c r="AH338" s="304">
        <f t="shared" ca="1" si="173"/>
        <v>2.4227926499585997</v>
      </c>
    </row>
    <row r="339" spans="1:34" x14ac:dyDescent="0.2">
      <c r="A339" s="347">
        <f t="shared" ca="1" si="151"/>
        <v>0.01</v>
      </c>
      <c r="B339" s="304">
        <f t="shared" ca="1" si="152"/>
        <v>3.3499999999999726</v>
      </c>
      <c r="D339" s="306">
        <f t="shared" ca="1" si="153"/>
        <v>0.40255876279014552</v>
      </c>
      <c r="E339" s="307">
        <f t="shared" ca="1" si="154"/>
        <v>-8.1381687230041351</v>
      </c>
      <c r="F339" s="304">
        <f t="shared" ca="1" si="155"/>
        <v>8.1481190296645707</v>
      </c>
      <c r="G339" s="306">
        <f t="shared" ca="1" si="156"/>
        <v>42.089042594010621</v>
      </c>
      <c r="H339" s="307">
        <f t="shared" ca="1" si="157"/>
        <v>174.69818896852496</v>
      </c>
      <c r="I339" s="304">
        <f t="shared" ca="1" si="158"/>
        <v>179.69681337008427</v>
      </c>
      <c r="J339" s="306">
        <f t="shared" ca="1" si="159"/>
        <v>80.623897146295405</v>
      </c>
      <c r="K339" s="307">
        <f t="shared" ca="1" si="160"/>
        <v>362.65782910986923</v>
      </c>
      <c r="L339" s="304">
        <f t="shared" ca="1" si="145"/>
        <v>371.51166039000651</v>
      </c>
      <c r="M339" s="306">
        <f t="shared" ca="1" si="161"/>
        <v>1.3343775496149162</v>
      </c>
      <c r="N339" s="304">
        <f t="shared" ca="1" si="162"/>
        <v>76.454201869943304</v>
      </c>
      <c r="P339" s="310">
        <f t="shared" ca="1" si="163"/>
        <v>9</v>
      </c>
      <c r="Q339" s="304">
        <f t="shared" ca="1" si="164"/>
        <v>140.14814814816427</v>
      </c>
      <c r="R339" s="306">
        <f t="shared" ca="1" si="165"/>
        <v>7.0333825812197839E-2</v>
      </c>
      <c r="S339" s="307">
        <f t="shared" ca="1" si="166"/>
        <v>8.1461668277973978</v>
      </c>
      <c r="T339" s="304">
        <f t="shared" ca="1" si="146"/>
        <v>79.91389658069248</v>
      </c>
      <c r="U339" s="311">
        <f t="shared" ca="1" si="147"/>
        <v>0</v>
      </c>
      <c r="V339" s="306">
        <f t="shared" ca="1" si="148"/>
        <v>1.1813656331714719</v>
      </c>
      <c r="W339" s="304">
        <f t="shared" ca="1" si="149"/>
        <v>126.00817357610191</v>
      </c>
      <c r="Y339" s="314" t="str">
        <f t="shared" ca="1" si="167"/>
        <v/>
      </c>
      <c r="Z339" s="315" t="str">
        <f t="shared" ca="1" si="168"/>
        <v/>
      </c>
      <c r="AA339" s="316" t="str">
        <f t="shared" ca="1" si="169"/>
        <v/>
      </c>
      <c r="AC339" s="310" t="e">
        <f t="shared" ca="1" si="170"/>
        <v>#N/A</v>
      </c>
      <c r="AD339" s="323" t="e">
        <f t="shared" ca="1" si="171"/>
        <v>#N/A</v>
      </c>
      <c r="AE339" s="324">
        <f t="shared" ca="1" si="150"/>
        <v>362.65782910986923</v>
      </c>
      <c r="AG339" s="306">
        <f t="shared" ca="1" si="172"/>
        <v>-7.8177945894301475</v>
      </c>
      <c r="AH339" s="304">
        <f t="shared" ca="1" si="173"/>
        <v>1.7196143103151824</v>
      </c>
    </row>
    <row r="340" spans="1:34" x14ac:dyDescent="0.2">
      <c r="A340" s="347">
        <f t="shared" ca="1" si="151"/>
        <v>0.01</v>
      </c>
      <c r="B340" s="304">
        <f t="shared" ca="1" si="152"/>
        <v>3.3599999999999723</v>
      </c>
      <c r="D340" s="306">
        <f t="shared" ca="1" si="153"/>
        <v>0.23832383403688814</v>
      </c>
      <c r="E340" s="307">
        <f t="shared" ca="1" si="154"/>
        <v>-8.8207937926769482</v>
      </c>
      <c r="F340" s="304">
        <f t="shared" ca="1" si="155"/>
        <v>8.8240127710015361</v>
      </c>
      <c r="G340" s="306">
        <f t="shared" ca="1" si="156"/>
        <v>42.091425832350993</v>
      </c>
      <c r="H340" s="307">
        <f t="shared" ca="1" si="157"/>
        <v>174.60998103059819</v>
      </c>
      <c r="I340" s="304">
        <f t="shared" ca="1" si="158"/>
        <v>179.61161878928147</v>
      </c>
      <c r="J340" s="306">
        <f t="shared" ca="1" si="159"/>
        <v>81.044799488427216</v>
      </c>
      <c r="K340" s="307">
        <f t="shared" ca="1" si="160"/>
        <v>364.40436995986482</v>
      </c>
      <c r="L340" s="304">
        <f t="shared" ca="1" si="145"/>
        <v>373.30792165445058</v>
      </c>
      <c r="M340" s="306">
        <f t="shared" ca="1" si="161"/>
        <v>1.3342496223093629</v>
      </c>
      <c r="N340" s="304">
        <f t="shared" ca="1" si="162"/>
        <v>76.446872175250618</v>
      </c>
      <c r="P340" s="310">
        <f t="shared" ca="1" si="163"/>
        <v>9</v>
      </c>
      <c r="Q340" s="304">
        <f t="shared" ca="1" si="164"/>
        <v>134.29629629631253</v>
      </c>
      <c r="R340" s="306">
        <f t="shared" ca="1" si="165"/>
        <v>6.739705401560013E-2</v>
      </c>
      <c r="S340" s="307">
        <f t="shared" ca="1" si="166"/>
        <v>8.145492857257242</v>
      </c>
      <c r="T340" s="304">
        <f t="shared" ca="1" si="146"/>
        <v>79.907284929693546</v>
      </c>
      <c r="U340" s="311">
        <f t="shared" ca="1" si="147"/>
        <v>0</v>
      </c>
      <c r="V340" s="306">
        <f t="shared" ca="1" si="148"/>
        <v>1.1811592526752881</v>
      </c>
      <c r="W340" s="304">
        <f t="shared" ca="1" si="149"/>
        <v>125.86672817337832</v>
      </c>
      <c r="Y340" s="314" t="str">
        <f t="shared" ca="1" si="167"/>
        <v/>
      </c>
      <c r="Z340" s="315" t="str">
        <f t="shared" ca="1" si="168"/>
        <v/>
      </c>
      <c r="AA340" s="316" t="str">
        <f t="shared" ca="1" si="169"/>
        <v/>
      </c>
      <c r="AC340" s="310" t="e">
        <f t="shared" ca="1" si="170"/>
        <v>#N/A</v>
      </c>
      <c r="AD340" s="323" t="e">
        <f t="shared" ca="1" si="171"/>
        <v>#N/A</v>
      </c>
      <c r="AE340" s="324">
        <f t="shared" ca="1" si="150"/>
        <v>364.40436995986482</v>
      </c>
      <c r="AG340" s="306">
        <f t="shared" ca="1" si="172"/>
        <v>-8.5196050510397825</v>
      </c>
      <c r="AH340" s="304">
        <f t="shared" ca="1" si="173"/>
        <v>1.0175102802804996</v>
      </c>
    </row>
    <row r="341" spans="1:34" x14ac:dyDescent="0.2">
      <c r="A341" s="347">
        <f t="shared" ca="1" si="151"/>
        <v>0.01</v>
      </c>
      <c r="B341" s="304">
        <f t="shared" ca="1" si="152"/>
        <v>3.3699999999999721</v>
      </c>
      <c r="D341" s="306">
        <f t="shared" ca="1" si="153"/>
        <v>7.4167104771735062E-2</v>
      </c>
      <c r="E341" s="307">
        <f t="shared" ca="1" si="154"/>
        <v>-9.5023288650551354</v>
      </c>
      <c r="F341" s="304">
        <f t="shared" ca="1" si="155"/>
        <v>9.5026183033462015</v>
      </c>
      <c r="G341" s="306">
        <f t="shared" ca="1" si="156"/>
        <v>42.092167503398713</v>
      </c>
      <c r="H341" s="307">
        <f t="shared" ca="1" si="157"/>
        <v>174.51495774194765</v>
      </c>
      <c r="I341" s="304">
        <f t="shared" ca="1" si="158"/>
        <v>179.51941689078635</v>
      </c>
      <c r="J341" s="306">
        <f t="shared" ca="1" si="159"/>
        <v>81.46571745510596</v>
      </c>
      <c r="K341" s="307">
        <f t="shared" ca="1" si="160"/>
        <v>366.14999465372756</v>
      </c>
      <c r="L341" s="304">
        <f t="shared" ca="1" si="145"/>
        <v>375.10329471413587</v>
      </c>
      <c r="M341" s="306">
        <f t="shared" ca="1" si="161"/>
        <v>1.3341215613384512</v>
      </c>
      <c r="N341" s="304">
        <f t="shared" ca="1" si="162"/>
        <v>76.439534822097031</v>
      </c>
      <c r="P341" s="310">
        <f t="shared" ca="1" si="163"/>
        <v>9</v>
      </c>
      <c r="Q341" s="304">
        <f t="shared" ca="1" si="164"/>
        <v>128.44444444446083</v>
      </c>
      <c r="R341" s="306">
        <f t="shared" ca="1" si="165"/>
        <v>6.4460282219002421E-2</v>
      </c>
      <c r="S341" s="307">
        <f t="shared" ca="1" si="166"/>
        <v>8.1448482544350522</v>
      </c>
      <c r="T341" s="304">
        <f t="shared" ca="1" si="146"/>
        <v>79.900961376007871</v>
      </c>
      <c r="U341" s="311">
        <f t="shared" ca="1" si="147"/>
        <v>0</v>
      </c>
      <c r="V341" s="306">
        <f t="shared" ca="1" si="148"/>
        <v>1.1809530158062711</v>
      </c>
      <c r="W341" s="304">
        <f t="shared" ca="1" si="149"/>
        <v>125.71558192892368</v>
      </c>
      <c r="Y341" s="314" t="str">
        <f t="shared" ca="1" si="167"/>
        <v/>
      </c>
      <c r="Z341" s="315" t="str">
        <f t="shared" ca="1" si="168"/>
        <v/>
      </c>
      <c r="AA341" s="316" t="str">
        <f t="shared" ca="1" si="169"/>
        <v/>
      </c>
      <c r="AC341" s="310" t="e">
        <f t="shared" ca="1" si="170"/>
        <v>#N/A</v>
      </c>
      <c r="AD341" s="323" t="e">
        <f t="shared" ca="1" si="171"/>
        <v>#N/A</v>
      </c>
      <c r="AE341" s="324">
        <f t="shared" ca="1" si="150"/>
        <v>366.14999465372756</v>
      </c>
      <c r="AG341" s="306">
        <f t="shared" ca="1" si="172"/>
        <v>-9.2203370519530754</v>
      </c>
      <c r="AH341" s="304">
        <f t="shared" ca="1" si="173"/>
        <v>0.31648425981157891</v>
      </c>
    </row>
    <row r="342" spans="1:34" x14ac:dyDescent="0.2">
      <c r="A342" s="347">
        <f t="shared" ca="1" si="151"/>
        <v>0.01</v>
      </c>
      <c r="B342" s="304">
        <f t="shared" ca="1" si="152"/>
        <v>3.3799999999999719</v>
      </c>
      <c r="D342" s="306">
        <f t="shared" ca="1" si="153"/>
        <v>-8.9910450008051451E-2</v>
      </c>
      <c r="E342" s="307">
        <f t="shared" ca="1" si="154"/>
        <v>-10.182770501363411</v>
      </c>
      <c r="F342" s="304">
        <f t="shared" ca="1" si="155"/>
        <v>10.183167433193736</v>
      </c>
      <c r="G342" s="306">
        <f t="shared" ca="1" si="156"/>
        <v>42.091268398898634</v>
      </c>
      <c r="H342" s="307">
        <f t="shared" ca="1" si="157"/>
        <v>174.41313003693401</v>
      </c>
      <c r="I342" s="304">
        <f t="shared" ca="1" si="158"/>
        <v>179.42021849476322</v>
      </c>
      <c r="J342" s="306">
        <f t="shared" ca="1" si="159"/>
        <v>81.886634634617451</v>
      </c>
      <c r="K342" s="307">
        <f t="shared" ca="1" si="160"/>
        <v>367.89463509262197</v>
      </c>
      <c r="L342" s="304">
        <f t="shared" ca="1" si="145"/>
        <v>376.89770954692312</v>
      </c>
      <c r="M342" s="306">
        <f t="shared" ca="1" si="161"/>
        <v>1.3339933614969</v>
      </c>
      <c r="N342" s="304">
        <f t="shared" ca="1" si="162"/>
        <v>76.432189512241905</v>
      </c>
      <c r="P342" s="310">
        <f t="shared" ca="1" si="163"/>
        <v>9</v>
      </c>
      <c r="Q342" s="304">
        <f t="shared" ca="1" si="164"/>
        <v>122.59259259260908</v>
      </c>
      <c r="R342" s="306">
        <f t="shared" ca="1" si="165"/>
        <v>6.1523510422404705E-2</v>
      </c>
      <c r="S342" s="307">
        <f t="shared" ca="1" si="166"/>
        <v>8.1442330193308283</v>
      </c>
      <c r="T342" s="304">
        <f t="shared" ca="1" si="146"/>
        <v>79.894925919635426</v>
      </c>
      <c r="U342" s="311">
        <f t="shared" ca="1" si="147"/>
        <v>0</v>
      </c>
      <c r="V342" s="306">
        <f t="shared" ca="1" si="148"/>
        <v>1.1807469305431317</v>
      </c>
      <c r="W342" s="304">
        <f t="shared" ca="1" si="149"/>
        <v>125.55477101908873</v>
      </c>
      <c r="Y342" s="314" t="str">
        <f t="shared" ca="1" si="167"/>
        <v/>
      </c>
      <c r="Z342" s="315" t="str">
        <f t="shared" ca="1" si="168"/>
        <v/>
      </c>
      <c r="AA342" s="316" t="str">
        <f t="shared" ca="1" si="169"/>
        <v/>
      </c>
      <c r="AC342" s="310" t="e">
        <f t="shared" ca="1" si="170"/>
        <v>#N/A</v>
      </c>
      <c r="AD342" s="323" t="e">
        <f t="shared" ca="1" si="171"/>
        <v>#N/A</v>
      </c>
      <c r="AE342" s="324">
        <f t="shared" ca="1" si="150"/>
        <v>367.89463509262197</v>
      </c>
      <c r="AG342" s="306">
        <f t="shared" ca="1" si="172"/>
        <v>-9.9199870426653032</v>
      </c>
      <c r="AH342" s="304">
        <f t="shared" ca="1" si="173"/>
        <v>-0.38346021398233571</v>
      </c>
    </row>
    <row r="343" spans="1:34" x14ac:dyDescent="0.2">
      <c r="A343" s="347">
        <f t="shared" ca="1" si="151"/>
        <v>0.01</v>
      </c>
      <c r="B343" s="304">
        <f t="shared" ca="1" si="152"/>
        <v>3.3899999999999717</v>
      </c>
      <c r="D343" s="306">
        <f t="shared" ca="1" si="153"/>
        <v>-0.25390790479651898</v>
      </c>
      <c r="E343" s="307">
        <f t="shared" ca="1" si="154"/>
        <v>-10.862115417311575</v>
      </c>
      <c r="F343" s="304">
        <f t="shared" ca="1" si="155"/>
        <v>10.86508263029398</v>
      </c>
      <c r="G343" s="306">
        <f t="shared" ca="1" si="156"/>
        <v>42.088729319850671</v>
      </c>
      <c r="H343" s="307">
        <f t="shared" ca="1" si="157"/>
        <v>174.3045088827609</v>
      </c>
      <c r="I343" s="304">
        <f t="shared" ca="1" si="158"/>
        <v>179.31403445525433</v>
      </c>
      <c r="J343" s="306">
        <f t="shared" ca="1" si="159"/>
        <v>82.307534623211197</v>
      </c>
      <c r="K343" s="307">
        <f t="shared" ca="1" si="160"/>
        <v>369.63822328722046</v>
      </c>
      <c r="L343" s="304">
        <f t="shared" ca="1" si="145"/>
        <v>378.69109623898493</v>
      </c>
      <c r="M343" s="306">
        <f t="shared" ca="1" si="161"/>
        <v>1.3338650175595419</v>
      </c>
      <c r="N343" s="304">
        <f t="shared" ca="1" si="162"/>
        <v>76.424835946305194</v>
      </c>
      <c r="P343" s="310">
        <f t="shared" ca="1" si="163"/>
        <v>9</v>
      </c>
      <c r="Q343" s="304">
        <f t="shared" ca="1" si="164"/>
        <v>116.74074074075736</v>
      </c>
      <c r="R343" s="306">
        <f t="shared" ca="1" si="165"/>
        <v>5.8586738625806996E-2</v>
      </c>
      <c r="S343" s="307">
        <f t="shared" ca="1" si="166"/>
        <v>8.1436471519445703</v>
      </c>
      <c r="T343" s="304">
        <f t="shared" ca="1" si="146"/>
        <v>79.889178560576241</v>
      </c>
      <c r="U343" s="311">
        <f t="shared" ca="1" si="147"/>
        <v>0</v>
      </c>
      <c r="V343" s="306">
        <f t="shared" ca="1" si="148"/>
        <v>1.1805410048462048</v>
      </c>
      <c r="W343" s="304">
        <f t="shared" ca="1" si="149"/>
        <v>125.38433274641859</v>
      </c>
      <c r="Y343" s="314" t="str">
        <f t="shared" ca="1" si="167"/>
        <v/>
      </c>
      <c r="Z343" s="315" t="str">
        <f t="shared" ca="1" si="168"/>
        <v/>
      </c>
      <c r="AA343" s="316" t="str">
        <f t="shared" ca="1" si="169"/>
        <v/>
      </c>
      <c r="AC343" s="310" t="e">
        <f t="shared" ca="1" si="170"/>
        <v>#N/A</v>
      </c>
      <c r="AD343" s="323" t="e">
        <f t="shared" ca="1" si="171"/>
        <v>#N/A</v>
      </c>
      <c r="AE343" s="324">
        <f t="shared" ca="1" si="150"/>
        <v>369.63822328722046</v>
      </c>
      <c r="AG343" s="306">
        <f t="shared" ca="1" si="172"/>
        <v>-10.618551635420893</v>
      </c>
      <c r="AH343" s="304">
        <f t="shared" ca="1" si="173"/>
        <v>-1.0823197658099326</v>
      </c>
    </row>
    <row r="344" spans="1:34" x14ac:dyDescent="0.2">
      <c r="A344" s="347">
        <f t="shared" ca="1" si="151"/>
        <v>0.01</v>
      </c>
      <c r="B344" s="304">
        <f t="shared" ca="1" si="152"/>
        <v>3.3999999999999715</v>
      </c>
      <c r="D344" s="306">
        <f t="shared" ca="1" si="153"/>
        <v>-0.41782438344078193</v>
      </c>
      <c r="E344" s="307">
        <f t="shared" ca="1" si="154"/>
        <v>-11.540360482052831</v>
      </c>
      <c r="F344" s="304">
        <f t="shared" ca="1" si="155"/>
        <v>11.547921772818013</v>
      </c>
      <c r="G344" s="306">
        <f t="shared" ca="1" si="156"/>
        <v>42.084551076016261</v>
      </c>
      <c r="H344" s="307">
        <f t="shared" ca="1" si="157"/>
        <v>174.18910527794037</v>
      </c>
      <c r="I344" s="304">
        <f t="shared" ca="1" si="158"/>
        <v>179.20087565857264</v>
      </c>
      <c r="J344" s="306">
        <f t="shared" ca="1" si="159"/>
        <v>82.728401025190536</v>
      </c>
      <c r="K344" s="307">
        <f t="shared" ca="1" si="160"/>
        <v>371.38069135802397</v>
      </c>
      <c r="L344" s="304">
        <f t="shared" ca="1" si="145"/>
        <v>380.48338498513783</v>
      </c>
      <c r="M344" s="306">
        <f t="shared" ca="1" si="161"/>
        <v>1.3337365242801036</v>
      </c>
      <c r="N344" s="304">
        <f t="shared" ca="1" si="162"/>
        <v>76.417473823697577</v>
      </c>
      <c r="P344" s="310">
        <f t="shared" ca="1" si="163"/>
        <v>9</v>
      </c>
      <c r="Q344" s="304">
        <f t="shared" ca="1" si="164"/>
        <v>110.88888888890563</v>
      </c>
      <c r="R344" s="306">
        <f t="shared" ca="1" si="165"/>
        <v>5.564996682920928E-2</v>
      </c>
      <c r="S344" s="307">
        <f t="shared" ca="1" si="166"/>
        <v>8.1430906522762783</v>
      </c>
      <c r="T344" s="304">
        <f t="shared" ca="1" si="146"/>
        <v>79.8837192988303</v>
      </c>
      <c r="U344" s="311">
        <f t="shared" ca="1" si="147"/>
        <v>0</v>
      </c>
      <c r="V344" s="306">
        <f t="shared" ca="1" si="148"/>
        <v>1.1803352466574273</v>
      </c>
      <c r="W344" s="304">
        <f t="shared" ca="1" si="149"/>
        <v>125.20430552974133</v>
      </c>
      <c r="Y344" s="314" t="str">
        <f t="shared" ca="1" si="167"/>
        <v/>
      </c>
      <c r="Z344" s="315" t="str">
        <f t="shared" ca="1" si="168"/>
        <v/>
      </c>
      <c r="AA344" s="316" t="str">
        <f t="shared" ca="1" si="169"/>
        <v/>
      </c>
      <c r="AC344" s="310" t="e">
        <f t="shared" ca="1" si="170"/>
        <v>#N/A</v>
      </c>
      <c r="AD344" s="323" t="e">
        <f t="shared" ca="1" si="171"/>
        <v>#N/A</v>
      </c>
      <c r="AE344" s="324">
        <f t="shared" ca="1" si="150"/>
        <v>371.38069135802397</v>
      </c>
      <c r="AG344" s="306">
        <f t="shared" ca="1" si="172"/>
        <v>-11.316027603173785</v>
      </c>
      <c r="AH344" s="304">
        <f t="shared" ca="1" si="173"/>
        <v>-1.7800911811611706</v>
      </c>
    </row>
    <row r="345" spans="1:34" x14ac:dyDescent="0.2">
      <c r="A345" s="347">
        <f t="shared" ca="1" si="151"/>
        <v>0.01</v>
      </c>
      <c r="B345" s="304">
        <f t="shared" ca="1" si="152"/>
        <v>3.4099999999999713</v>
      </c>
      <c r="D345" s="306">
        <f t="shared" ca="1" si="153"/>
        <v>-0.5816590590050188</v>
      </c>
      <c r="E345" s="307">
        <f t="shared" ca="1" si="154"/>
        <v>-12.217502717134458</v>
      </c>
      <c r="F345" s="304">
        <f t="shared" ca="1" si="155"/>
        <v>12.231340887413385</v>
      </c>
      <c r="G345" s="306">
        <f t="shared" ca="1" si="156"/>
        <v>42.07873448542621</v>
      </c>
      <c r="H345" s="307">
        <f t="shared" ca="1" si="157"/>
        <v>174.06693025076902</v>
      </c>
      <c r="I345" s="304">
        <f t="shared" ca="1" si="158"/>
        <v>179.0807530217055</v>
      </c>
      <c r="J345" s="306">
        <f t="shared" ca="1" si="159"/>
        <v>83.149217452997746</v>
      </c>
      <c r="K345" s="307">
        <f t="shared" ca="1" si="160"/>
        <v>373.12197153566751</v>
      </c>
      <c r="L345" s="304">
        <f t="shared" ca="1" si="145"/>
        <v>382.27450608915763</v>
      </c>
      <c r="M345" s="306">
        <f t="shared" ca="1" si="161"/>
        <v>1.3336078763899737</v>
      </c>
      <c r="N345" s="304">
        <f t="shared" ca="1" si="162"/>
        <v>76.410102842549875</v>
      </c>
      <c r="P345" s="310">
        <f t="shared" ca="1" si="163"/>
        <v>9</v>
      </c>
      <c r="Q345" s="304">
        <f t="shared" ca="1" si="164"/>
        <v>105.03703703705391</v>
      </c>
      <c r="R345" s="306">
        <f t="shared" ca="1" si="165"/>
        <v>5.2713195032611571E-2</v>
      </c>
      <c r="S345" s="307">
        <f t="shared" ca="1" si="166"/>
        <v>8.1425635203259521</v>
      </c>
      <c r="T345" s="304">
        <f t="shared" ca="1" si="146"/>
        <v>79.87854813439759</v>
      </c>
      <c r="U345" s="311">
        <f t="shared" ca="1" si="147"/>
        <v>0</v>
      </c>
      <c r="V345" s="306">
        <f t="shared" ca="1" si="148"/>
        <v>1.1801296639003296</v>
      </c>
      <c r="W345" s="304">
        <f t="shared" ca="1" si="149"/>
        <v>125.01472889428133</v>
      </c>
      <c r="Y345" s="314" t="str">
        <f t="shared" ca="1" si="167"/>
        <v/>
      </c>
      <c r="Z345" s="315" t="str">
        <f t="shared" ca="1" si="168"/>
        <v/>
      </c>
      <c r="AA345" s="316" t="str">
        <f t="shared" ca="1" si="169"/>
        <v/>
      </c>
      <c r="AC345" s="310" t="e">
        <f t="shared" ca="1" si="170"/>
        <v>#N/A</v>
      </c>
      <c r="AD345" s="323" t="e">
        <f t="shared" ca="1" si="171"/>
        <v>#N/A</v>
      </c>
      <c r="AE345" s="324">
        <f t="shared" ca="1" si="150"/>
        <v>373.12197153566751</v>
      </c>
      <c r="AG345" s="306">
        <f t="shared" ca="1" si="172"/>
        <v>-12.012411878540966</v>
      </c>
      <c r="AH345" s="304">
        <f t="shared" ca="1" si="173"/>
        <v>-2.4767714052637957</v>
      </c>
    </row>
    <row r="346" spans="1:34" x14ac:dyDescent="0.2">
      <c r="A346" s="347">
        <f t="shared" ca="1" si="151"/>
        <v>0.01</v>
      </c>
      <c r="B346" s="304">
        <f t="shared" ca="1" si="152"/>
        <v>3.4199999999999711</v>
      </c>
      <c r="D346" s="306">
        <f t="shared" ca="1" si="153"/>
        <v>-0.74541115363694466</v>
      </c>
      <c r="E346" s="307">
        <f t="shared" ca="1" si="154"/>
        <v>-12.893539295441649</v>
      </c>
      <c r="F346" s="304">
        <f t="shared" ca="1" si="155"/>
        <v>12.915068460951506</v>
      </c>
      <c r="G346" s="306">
        <f t="shared" ca="1" si="156"/>
        <v>42.071280373889842</v>
      </c>
      <c r="H346" s="307">
        <f t="shared" ca="1" si="157"/>
        <v>173.9379948578146</v>
      </c>
      <c r="I346" s="304">
        <f t="shared" ca="1" si="158"/>
        <v>178.95367749072827</v>
      </c>
      <c r="J346" s="306">
        <f t="shared" ca="1" si="159"/>
        <v>83.569967527294324</v>
      </c>
      <c r="K346" s="307">
        <f t="shared" ca="1" si="160"/>
        <v>374.86199616121041</v>
      </c>
      <c r="L346" s="304">
        <f t="shared" ca="1" si="145"/>
        <v>384.06438996407928</v>
      </c>
      <c r="M346" s="306">
        <f t="shared" ca="1" si="161"/>
        <v>1.333479068596962</v>
      </c>
      <c r="N346" s="304">
        <f t="shared" ca="1" si="162"/>
        <v>76.402722699641913</v>
      </c>
      <c r="P346" s="310">
        <f t="shared" ca="1" si="163"/>
        <v>9</v>
      </c>
      <c r="Q346" s="304">
        <f t="shared" ca="1" si="164"/>
        <v>99.185185185202172</v>
      </c>
      <c r="R346" s="306">
        <f t="shared" ca="1" si="165"/>
        <v>4.9776423236013854E-2</v>
      </c>
      <c r="S346" s="307">
        <f t="shared" ca="1" si="166"/>
        <v>8.1420657560935918</v>
      </c>
      <c r="T346" s="304">
        <f t="shared" ca="1" si="146"/>
        <v>79.873665067278139</v>
      </c>
      <c r="U346" s="311">
        <f t="shared" ca="1" si="147"/>
        <v>0</v>
      </c>
      <c r="V346" s="306">
        <f t="shared" ca="1" si="148"/>
        <v>1.1799242644800245</v>
      </c>
      <c r="W346" s="304">
        <f t="shared" ca="1" si="149"/>
        <v>124.81564346179644</v>
      </c>
      <c r="Y346" s="314" t="str">
        <f t="shared" ca="1" si="167"/>
        <v/>
      </c>
      <c r="Z346" s="315" t="str">
        <f t="shared" ca="1" si="168"/>
        <v/>
      </c>
      <c r="AA346" s="316" t="str">
        <f t="shared" ca="1" si="169"/>
        <v/>
      </c>
      <c r="AC346" s="310" t="e">
        <f t="shared" ca="1" si="170"/>
        <v>#N/A</v>
      </c>
      <c r="AD346" s="323" t="e">
        <f t="shared" ca="1" si="171"/>
        <v>#N/A</v>
      </c>
      <c r="AE346" s="324">
        <f t="shared" ca="1" si="150"/>
        <v>374.86199616121041</v>
      </c>
      <c r="AG346" s="306">
        <f t="shared" ca="1" si="172"/>
        <v>-12.707701552749938</v>
      </c>
      <c r="AH346" s="304">
        <f t="shared" ca="1" si="173"/>
        <v>-3.1723575420338639</v>
      </c>
    </row>
    <row r="347" spans="1:34" x14ac:dyDescent="0.2">
      <c r="A347" s="347">
        <f t="shared" ca="1" si="151"/>
        <v>0.01</v>
      </c>
      <c r="B347" s="304">
        <f t="shared" ca="1" si="152"/>
        <v>3.4299999999999708</v>
      </c>
      <c r="D347" s="306">
        <f t="shared" ca="1" si="153"/>
        <v>-0.9090799384367676</v>
      </c>
      <c r="E347" s="307">
        <f t="shared" ca="1" si="154"/>
        <v>-13.568467540134362</v>
      </c>
      <c r="F347" s="304">
        <f t="shared" ca="1" si="155"/>
        <v>13.598887370742801</v>
      </c>
      <c r="G347" s="306">
        <f t="shared" ca="1" si="156"/>
        <v>42.062189574505474</v>
      </c>
      <c r="H347" s="307">
        <f t="shared" ca="1" si="157"/>
        <v>173.80231018241327</v>
      </c>
      <c r="I347" s="304">
        <f t="shared" ca="1" si="158"/>
        <v>178.81966003922901</v>
      </c>
      <c r="J347" s="306">
        <f t="shared" ca="1" si="159"/>
        <v>83.9906348770363</v>
      </c>
      <c r="K347" s="307">
        <f t="shared" ca="1" si="160"/>
        <v>376.60069768641154</v>
      </c>
      <c r="L347" s="304">
        <f t="shared" ca="1" si="145"/>
        <v>385.85296713248113</v>
      </c>
      <c r="M347" s="306">
        <f t="shared" ca="1" si="161"/>
        <v>1.3333500955840454</v>
      </c>
      <c r="N347" s="304">
        <f t="shared" ca="1" si="162"/>
        <v>76.395333090330709</v>
      </c>
      <c r="P347" s="310">
        <f t="shared" ca="1" si="163"/>
        <v>9</v>
      </c>
      <c r="Q347" s="304">
        <f t="shared" ca="1" si="164"/>
        <v>93.333333333350453</v>
      </c>
      <c r="R347" s="306">
        <f t="shared" ca="1" si="165"/>
        <v>4.6839651439416145E-2</v>
      </c>
      <c r="S347" s="307">
        <f t="shared" ca="1" si="166"/>
        <v>8.1415973595791975</v>
      </c>
      <c r="T347" s="304">
        <f t="shared" ca="1" si="146"/>
        <v>79.869070097471933</v>
      </c>
      <c r="U347" s="311">
        <f t="shared" ca="1" si="147"/>
        <v>0</v>
      </c>
      <c r="V347" s="306">
        <f t="shared" ca="1" si="148"/>
        <v>1.179719056283197</v>
      </c>
      <c r="W347" s="304">
        <f t="shared" ca="1" si="149"/>
        <v>124.60709094074301</v>
      </c>
      <c r="Y347" s="314" t="str">
        <f t="shared" ca="1" si="167"/>
        <v/>
      </c>
      <c r="Z347" s="315" t="str">
        <f t="shared" ca="1" si="168"/>
        <v/>
      </c>
      <c r="AA347" s="316" t="str">
        <f t="shared" ca="1" si="169"/>
        <v/>
      </c>
      <c r="AC347" s="310" t="e">
        <f t="shared" ca="1" si="170"/>
        <v>#N/A</v>
      </c>
      <c r="AD347" s="323" t="e">
        <f t="shared" ca="1" si="171"/>
        <v>#N/A</v>
      </c>
      <c r="AE347" s="324">
        <f t="shared" ca="1" si="150"/>
        <v>376.60069768641154</v>
      </c>
      <c r="AG347" s="306">
        <f t="shared" ca="1" si="172"/>
        <v>-13.401893874580061</v>
      </c>
      <c r="AH347" s="304">
        <f t="shared" ca="1" si="173"/>
        <v>-3.8668468530201507</v>
      </c>
    </row>
    <row r="348" spans="1:34" x14ac:dyDescent="0.2">
      <c r="A348" s="347">
        <f t="shared" ca="1" si="151"/>
        <v>0.01</v>
      </c>
      <c r="B348" s="304">
        <f t="shared" ca="1" si="152"/>
        <v>3.4399999999999706</v>
      </c>
      <c r="D348" s="306">
        <f t="shared" ca="1" si="153"/>
        <v>-1.0726647333288246</v>
      </c>
      <c r="E348" s="307">
        <f t="shared" ca="1" si="154"/>
        <v>-14.242284923577804</v>
      </c>
      <c r="F348" s="304">
        <f t="shared" ca="1" si="155"/>
        <v>14.282621939773488</v>
      </c>
      <c r="G348" s="306">
        <f t="shared" ca="1" si="156"/>
        <v>42.051462927172189</v>
      </c>
      <c r="H348" s="307">
        <f t="shared" ca="1" si="157"/>
        <v>173.65988733317749</v>
      </c>
      <c r="I348" s="304">
        <f t="shared" ca="1" si="158"/>
        <v>178.67871166674342</v>
      </c>
      <c r="J348" s="306">
        <f t="shared" ca="1" si="159"/>
        <v>84.411203139544682</v>
      </c>
      <c r="K348" s="307">
        <f t="shared" ca="1" si="160"/>
        <v>378.33800867398946</v>
      </c>
      <c r="L348" s="304">
        <f t="shared" ca="1" si="145"/>
        <v>387.64016822675279</v>
      </c>
      <c r="M348" s="306">
        <f t="shared" ca="1" si="161"/>
        <v>1.3332209520081009</v>
      </c>
      <c r="N348" s="304">
        <f t="shared" ca="1" si="162"/>
        <v>76.38793370847786</v>
      </c>
      <c r="P348" s="310">
        <f t="shared" ca="1" si="163"/>
        <v>9</v>
      </c>
      <c r="Q348" s="304">
        <f t="shared" ca="1" si="164"/>
        <v>87.481481481498719</v>
      </c>
      <c r="R348" s="306">
        <f t="shared" ca="1" si="165"/>
        <v>4.3902879642818429E-2</v>
      </c>
      <c r="S348" s="307">
        <f t="shared" ca="1" si="166"/>
        <v>8.1411583307827691</v>
      </c>
      <c r="T348" s="304">
        <f t="shared" ca="1" si="146"/>
        <v>79.864763224978972</v>
      </c>
      <c r="U348" s="311">
        <f t="shared" ca="1" si="147"/>
        <v>0</v>
      </c>
      <c r="V348" s="306">
        <f t="shared" ca="1" si="148"/>
        <v>1.1795140471781003</v>
      </c>
      <c r="W348" s="304">
        <f t="shared" ca="1" si="149"/>
        <v>124.38911411647031</v>
      </c>
      <c r="Y348" s="314" t="str">
        <f t="shared" ca="1" si="167"/>
        <v/>
      </c>
      <c r="Z348" s="315" t="str">
        <f t="shared" ca="1" si="168"/>
        <v/>
      </c>
      <c r="AA348" s="316" t="str">
        <f t="shared" ca="1" si="169"/>
        <v/>
      </c>
      <c r="AC348" s="310" t="e">
        <f t="shared" ca="1" si="170"/>
        <v>#N/A</v>
      </c>
      <c r="AD348" s="323" t="e">
        <f t="shared" ca="1" si="171"/>
        <v>#N/A</v>
      </c>
      <c r="AE348" s="324">
        <f t="shared" ca="1" si="150"/>
        <v>378.33800867398946</v>
      </c>
      <c r="AG348" s="306">
        <f t="shared" ca="1" si="172"/>
        <v>-14.094986249298366</v>
      </c>
      <c r="AH348" s="304">
        <f t="shared" ca="1" si="173"/>
        <v>-4.5602367563430839</v>
      </c>
    </row>
    <row r="349" spans="1:34" x14ac:dyDescent="0.2">
      <c r="A349" s="347">
        <f t="shared" ca="1" si="151"/>
        <v>0.01</v>
      </c>
      <c r="B349" s="304">
        <f t="shared" ca="1" si="152"/>
        <v>3.4499999999999704</v>
      </c>
      <c r="D349" s="306">
        <f t="shared" ca="1" si="153"/>
        <v>-1.2361649069360021</v>
      </c>
      <c r="E349" s="307">
        <f t="shared" ca="1" si="154"/>
        <v>-14.914989066266712</v>
      </c>
      <c r="F349" s="304">
        <f t="shared" ca="1" si="155"/>
        <v>14.966128508201299</v>
      </c>
      <c r="G349" s="306">
        <f t="shared" ca="1" si="156"/>
        <v>42.039101278102827</v>
      </c>
      <c r="H349" s="307">
        <f t="shared" ca="1" si="157"/>
        <v>173.51073744251482</v>
      </c>
      <c r="I349" s="304">
        <f t="shared" ca="1" si="158"/>
        <v>178.53084339720098</v>
      </c>
      <c r="J349" s="306">
        <f t="shared" ca="1" si="159"/>
        <v>84.831655960571055</v>
      </c>
      <c r="K349" s="307">
        <f t="shared" ca="1" si="160"/>
        <v>380.07386179786795</v>
      </c>
      <c r="L349" s="304">
        <f t="shared" ca="1" si="145"/>
        <v>389.42592398934806</v>
      </c>
      <c r="M349" s="306">
        <f t="shared" ca="1" si="161"/>
        <v>1.3330916324986275</v>
      </c>
      <c r="N349" s="304">
        <f t="shared" ca="1" si="162"/>
        <v>76.380524246376325</v>
      </c>
      <c r="P349" s="310">
        <f t="shared" ca="1" si="163"/>
        <v>9</v>
      </c>
      <c r="Q349" s="304">
        <f t="shared" ca="1" si="164"/>
        <v>81.629629629646985</v>
      </c>
      <c r="R349" s="306">
        <f t="shared" ca="1" si="165"/>
        <v>4.0966107846220713E-2</v>
      </c>
      <c r="S349" s="307">
        <f t="shared" ca="1" si="166"/>
        <v>8.1407486697043066</v>
      </c>
      <c r="T349" s="304">
        <f t="shared" ca="1" si="146"/>
        <v>79.860744449799256</v>
      </c>
      <c r="U349" s="311">
        <f t="shared" ca="1" si="147"/>
        <v>0</v>
      </c>
      <c r="V349" s="306">
        <f t="shared" ca="1" si="148"/>
        <v>1.1793092450145501</v>
      </c>
      <c r="W349" s="304">
        <f t="shared" ca="1" si="149"/>
        <v>124.16175684144646</v>
      </c>
      <c r="Y349" s="314" t="str">
        <f t="shared" ca="1" si="167"/>
        <v/>
      </c>
      <c r="Z349" s="315" t="str">
        <f t="shared" ca="1" si="168"/>
        <v/>
      </c>
      <c r="AA349" s="316" t="str">
        <f t="shared" ca="1" si="169"/>
        <v/>
      </c>
      <c r="AC349" s="310" t="e">
        <f t="shared" ca="1" si="170"/>
        <v>#N/A</v>
      </c>
      <c r="AD349" s="323" t="e">
        <f t="shared" ca="1" si="171"/>
        <v>#N/A</v>
      </c>
      <c r="AE349" s="324">
        <f t="shared" ca="1" si="150"/>
        <v>380.07386179786795</v>
      </c>
      <c r="AG349" s="306">
        <f t="shared" ca="1" si="172"/>
        <v>-14.786976237590064</v>
      </c>
      <c r="AH349" s="304">
        <f t="shared" ca="1" si="173"/>
        <v>-5.2525248256284103</v>
      </c>
    </row>
    <row r="350" spans="1:34" x14ac:dyDescent="0.2">
      <c r="A350" s="347">
        <f t="shared" ca="1" si="151"/>
        <v>0.01</v>
      </c>
      <c r="B350" s="304">
        <f t="shared" ca="1" si="152"/>
        <v>3.4599999999999702</v>
      </c>
      <c r="D350" s="306">
        <f t="shared" ca="1" si="153"/>
        <v>-1.3995798764570604</v>
      </c>
      <c r="E350" s="307">
        <f t="shared" ca="1" si="154"/>
        <v>-15.586577735743822</v>
      </c>
      <c r="F350" s="304">
        <f t="shared" ca="1" si="155"/>
        <v>15.64928846123582</v>
      </c>
      <c r="G350" s="306">
        <f t="shared" ca="1" si="156"/>
        <v>42.025105479338258</v>
      </c>
      <c r="H350" s="307">
        <f t="shared" ca="1" si="157"/>
        <v>173.35487166515739</v>
      </c>
      <c r="I350" s="304">
        <f t="shared" ca="1" si="158"/>
        <v>178.3760662773812</v>
      </c>
      <c r="J350" s="306">
        <f t="shared" ca="1" si="159"/>
        <v>85.251976994358259</v>
      </c>
      <c r="K350" s="307">
        <f t="shared" ca="1" si="160"/>
        <v>381.8081898434063</v>
      </c>
      <c r="L350" s="304">
        <f t="shared" ca="1" si="145"/>
        <v>391.21016527302197</v>
      </c>
      <c r="M350" s="306">
        <f t="shared" ca="1" si="161"/>
        <v>1.3329621316564517</v>
      </c>
      <c r="N350" s="304">
        <f t="shared" ca="1" si="162"/>
        <v>76.373104394676275</v>
      </c>
      <c r="P350" s="310">
        <f t="shared" ca="1" si="163"/>
        <v>9</v>
      </c>
      <c r="Q350" s="304">
        <f t="shared" ca="1" si="164"/>
        <v>75.777777777795279</v>
      </c>
      <c r="R350" s="306">
        <f t="shared" ca="1" si="165"/>
        <v>3.8029336049623011E-2</v>
      </c>
      <c r="S350" s="307">
        <f t="shared" ca="1" si="166"/>
        <v>8.1403683763438099</v>
      </c>
      <c r="T350" s="304">
        <f t="shared" ca="1" si="146"/>
        <v>79.857013771932785</v>
      </c>
      <c r="U350" s="311">
        <f t="shared" ca="1" si="147"/>
        <v>0</v>
      </c>
      <c r="V350" s="306">
        <f t="shared" ca="1" si="148"/>
        <v>1.1791046576239255</v>
      </c>
      <c r="W350" s="304">
        <f t="shared" ca="1" si="149"/>
        <v>123.92506402551777</v>
      </c>
      <c r="Y350" s="314" t="str">
        <f t="shared" ca="1" si="167"/>
        <v/>
      </c>
      <c r="Z350" s="315" t="str">
        <f t="shared" ca="1" si="168"/>
        <v/>
      </c>
      <c r="AA350" s="316" t="str">
        <f t="shared" ca="1" si="169"/>
        <v/>
      </c>
      <c r="AC350" s="310" t="e">
        <f t="shared" ca="1" si="170"/>
        <v>#N/A</v>
      </c>
      <c r="AD350" s="323" t="e">
        <f t="shared" ca="1" si="171"/>
        <v>#N/A</v>
      </c>
      <c r="AE350" s="324">
        <f t="shared" ca="1" si="150"/>
        <v>381.8081898434063</v>
      </c>
      <c r="AG350" s="306">
        <f t="shared" ca="1" si="172"/>
        <v>-15.477861554484143</v>
      </c>
      <c r="AH350" s="304">
        <f t="shared" ca="1" si="173"/>
        <v>-5.9437087889359761</v>
      </c>
    </row>
    <row r="351" spans="1:34" x14ac:dyDescent="0.2">
      <c r="A351" s="347">
        <f t="shared" ca="1" si="151"/>
        <v>0.01</v>
      </c>
      <c r="B351" s="304">
        <f t="shared" ca="1" si="152"/>
        <v>3.46999999999997</v>
      </c>
      <c r="D351" s="306">
        <f t="shared" ca="1" si="153"/>
        <v>-1.5629091075470209</v>
      </c>
      <c r="E351" s="307">
        <f t="shared" ca="1" si="154"/>
        <v>-16.257048845512756</v>
      </c>
      <c r="F351" s="304">
        <f t="shared" ca="1" si="155"/>
        <v>16.332003001586823</v>
      </c>
      <c r="G351" s="306">
        <f t="shared" ca="1" si="156"/>
        <v>42.00947638826279</v>
      </c>
      <c r="H351" s="307">
        <f t="shared" ca="1" si="157"/>
        <v>173.19230117670227</v>
      </c>
      <c r="I351" s="304">
        <f t="shared" ca="1" si="158"/>
        <v>178.21439137538124</v>
      </c>
      <c r="J351" s="306">
        <f t="shared" ca="1" si="159"/>
        <v>85.672149903696265</v>
      </c>
      <c r="K351" s="307">
        <f t="shared" ca="1" si="160"/>
        <v>383.5409257076156</v>
      </c>
      <c r="L351" s="304">
        <f t="shared" ca="1" si="145"/>
        <v>392.99282304105265</v>
      </c>
      <c r="M351" s="306">
        <f t="shared" ca="1" si="161"/>
        <v>1.3328324440524195</v>
      </c>
      <c r="N351" s="304">
        <f t="shared" ca="1" si="162"/>
        <v>76.365673842310059</v>
      </c>
      <c r="P351" s="310">
        <f t="shared" ca="1" si="163"/>
        <v>9</v>
      </c>
      <c r="Q351" s="304">
        <f t="shared" ca="1" si="164"/>
        <v>69.925925925943545</v>
      </c>
      <c r="R351" s="306">
        <f t="shared" ca="1" si="165"/>
        <v>3.5092564253025295E-2</v>
      </c>
      <c r="S351" s="307">
        <f t="shared" ca="1" si="166"/>
        <v>8.1400174507012792</v>
      </c>
      <c r="T351" s="304">
        <f t="shared" ca="1" si="146"/>
        <v>79.853571191379558</v>
      </c>
      <c r="U351" s="311">
        <f t="shared" ca="1" si="147"/>
        <v>0</v>
      </c>
      <c r="V351" s="306">
        <f t="shared" ca="1" si="148"/>
        <v>1.1789002928191663</v>
      </c>
      <c r="W351" s="304">
        <f t="shared" ca="1" si="149"/>
        <v>123.67908162620363</v>
      </c>
      <c r="Y351" s="314" t="str">
        <f t="shared" ca="1" si="167"/>
        <v/>
      </c>
      <c r="Z351" s="315" t="str">
        <f t="shared" ca="1" si="168"/>
        <v/>
      </c>
      <c r="AA351" s="316" t="str">
        <f t="shared" ca="1" si="169"/>
        <v/>
      </c>
      <c r="AC351" s="310" t="e">
        <f t="shared" ca="1" si="170"/>
        <v>#N/A</v>
      </c>
      <c r="AD351" s="323" t="e">
        <f t="shared" ca="1" si="171"/>
        <v>#N/A</v>
      </c>
      <c r="AE351" s="324">
        <f t="shared" ca="1" si="150"/>
        <v>383.5409257076156</v>
      </c>
      <c r="AG351" s="306">
        <f t="shared" ca="1" si="172"/>
        <v>-16.167640068274302</v>
      </c>
      <c r="AH351" s="304">
        <f t="shared" ca="1" si="173"/>
        <v>-6.6337865276839283</v>
      </c>
    </row>
    <row r="352" spans="1:34" x14ac:dyDescent="0.2">
      <c r="A352" s="347">
        <f t="shared" ca="1" si="151"/>
        <v>0.01</v>
      </c>
      <c r="B352" s="304">
        <f t="shared" ca="1" si="152"/>
        <v>3.4799999999999698</v>
      </c>
      <c r="D352" s="306">
        <f t="shared" ca="1" si="153"/>
        <v>-1.7222641286747766</v>
      </c>
      <c r="E352" s="307">
        <f t="shared" ca="1" si="154"/>
        <v>-16.910371471485686</v>
      </c>
      <c r="F352" s="304">
        <f t="shared" ca="1" si="155"/>
        <v>16.99784860011869</v>
      </c>
      <c r="G352" s="306">
        <f t="shared" ca="1" si="156"/>
        <v>41.99225374697604</v>
      </c>
      <c r="H352" s="307">
        <f t="shared" ca="1" si="157"/>
        <v>173.02319746198742</v>
      </c>
      <c r="I352" s="304">
        <f t="shared" ca="1" si="158"/>
        <v>178.04599471687172</v>
      </c>
      <c r="J352" s="306">
        <f t="shared" ca="1" si="159"/>
        <v>86.09215855437246</v>
      </c>
      <c r="K352" s="307">
        <f t="shared" ca="1" si="160"/>
        <v>385.27200320080902</v>
      </c>
      <c r="L352" s="304">
        <f t="shared" ca="1" si="145"/>
        <v>394.7738291920013</v>
      </c>
      <c r="M352" s="306">
        <f t="shared" ca="1" si="161"/>
        <v>1.3327025643463897</v>
      </c>
      <c r="N352" s="304">
        <f t="shared" ca="1" si="162"/>
        <v>76.358232283310144</v>
      </c>
      <c r="P352" s="310">
        <f t="shared" ca="1" si="163"/>
        <v>10</v>
      </c>
      <c r="Q352" s="304">
        <f t="shared" ca="1" si="164"/>
        <v>64.20833333335024</v>
      </c>
      <c r="R352" s="306">
        <f t="shared" ca="1" si="165"/>
        <v>3.2223170923279483E-2</v>
      </c>
      <c r="S352" s="307">
        <f t="shared" ca="1" si="166"/>
        <v>8.1396952189920473</v>
      </c>
      <c r="T352" s="304">
        <f t="shared" ca="1" si="146"/>
        <v>79.850410098311983</v>
      </c>
      <c r="U352" s="311">
        <f t="shared" ca="1" si="147"/>
        <v>0</v>
      </c>
      <c r="V352" s="306">
        <f t="shared" ca="1" si="148"/>
        <v>1.1786961583002784</v>
      </c>
      <c r="W352" s="304">
        <f t="shared" ca="1" si="149"/>
        <v>123.42408530358283</v>
      </c>
      <c r="Y352" s="314" t="str">
        <f t="shared" ca="1" si="167"/>
        <v/>
      </c>
      <c r="Z352" s="315" t="str">
        <f t="shared" ca="1" si="168"/>
        <v/>
      </c>
      <c r="AA352" s="316" t="str">
        <f t="shared" ca="1" si="169"/>
        <v/>
      </c>
      <c r="AC352" s="310" t="e">
        <f t="shared" ca="1" si="170"/>
        <v>#N/A</v>
      </c>
      <c r="AD352" s="323" t="e">
        <f t="shared" ca="1" si="171"/>
        <v>#N/A</v>
      </c>
      <c r="AE352" s="324">
        <f t="shared" ca="1" si="150"/>
        <v>385.27200320080902</v>
      </c>
      <c r="AG352" s="306">
        <f t="shared" ca="1" si="172"/>
        <v>-16.839816021513251</v>
      </c>
      <c r="AH352" s="304">
        <f t="shared" ca="1" si="173"/>
        <v>-7.3062622976462936</v>
      </c>
    </row>
    <row r="353" spans="1:34" x14ac:dyDescent="0.2">
      <c r="A353" s="347">
        <f t="shared" ca="1" si="151"/>
        <v>0.01</v>
      </c>
      <c r="B353" s="304">
        <f t="shared" ca="1" si="152"/>
        <v>3.4899999999999696</v>
      </c>
      <c r="D353" s="306">
        <f t="shared" ca="1" si="153"/>
        <v>-1.8776446564313141</v>
      </c>
      <c r="E353" s="307">
        <f t="shared" ca="1" si="154"/>
        <v>-17.546571704645782</v>
      </c>
      <c r="F353" s="304">
        <f t="shared" ca="1" si="155"/>
        <v>17.646748370226767</v>
      </c>
      <c r="G353" s="306">
        <f t="shared" ca="1" si="156"/>
        <v>41.97347730041173</v>
      </c>
      <c r="H353" s="307">
        <f t="shared" ca="1" si="157"/>
        <v>172.84773174494097</v>
      </c>
      <c r="I353" s="304">
        <f t="shared" ca="1" si="158"/>
        <v>177.87105207441499</v>
      </c>
      <c r="J353" s="306">
        <f t="shared" ca="1" si="159"/>
        <v>86.511987209609401</v>
      </c>
      <c r="K353" s="307">
        <f t="shared" ca="1" si="160"/>
        <v>387.00135784684369</v>
      </c>
      <c r="L353" s="304">
        <f t="shared" ca="1" si="145"/>
        <v>396.55311738310212</v>
      </c>
      <c r="M353" s="306">
        <f t="shared" ca="1" si="161"/>
        <v>1.3325724872869669</v>
      </c>
      <c r="N353" s="304">
        <f t="shared" ca="1" si="162"/>
        <v>76.350779416793756</v>
      </c>
      <c r="P353" s="310">
        <f t="shared" ca="1" si="163"/>
        <v>10</v>
      </c>
      <c r="Q353" s="304">
        <f t="shared" ca="1" si="164"/>
        <v>58.625000000017017</v>
      </c>
      <c r="R353" s="306">
        <f t="shared" ca="1" si="165"/>
        <v>2.9421156060386408E-2</v>
      </c>
      <c r="S353" s="307">
        <f t="shared" ca="1" si="166"/>
        <v>8.1394010074314433</v>
      </c>
      <c r="T353" s="304">
        <f t="shared" ca="1" si="146"/>
        <v>79.847523882902465</v>
      </c>
      <c r="U353" s="311">
        <f t="shared" ca="1" si="147"/>
        <v>0</v>
      </c>
      <c r="V353" s="306">
        <f t="shared" ca="1" si="148"/>
        <v>1.1784922615600935</v>
      </c>
      <c r="W353" s="304">
        <f t="shared" ca="1" si="149"/>
        <v>123.16035029253383</v>
      </c>
      <c r="Y353" s="314" t="str">
        <f t="shared" ca="1" si="167"/>
        <v/>
      </c>
      <c r="Z353" s="315" t="str">
        <f t="shared" ca="1" si="168"/>
        <v/>
      </c>
      <c r="AA353" s="316" t="str">
        <f t="shared" ca="1" si="169"/>
        <v/>
      </c>
      <c r="AC353" s="310" t="e">
        <f t="shared" ca="1" si="170"/>
        <v>#N/A</v>
      </c>
      <c r="AD353" s="323" t="e">
        <f t="shared" ca="1" si="171"/>
        <v>#N/A</v>
      </c>
      <c r="AE353" s="324">
        <f t="shared" ca="1" si="150"/>
        <v>387.00135784684369</v>
      </c>
      <c r="AG353" s="306">
        <f t="shared" ca="1" si="172"/>
        <v>-17.494414724950872</v>
      </c>
      <c r="AH353" s="304">
        <f t="shared" ca="1" si="173"/>
        <v>-7.9611614226160992</v>
      </c>
    </row>
    <row r="354" spans="1:34" x14ac:dyDescent="0.2">
      <c r="A354" s="347">
        <f t="shared" ca="1" si="151"/>
        <v>0.01</v>
      </c>
      <c r="B354" s="304">
        <f t="shared" ca="1" si="152"/>
        <v>3.4999999999999694</v>
      </c>
      <c r="D354" s="306">
        <f t="shared" ca="1" si="153"/>
        <v>-2.0329429353066817</v>
      </c>
      <c r="E354" s="307">
        <f t="shared" ca="1" si="154"/>
        <v>-18.181705127495245</v>
      </c>
      <c r="F354" s="304">
        <f t="shared" ca="1" si="155"/>
        <v>18.295006376642785</v>
      </c>
      <c r="G354" s="306">
        <f t="shared" ca="1" si="156"/>
        <v>41.953147871058661</v>
      </c>
      <c r="H354" s="307">
        <f t="shared" ca="1" si="157"/>
        <v>172.66591469366602</v>
      </c>
      <c r="I354" s="304">
        <f t="shared" ca="1" si="158"/>
        <v>177.68957401404074</v>
      </c>
      <c r="J354" s="306">
        <f t="shared" ca="1" si="159"/>
        <v>86.931620335466746</v>
      </c>
      <c r="K354" s="307">
        <f t="shared" ca="1" si="160"/>
        <v>388.72892607903674</v>
      </c>
      <c r="L354" s="304">
        <f t="shared" ca="1" si="145"/>
        <v>398.33062220310268</v>
      </c>
      <c r="M354" s="306">
        <f t="shared" ca="1" si="161"/>
        <v>1.3324422075903737</v>
      </c>
      <c r="N354" s="304">
        <f t="shared" ca="1" si="162"/>
        <v>76.343314940022722</v>
      </c>
      <c r="P354" s="310">
        <f t="shared" ca="1" si="163"/>
        <v>10</v>
      </c>
      <c r="Q354" s="304">
        <f t="shared" ca="1" si="164"/>
        <v>53.041666666683788</v>
      </c>
      <c r="R354" s="306">
        <f t="shared" ca="1" si="165"/>
        <v>2.661914119749333E-2</v>
      </c>
      <c r="S354" s="307">
        <f t="shared" ca="1" si="166"/>
        <v>8.1391348160194692</v>
      </c>
      <c r="T354" s="304">
        <f t="shared" ca="1" si="146"/>
        <v>79.84491254515099</v>
      </c>
      <c r="U354" s="311">
        <f t="shared" ca="1" si="147"/>
        <v>0</v>
      </c>
      <c r="V354" s="306">
        <f t="shared" ca="1" si="148"/>
        <v>1.1782886099792393</v>
      </c>
      <c r="W354" s="304">
        <f t="shared" ca="1" si="149"/>
        <v>122.88792316424781</v>
      </c>
      <c r="Y354" s="314" t="str">
        <f t="shared" ca="1" si="167"/>
        <v/>
      </c>
      <c r="Z354" s="315" t="str">
        <f t="shared" ca="1" si="168"/>
        <v/>
      </c>
      <c r="AA354" s="316" t="str">
        <f t="shared" ca="1" si="169"/>
        <v/>
      </c>
      <c r="AC354" s="310" t="e">
        <f t="shared" ca="1" si="170"/>
        <v>#N/A</v>
      </c>
      <c r="AD354" s="323" t="e">
        <f t="shared" ca="1" si="171"/>
        <v>#N/A</v>
      </c>
      <c r="AE354" s="324">
        <f t="shared" ca="1" si="150"/>
        <v>388.72892607903674</v>
      </c>
      <c r="AG354" s="306">
        <f t="shared" ca="1" si="172"/>
        <v>-18.147956831899567</v>
      </c>
      <c r="AH354" s="304">
        <f t="shared" ca="1" si="173"/>
        <v>-8.6150045687709031</v>
      </c>
    </row>
    <row r="355" spans="1:34" x14ac:dyDescent="0.2">
      <c r="A355" s="347">
        <f t="shared" ca="1" si="151"/>
        <v>0.01</v>
      </c>
      <c r="B355" s="304">
        <f t="shared" ca="1" si="152"/>
        <v>3.5099999999999691</v>
      </c>
      <c r="D355" s="306">
        <f t="shared" ca="1" si="153"/>
        <v>-2.1881587127461617</v>
      </c>
      <c r="E355" s="307">
        <f t="shared" ca="1" si="154"/>
        <v>-18.815770598965472</v>
      </c>
      <c r="F355" s="304">
        <f t="shared" ca="1" si="155"/>
        <v>18.942578013170763</v>
      </c>
      <c r="G355" s="306">
        <f t="shared" ca="1" si="156"/>
        <v>41.931266283931201</v>
      </c>
      <c r="H355" s="307">
        <f t="shared" ca="1" si="157"/>
        <v>172.47775698767637</v>
      </c>
      <c r="I355" s="304">
        <f t="shared" ca="1" si="158"/>
        <v>177.50157111325493</v>
      </c>
      <c r="J355" s="306">
        <f t="shared" ca="1" si="159"/>
        <v>87.351042406241689</v>
      </c>
      <c r="K355" s="307">
        <f t="shared" ca="1" si="160"/>
        <v>390.45464443744345</v>
      </c>
      <c r="L355" s="304">
        <f t="shared" ca="1" si="145"/>
        <v>400.10627834642565</v>
      </c>
      <c r="M355" s="306">
        <f t="shared" ca="1" si="161"/>
        <v>1.3323117199391934</v>
      </c>
      <c r="N355" s="304">
        <f t="shared" ca="1" si="162"/>
        <v>76.335838548331509</v>
      </c>
      <c r="P355" s="310">
        <f t="shared" ca="1" si="163"/>
        <v>10</v>
      </c>
      <c r="Q355" s="304">
        <f t="shared" ca="1" si="164"/>
        <v>47.458333333350552</v>
      </c>
      <c r="R355" s="306">
        <f t="shared" ca="1" si="165"/>
        <v>2.3817126334600251E-2</v>
      </c>
      <c r="S355" s="307">
        <f t="shared" ca="1" si="166"/>
        <v>8.1388966447561231</v>
      </c>
      <c r="T355" s="304">
        <f t="shared" ca="1" si="146"/>
        <v>79.842576085057573</v>
      </c>
      <c r="U355" s="311">
        <f t="shared" ca="1" si="147"/>
        <v>0</v>
      </c>
      <c r="V355" s="306">
        <f t="shared" ca="1" si="148"/>
        <v>1.1780852109208513</v>
      </c>
      <c r="W355" s="304">
        <f t="shared" ca="1" si="149"/>
        <v>122.60685139681128</v>
      </c>
      <c r="Y355" s="314" t="str">
        <f t="shared" ca="1" si="167"/>
        <v/>
      </c>
      <c r="Z355" s="315" t="str">
        <f t="shared" ca="1" si="168"/>
        <v/>
      </c>
      <c r="AA355" s="316" t="str">
        <f t="shared" ca="1" si="169"/>
        <v/>
      </c>
      <c r="AC355" s="310" t="e">
        <f t="shared" ca="1" si="170"/>
        <v>#N/A</v>
      </c>
      <c r="AD355" s="323" t="e">
        <f t="shared" ca="1" si="171"/>
        <v>#N/A</v>
      </c>
      <c r="AE355" s="324">
        <f t="shared" ca="1" si="150"/>
        <v>390.45464443744345</v>
      </c>
      <c r="AG355" s="306">
        <f t="shared" ca="1" si="172"/>
        <v>-18.800441194787119</v>
      </c>
      <c r="AH355" s="304">
        <f t="shared" ca="1" si="173"/>
        <v>-9.2677906015057232</v>
      </c>
    </row>
    <row r="356" spans="1:34" x14ac:dyDescent="0.2">
      <c r="A356" s="347">
        <f t="shared" ca="1" si="151"/>
        <v>0.01</v>
      </c>
      <c r="B356" s="304">
        <f t="shared" ca="1" si="152"/>
        <v>3.5199999999999689</v>
      </c>
      <c r="D356" s="306">
        <f t="shared" ca="1" si="153"/>
        <v>-2.3432917795275405</v>
      </c>
      <c r="E356" s="307">
        <f t="shared" ca="1" si="154"/>
        <v>-19.448767104332696</v>
      </c>
      <c r="F356" s="304">
        <f t="shared" ca="1" si="155"/>
        <v>19.589424653178941</v>
      </c>
      <c r="G356" s="306">
        <f t="shared" ca="1" si="156"/>
        <v>41.907833366135925</v>
      </c>
      <c r="H356" s="307">
        <f t="shared" ca="1" si="157"/>
        <v>172.28326931663304</v>
      </c>
      <c r="I356" s="304">
        <f t="shared" ca="1" si="158"/>
        <v>177.30705395970946</v>
      </c>
      <c r="J356" s="306">
        <f t="shared" ca="1" si="159"/>
        <v>87.770237904492021</v>
      </c>
      <c r="K356" s="307">
        <f t="shared" ca="1" si="160"/>
        <v>392.17844956896499</v>
      </c>
      <c r="L356" s="304">
        <f t="shared" ca="1" si="145"/>
        <v>401.88002061327751</v>
      </c>
      <c r="M356" s="306">
        <f t="shared" ca="1" si="161"/>
        <v>1.3321810189810943</v>
      </c>
      <c r="N356" s="304">
        <f t="shared" ca="1" si="162"/>
        <v>76.328349935054121</v>
      </c>
      <c r="P356" s="310">
        <f t="shared" ca="1" si="163"/>
        <v>10</v>
      </c>
      <c r="Q356" s="304">
        <f t="shared" ca="1" si="164"/>
        <v>41.875000000017323</v>
      </c>
      <c r="R356" s="306">
        <f t="shared" ca="1" si="165"/>
        <v>2.1015111471707173E-2</v>
      </c>
      <c r="S356" s="307">
        <f t="shared" ca="1" si="166"/>
        <v>8.1386864936414067</v>
      </c>
      <c r="T356" s="304">
        <f t="shared" ca="1" si="146"/>
        <v>79.840514502622199</v>
      </c>
      <c r="U356" s="311">
        <f t="shared" ca="1" si="147"/>
        <v>0</v>
      </c>
      <c r="V356" s="306">
        <f t="shared" ca="1" si="148"/>
        <v>1.177882071730582</v>
      </c>
      <c r="W356" s="304">
        <f t="shared" ca="1" si="149"/>
        <v>122.31718336665024</v>
      </c>
      <c r="Y356" s="314" t="str">
        <f t="shared" ca="1" si="167"/>
        <v/>
      </c>
      <c r="Z356" s="315" t="str">
        <f t="shared" ca="1" si="168"/>
        <v/>
      </c>
      <c r="AA356" s="316" t="str">
        <f t="shared" ca="1" si="169"/>
        <v/>
      </c>
      <c r="AC356" s="310" t="e">
        <f t="shared" ca="1" si="170"/>
        <v>#N/A</v>
      </c>
      <c r="AD356" s="323" t="e">
        <f t="shared" ca="1" si="171"/>
        <v>#N/A</v>
      </c>
      <c r="AE356" s="324">
        <f t="shared" ca="1" si="150"/>
        <v>392.17844956896499</v>
      </c>
      <c r="AG356" s="306">
        <f t="shared" ca="1" si="172"/>
        <v>-19.451866799062337</v>
      </c>
      <c r="AH356" s="304">
        <f t="shared" ca="1" si="173"/>
        <v>-9.9195185193419277</v>
      </c>
    </row>
    <row r="357" spans="1:34" x14ac:dyDescent="0.2">
      <c r="A357" s="347">
        <f t="shared" ca="1" si="151"/>
        <v>0.01</v>
      </c>
      <c r="B357" s="304">
        <f t="shared" ca="1" si="152"/>
        <v>3.5299999999999687</v>
      </c>
      <c r="D357" s="306">
        <f t="shared" ca="1" si="153"/>
        <v>-2.4983419696706926</v>
      </c>
      <c r="E357" s="307">
        <f t="shared" ca="1" si="154"/>
        <v>-20.080693754204695</v>
      </c>
      <c r="F357" s="304">
        <f t="shared" ca="1" si="155"/>
        <v>20.235512700388234</v>
      </c>
      <c r="G357" s="306">
        <f t="shared" ca="1" si="156"/>
        <v>41.882849946439215</v>
      </c>
      <c r="H357" s="307">
        <f t="shared" ca="1" si="157"/>
        <v>172.082462379091</v>
      </c>
      <c r="I357" s="304">
        <f t="shared" ca="1" si="158"/>
        <v>177.10603314988231</v>
      </c>
      <c r="J357" s="306">
        <f t="shared" ca="1" si="159"/>
        <v>88.189191321054892</v>
      </c>
      <c r="K357" s="307">
        <f t="shared" ca="1" si="160"/>
        <v>393.90027822744361</v>
      </c>
      <c r="L357" s="304">
        <f t="shared" ca="1" si="145"/>
        <v>403.65178390974455</v>
      </c>
      <c r="M357" s="306">
        <f t="shared" ca="1" si="161"/>
        <v>1.3320500993275362</v>
      </c>
      <c r="N357" s="304">
        <f t="shared" ca="1" si="162"/>
        <v>76.320848791449919</v>
      </c>
      <c r="P357" s="310">
        <f t="shared" ca="1" si="163"/>
        <v>10</v>
      </c>
      <c r="Q357" s="304">
        <f t="shared" ca="1" si="164"/>
        <v>36.291666666684094</v>
      </c>
      <c r="R357" s="306">
        <f t="shared" ca="1" si="165"/>
        <v>1.8213096608814094E-2</v>
      </c>
      <c r="S357" s="307">
        <f t="shared" ca="1" si="166"/>
        <v>8.1385043626753184</v>
      </c>
      <c r="T357" s="304">
        <f t="shared" ca="1" si="146"/>
        <v>79.838727797844882</v>
      </c>
      <c r="U357" s="311">
        <f t="shared" ca="1" si="147"/>
        <v>0</v>
      </c>
      <c r="V357" s="306">
        <f t="shared" ca="1" si="148"/>
        <v>1.1776791997366227</v>
      </c>
      <c r="W357" s="304">
        <f t="shared" ca="1" si="149"/>
        <v>122.0189683400198</v>
      </c>
      <c r="Y357" s="314" t="str">
        <f t="shared" ca="1" si="167"/>
        <v/>
      </c>
      <c r="Z357" s="315" t="str">
        <f t="shared" ca="1" si="168"/>
        <v/>
      </c>
      <c r="AA357" s="316" t="str">
        <f t="shared" ca="1" si="169"/>
        <v/>
      </c>
      <c r="AC357" s="310" t="e">
        <f t="shared" ca="1" si="170"/>
        <v>#N/A</v>
      </c>
      <c r="AD357" s="323" t="e">
        <f t="shared" ca="1" si="171"/>
        <v>#N/A</v>
      </c>
      <c r="AE357" s="324">
        <f t="shared" ca="1" si="150"/>
        <v>393.90027822744361</v>
      </c>
      <c r="AG357" s="306">
        <f t="shared" ca="1" si="172"/>
        <v>-20.102232762194511</v>
      </c>
      <c r="AH357" s="304">
        <f t="shared" ca="1" si="173"/>
        <v>-10.570187452929931</v>
      </c>
    </row>
    <row r="358" spans="1:34" x14ac:dyDescent="0.2">
      <c r="A358" s="347">
        <f t="shared" ca="1" si="151"/>
        <v>0.01</v>
      </c>
      <c r="B358" s="304">
        <f t="shared" ca="1" si="152"/>
        <v>3.5399999999999685</v>
      </c>
      <c r="D358" s="306">
        <f t="shared" ca="1" si="153"/>
        <v>-2.6533091603508501</v>
      </c>
      <c r="E358" s="307">
        <f t="shared" ca="1" si="154"/>
        <v>-20.711549783504903</v>
      </c>
      <c r="F358" s="304">
        <f t="shared" ca="1" si="155"/>
        <v>20.880812817871906</v>
      </c>
      <c r="G358" s="306">
        <f t="shared" ca="1" si="156"/>
        <v>41.856316854835704</v>
      </c>
      <c r="H358" s="307">
        <f t="shared" ca="1" si="157"/>
        <v>171.87534688125595</v>
      </c>
      <c r="I358" s="304">
        <f t="shared" ca="1" si="158"/>
        <v>176.89851928776696</v>
      </c>
      <c r="J358" s="306">
        <f t="shared" ca="1" si="159"/>
        <v>88.607887155061263</v>
      </c>
      <c r="K358" s="307">
        <f t="shared" ca="1" si="160"/>
        <v>395.62006727374535</v>
      </c>
      <c r="L358" s="304">
        <f t="shared" ca="1" si="145"/>
        <v>405.42150324787519</v>
      </c>
      <c r="M358" s="306">
        <f t="shared" ca="1" si="161"/>
        <v>1.3319189555524571</v>
      </c>
      <c r="N358" s="304">
        <f t="shared" ca="1" si="162"/>
        <v>76.313334806628475</v>
      </c>
      <c r="P358" s="310">
        <f t="shared" ca="1" si="163"/>
        <v>10</v>
      </c>
      <c r="Q358" s="304">
        <f t="shared" ca="1" si="164"/>
        <v>30.708333333350872</v>
      </c>
      <c r="R358" s="306">
        <f t="shared" ca="1" si="165"/>
        <v>1.5411081745921019E-2</v>
      </c>
      <c r="S358" s="307">
        <f t="shared" ca="1" si="166"/>
        <v>8.1383502518578599</v>
      </c>
      <c r="T358" s="304">
        <f t="shared" ca="1" si="146"/>
        <v>79.837215970725609</v>
      </c>
      <c r="U358" s="311">
        <f t="shared" ca="1" si="147"/>
        <v>0</v>
      </c>
      <c r="V358" s="306">
        <f t="shared" ca="1" si="148"/>
        <v>1.1774766022497183</v>
      </c>
      <c r="W358" s="304">
        <f t="shared" ca="1" si="149"/>
        <v>121.71225646453811</v>
      </c>
      <c r="Y358" s="314" t="str">
        <f t="shared" ca="1" si="167"/>
        <v/>
      </c>
      <c r="Z358" s="315" t="str">
        <f t="shared" ca="1" si="168"/>
        <v/>
      </c>
      <c r="AA358" s="316" t="str">
        <f t="shared" ca="1" si="169"/>
        <v/>
      </c>
      <c r="AC358" s="310" t="e">
        <f t="shared" ca="1" si="170"/>
        <v>#N/A</v>
      </c>
      <c r="AD358" s="323" t="e">
        <f t="shared" ca="1" si="171"/>
        <v>#N/A</v>
      </c>
      <c r="AE358" s="324">
        <f t="shared" ca="1" si="150"/>
        <v>395.62006727374535</v>
      </c>
      <c r="AG358" s="306">
        <f t="shared" ca="1" si="172"/>
        <v>-20.751538332671316</v>
      </c>
      <c r="AH358" s="304">
        <f t="shared" ca="1" si="173"/>
        <v>-11.219796664050445</v>
      </c>
    </row>
    <row r="359" spans="1:34" x14ac:dyDescent="0.2">
      <c r="A359" s="347">
        <f t="shared" ca="1" si="151"/>
        <v>0.01</v>
      </c>
      <c r="B359" s="304">
        <f t="shared" ca="1" si="152"/>
        <v>3.5499999999999683</v>
      </c>
      <c r="D359" s="306">
        <f t="shared" ca="1" si="153"/>
        <v>-2.8081932718156319</v>
      </c>
      <c r="E359" s="307">
        <f t="shared" ca="1" si="154"/>
        <v>-21.341334550454086</v>
      </c>
      <c r="F359" s="304">
        <f t="shared" ca="1" si="155"/>
        <v>21.525299297484249</v>
      </c>
      <c r="G359" s="306">
        <f t="shared" ca="1" si="156"/>
        <v>41.828234922117545</v>
      </c>
      <c r="H359" s="307">
        <f t="shared" ca="1" si="157"/>
        <v>171.66193353575142</v>
      </c>
      <c r="I359" s="304">
        <f t="shared" ca="1" si="158"/>
        <v>176.68452298357261</v>
      </c>
      <c r="J359" s="306">
        <f t="shared" ca="1" si="159"/>
        <v>89.026309913946022</v>
      </c>
      <c r="K359" s="307">
        <f t="shared" ca="1" si="160"/>
        <v>397.33775367583041</v>
      </c>
      <c r="L359" s="304">
        <f t="shared" ca="1" si="145"/>
        <v>407.18911374574941</v>
      </c>
      <c r="M359" s="306">
        <f t="shared" ca="1" si="161"/>
        <v>1.3317875821909431</v>
      </c>
      <c r="N359" s="304">
        <f t="shared" ca="1" si="162"/>
        <v>76.305807667473275</v>
      </c>
      <c r="P359" s="310">
        <f t="shared" ca="1" si="163"/>
        <v>10</v>
      </c>
      <c r="Q359" s="304">
        <f t="shared" ca="1" si="164"/>
        <v>25.125000000017643</v>
      </c>
      <c r="R359" s="306">
        <f t="shared" ca="1" si="165"/>
        <v>1.2609066883027941E-2</v>
      </c>
      <c r="S359" s="307">
        <f t="shared" ca="1" si="166"/>
        <v>8.1382241611890294</v>
      </c>
      <c r="T359" s="304">
        <f t="shared" ca="1" si="146"/>
        <v>79.835979021264379</v>
      </c>
      <c r="U359" s="311">
        <f t="shared" ca="1" si="147"/>
        <v>0</v>
      </c>
      <c r="V359" s="306">
        <f t="shared" ca="1" si="148"/>
        <v>1.1772742865631889</v>
      </c>
      <c r="W359" s="304">
        <f t="shared" ca="1" si="149"/>
        <v>121.39709876076903</v>
      </c>
      <c r="Y359" s="314" t="str">
        <f t="shared" ca="1" si="167"/>
        <v/>
      </c>
      <c r="Z359" s="315" t="str">
        <f t="shared" ca="1" si="168"/>
        <v/>
      </c>
      <c r="AA359" s="316" t="str">
        <f t="shared" ca="1" si="169"/>
        <v/>
      </c>
      <c r="AC359" s="310" t="e">
        <f t="shared" ca="1" si="170"/>
        <v>#N/A</v>
      </c>
      <c r="AD359" s="323" t="e">
        <f t="shared" ca="1" si="171"/>
        <v>#N/A</v>
      </c>
      <c r="AE359" s="324">
        <f t="shared" ca="1" si="150"/>
        <v>397.33775367583041</v>
      </c>
      <c r="AG359" s="306">
        <f t="shared" ca="1" si="172"/>
        <v>-21.399782888995304</v>
      </c>
      <c r="AH359" s="304">
        <f t="shared" ca="1" si="173"/>
        <v>-11.868345544614325</v>
      </c>
    </row>
    <row r="360" spans="1:34" x14ac:dyDescent="0.2">
      <c r="A360" s="347">
        <f t="shared" ca="1" si="151"/>
        <v>0.01</v>
      </c>
      <c r="B360" s="304">
        <f t="shared" ca="1" si="152"/>
        <v>3.5599999999999681</v>
      </c>
      <c r="D360" s="306">
        <f t="shared" ca="1" si="153"/>
        <v>-2.9629942673060183</v>
      </c>
      <c r="E360" s="307">
        <f t="shared" ca="1" si="154"/>
        <v>-21.970047535549909</v>
      </c>
      <c r="F360" s="304">
        <f t="shared" ca="1" si="155"/>
        <v>22.168949540797168</v>
      </c>
      <c r="G360" s="306">
        <f t="shared" ca="1" si="156"/>
        <v>41.798604979444484</v>
      </c>
      <c r="H360" s="307">
        <f t="shared" ca="1" si="157"/>
        <v>171.44223306039592</v>
      </c>
      <c r="I360" s="304">
        <f t="shared" ca="1" si="158"/>
        <v>176.46405485243378</v>
      </c>
      <c r="J360" s="306">
        <f t="shared" ca="1" si="159"/>
        <v>89.444444113453827</v>
      </c>
      <c r="K360" s="307">
        <f t="shared" ca="1" si="160"/>
        <v>399.05327450881117</v>
      </c>
      <c r="L360" s="304">
        <f t="shared" ca="1" si="145"/>
        <v>408.95455062753535</v>
      </c>
      <c r="M360" s="306">
        <f t="shared" ca="1" si="161"/>
        <v>1.3316559737378739</v>
      </c>
      <c r="N360" s="304">
        <f t="shared" ca="1" si="162"/>
        <v>76.298267058564164</v>
      </c>
      <c r="P360" s="310">
        <f t="shared" ca="1" si="163"/>
        <v>10</v>
      </c>
      <c r="Q360" s="304">
        <f t="shared" ca="1" si="164"/>
        <v>19.541666666684407</v>
      </c>
      <c r="R360" s="306">
        <f t="shared" ca="1" si="165"/>
        <v>9.8070520201348592E-3</v>
      </c>
      <c r="S360" s="307">
        <f t="shared" ca="1" si="166"/>
        <v>8.1381260906688286</v>
      </c>
      <c r="T360" s="304">
        <f t="shared" ca="1" si="146"/>
        <v>79.835016949461206</v>
      </c>
      <c r="U360" s="311">
        <f t="shared" ca="1" si="147"/>
        <v>0</v>
      </c>
      <c r="V360" s="306">
        <f t="shared" ca="1" si="148"/>
        <v>1.17707225995295</v>
      </c>
      <c r="W360" s="304">
        <f t="shared" ca="1" si="149"/>
        <v>121.07354711385189</v>
      </c>
      <c r="Y360" s="314" t="str">
        <f t="shared" ca="1" si="167"/>
        <v/>
      </c>
      <c r="Z360" s="315" t="str">
        <f t="shared" ca="1" si="168"/>
        <v/>
      </c>
      <c r="AA360" s="316" t="str">
        <f t="shared" ca="1" si="169"/>
        <v/>
      </c>
      <c r="AC360" s="310" t="e">
        <f t="shared" ca="1" si="170"/>
        <v>#N/A</v>
      </c>
      <c r="AD360" s="323" t="e">
        <f t="shared" ca="1" si="171"/>
        <v>#N/A</v>
      </c>
      <c r="AE360" s="324">
        <f t="shared" ca="1" si="150"/>
        <v>399.05327450881117</v>
      </c>
      <c r="AG360" s="306">
        <f t="shared" ca="1" si="172"/>
        <v>-22.046965938679335</v>
      </c>
      <c r="AH360" s="304">
        <f t="shared" ca="1" si="173"/>
        <v>-12.515833615661474</v>
      </c>
    </row>
    <row r="361" spans="1:34" x14ac:dyDescent="0.2">
      <c r="A361" s="347">
        <f t="shared" ca="1" si="151"/>
        <v>0.01</v>
      </c>
      <c r="B361" s="304">
        <f t="shared" ca="1" si="152"/>
        <v>3.5699999999999679</v>
      </c>
      <c r="D361" s="306">
        <f t="shared" ca="1" si="153"/>
        <v>-3.1177121529813947</v>
      </c>
      <c r="E361" s="307">
        <f t="shared" ca="1" si="154"/>
        <v>-22.59768834054444</v>
      </c>
      <c r="F361" s="304">
        <f t="shared" ca="1" si="155"/>
        <v>22.811743629219272</v>
      </c>
      <c r="G361" s="306">
        <f t="shared" ca="1" si="156"/>
        <v>41.767427857914669</v>
      </c>
      <c r="H361" s="307">
        <f t="shared" ca="1" si="157"/>
        <v>171.21625617699047</v>
      </c>
      <c r="I361" s="304">
        <f t="shared" ca="1" si="158"/>
        <v>176.23712551313056</v>
      </c>
      <c r="J361" s="306">
        <f t="shared" ca="1" si="159"/>
        <v>89.862274277640623</v>
      </c>
      <c r="K361" s="307">
        <f t="shared" ca="1" si="160"/>
        <v>400.7665669549981</v>
      </c>
      <c r="L361" s="304">
        <f t="shared" ca="1" si="145"/>
        <v>410.71774922353291</v>
      </c>
      <c r="M361" s="306">
        <f t="shared" ca="1" si="161"/>
        <v>1.3315241246465506</v>
      </c>
      <c r="N361" s="304">
        <f t="shared" ca="1" si="162"/>
        <v>76.290712662098699</v>
      </c>
      <c r="P361" s="310">
        <f t="shared" ca="1" si="163"/>
        <v>10</v>
      </c>
      <c r="Q361" s="304">
        <f t="shared" ca="1" si="164"/>
        <v>13.958333333351177</v>
      </c>
      <c r="R361" s="306">
        <f t="shared" ca="1" si="165"/>
        <v>7.0050371572417808E-3</v>
      </c>
      <c r="S361" s="307">
        <f t="shared" ca="1" si="166"/>
        <v>8.1380560402972559</v>
      </c>
      <c r="T361" s="304">
        <f t="shared" ca="1" si="146"/>
        <v>79.834329755316091</v>
      </c>
      <c r="U361" s="311">
        <f t="shared" ca="1" si="147"/>
        <v>0</v>
      </c>
      <c r="V361" s="306">
        <f t="shared" ca="1" si="148"/>
        <v>1.1768705296775377</v>
      </c>
      <c r="W361" s="304">
        <f t="shared" ca="1" si="149"/>
        <v>120.74165426518265</v>
      </c>
      <c r="Y361" s="314" t="str">
        <f t="shared" ca="1" si="167"/>
        <v/>
      </c>
      <c r="Z361" s="315" t="str">
        <f t="shared" ca="1" si="168"/>
        <v/>
      </c>
      <c r="AA361" s="316" t="str">
        <f t="shared" ca="1" si="169"/>
        <v/>
      </c>
      <c r="AC361" s="310" t="e">
        <f t="shared" ca="1" si="170"/>
        <v>#N/A</v>
      </c>
      <c r="AD361" s="323" t="e">
        <f t="shared" ca="1" si="171"/>
        <v>#N/A</v>
      </c>
      <c r="AE361" s="324">
        <f t="shared" ca="1" si="150"/>
        <v>400.7665669549981</v>
      </c>
      <c r="AG361" s="306">
        <f t="shared" ca="1" si="172"/>
        <v>-22.693087117241117</v>
      </c>
      <c r="AH361" s="304">
        <f t="shared" ca="1" si="173"/>
        <v>-13.162260526358841</v>
      </c>
    </row>
    <row r="362" spans="1:34" x14ac:dyDescent="0.2">
      <c r="A362" s="347">
        <f t="shared" ca="1" si="151"/>
        <v>0.01</v>
      </c>
      <c r="B362" s="304">
        <f t="shared" ca="1" si="152"/>
        <v>3.5799999999999677</v>
      </c>
      <c r="D362" s="306">
        <f t="shared" ca="1" si="153"/>
        <v>-3.2723469778488212</v>
      </c>
      <c r="E362" s="307">
        <f t="shared" ca="1" si="154"/>
        <v>-23.224256687420009</v>
      </c>
      <c r="F362" s="304">
        <f t="shared" ca="1" si="155"/>
        <v>23.453663965926719</v>
      </c>
      <c r="G362" s="306">
        <f t="shared" ca="1" si="156"/>
        <v>41.73470438813618</v>
      </c>
      <c r="H362" s="307">
        <f t="shared" ca="1" si="157"/>
        <v>170.98401361011628</v>
      </c>
      <c r="I362" s="304">
        <f t="shared" ca="1" si="158"/>
        <v>176.00374558681852</v>
      </c>
      <c r="J362" s="306">
        <f t="shared" ca="1" si="159"/>
        <v>90.279784938870876</v>
      </c>
      <c r="K362" s="307">
        <f t="shared" ca="1" si="160"/>
        <v>402.47756830393365</v>
      </c>
      <c r="L362" s="304">
        <f t="shared" ca="1" si="145"/>
        <v>412.47864497020493</v>
      </c>
      <c r="M362" s="306">
        <f t="shared" ca="1" si="161"/>
        <v>1.3313920293272981</v>
      </c>
      <c r="N362" s="304">
        <f t="shared" ca="1" si="162"/>
        <v>76.283144157812103</v>
      </c>
      <c r="P362" s="310">
        <f t="shared" ca="1" si="163"/>
        <v>10</v>
      </c>
      <c r="Q362" s="304">
        <f t="shared" ca="1" si="164"/>
        <v>8.3750000000179483</v>
      </c>
      <c r="R362" s="306">
        <f t="shared" ca="1" si="165"/>
        <v>4.2030222943487032E-3</v>
      </c>
      <c r="S362" s="307">
        <f t="shared" ca="1" si="166"/>
        <v>8.138014010074313</v>
      </c>
      <c r="T362" s="304">
        <f t="shared" ca="1" si="146"/>
        <v>79.833917438829019</v>
      </c>
      <c r="U362" s="311">
        <f t="shared" ca="1" si="147"/>
        <v>0</v>
      </c>
      <c r="V362" s="306">
        <f t="shared" ca="1" si="148"/>
        <v>1.1766691029781338</v>
      </c>
      <c r="W362" s="304">
        <f t="shared" ca="1" si="149"/>
        <v>120.40147380414555</v>
      </c>
      <c r="Y362" s="314" t="str">
        <f t="shared" ca="1" si="167"/>
        <v/>
      </c>
      <c r="Z362" s="315" t="str">
        <f t="shared" ca="1" si="168"/>
        <v/>
      </c>
      <c r="AA362" s="316" t="str">
        <f t="shared" ca="1" si="169"/>
        <v/>
      </c>
      <c r="AC362" s="310" t="e">
        <f t="shared" ca="1" si="170"/>
        <v>#N/A</v>
      </c>
      <c r="AD362" s="323" t="e">
        <f t="shared" ca="1" si="171"/>
        <v>#N/A</v>
      </c>
      <c r="AE362" s="324">
        <f t="shared" ca="1" si="150"/>
        <v>402.47756830393365</v>
      </c>
      <c r="AG362" s="306">
        <f t="shared" ca="1" si="172"/>
        <v>-23.338146187197154</v>
      </c>
      <c r="AH362" s="304">
        <f t="shared" ca="1" si="173"/>
        <v>-13.807626052997986</v>
      </c>
    </row>
    <row r="363" spans="1:34" x14ac:dyDescent="0.2">
      <c r="A363" s="347">
        <f t="shared" ca="1" si="151"/>
        <v>0.01</v>
      </c>
      <c r="B363" s="304">
        <f t="shared" ca="1" si="152"/>
        <v>3.5899999999999674</v>
      </c>
      <c r="D363" s="306">
        <f t="shared" ca="1" si="153"/>
        <v>-3.4268988336966726</v>
      </c>
      <c r="E363" s="307">
        <f t="shared" ca="1" si="154"/>
        <v>-23.849752417363433</v>
      </c>
      <c r="F363" s="304">
        <f t="shared" ca="1" si="155"/>
        <v>24.094694975988482</v>
      </c>
      <c r="G363" s="306">
        <f t="shared" ca="1" si="156"/>
        <v>41.700435399799211</v>
      </c>
      <c r="H363" s="307">
        <f t="shared" ca="1" si="157"/>
        <v>170.74551608594265</v>
      </c>
      <c r="I363" s="304">
        <f t="shared" ca="1" si="158"/>
        <v>175.76392569576879</v>
      </c>
      <c r="J363" s="306">
        <f t="shared" ca="1" si="159"/>
        <v>90.696960637810548</v>
      </c>
      <c r="K363" s="307">
        <f t="shared" ca="1" si="160"/>
        <v>404.18621595241393</v>
      </c>
      <c r="L363" s="304">
        <f t="shared" ca="1" si="145"/>
        <v>414.23717341019494</v>
      </c>
      <c r="M363" s="306">
        <f t="shared" ca="1" si="161"/>
        <v>1.3312596821460478</v>
      </c>
      <c r="N363" s="304">
        <f t="shared" ca="1" si="162"/>
        <v>76.275561222896016</v>
      </c>
      <c r="P363" s="310">
        <f t="shared" ca="1" si="163"/>
        <v>10</v>
      </c>
      <c r="Q363" s="304">
        <f t="shared" ca="1" si="164"/>
        <v>2.7916666666847192</v>
      </c>
      <c r="R363" s="306">
        <f t="shared" ca="1" si="165"/>
        <v>1.4010074314556248E-3</v>
      </c>
      <c r="S363" s="307">
        <f t="shared" ca="1" si="166"/>
        <v>8.1379999999999981</v>
      </c>
      <c r="T363" s="304">
        <f t="shared" ca="1" si="146"/>
        <v>79.83377999999999</v>
      </c>
      <c r="U363" s="311">
        <f t="shared" ca="1" si="147"/>
        <v>0</v>
      </c>
      <c r="V363" s="306">
        <f t="shared" ca="1" si="148"/>
        <v>1.1764679870785923</v>
      </c>
      <c r="W363" s="304">
        <f t="shared" ca="1" si="149"/>
        <v>120.05306015989763</v>
      </c>
      <c r="Y363" s="314" t="str">
        <f t="shared" ca="1" si="167"/>
        <v/>
      </c>
      <c r="Z363" s="315" t="str">
        <f t="shared" ca="1" si="168"/>
        <v/>
      </c>
      <c r="AA363" s="316" t="str">
        <f t="shared" ca="1" si="169"/>
        <v/>
      </c>
      <c r="AC363" s="310" t="e">
        <f t="shared" ca="1" si="170"/>
        <v>#N/A</v>
      </c>
      <c r="AD363" s="323" t="e">
        <f t="shared" ca="1" si="171"/>
        <v>#N/A</v>
      </c>
      <c r="AE363" s="324">
        <f t="shared" ca="1" si="150"/>
        <v>404.18621595241393</v>
      </c>
      <c r="AG363" s="306">
        <f t="shared" ca="1" si="172"/>
        <v>-23.982143037056325</v>
      </c>
      <c r="AH363" s="304">
        <f t="shared" ca="1" si="173"/>
        <v>-14.451930097992241</v>
      </c>
    </row>
    <row r="364" spans="1:34" x14ac:dyDescent="0.2">
      <c r="A364" s="347">
        <f t="shared" ca="1" si="151"/>
        <v>0.01</v>
      </c>
      <c r="B364" s="304">
        <f t="shared" ca="1" si="152"/>
        <v>3.5999999999999672</v>
      </c>
      <c r="D364" s="306">
        <f t="shared" ca="1" si="153"/>
        <v>-3.4999867056155121</v>
      </c>
      <c r="E364" s="307">
        <f t="shared" ca="1" si="154"/>
        <v>-24.140954356105745</v>
      </c>
      <c r="F364" s="304">
        <f t="shared" ca="1" si="155"/>
        <v>24.393351228625111</v>
      </c>
      <c r="G364" s="306">
        <f t="shared" ca="1" si="156"/>
        <v>41.665435532743054</v>
      </c>
      <c r="H364" s="307">
        <f t="shared" ca="1" si="157"/>
        <v>170.50410654238161</v>
      </c>
      <c r="I364" s="304">
        <f t="shared" ca="1" si="158"/>
        <v>175.52110661099704</v>
      </c>
      <c r="J364" s="306">
        <f t="shared" ca="1" si="159"/>
        <v>91.113789992473258</v>
      </c>
      <c r="K364" s="307">
        <f t="shared" ca="1" si="160"/>
        <v>405.89246406555554</v>
      </c>
      <c r="L364" s="304">
        <f t="shared" ca="1" si="145"/>
        <v>415.99328734007338</v>
      </c>
      <c r="M364" s="306">
        <f t="shared" ca="1" si="161"/>
        <v>1.3311270800143418</v>
      </c>
      <c r="N364" s="304">
        <f t="shared" ca="1" si="162"/>
        <v>76.267963680394814</v>
      </c>
      <c r="P364" s="310">
        <f t="shared" ca="1" si="163"/>
        <v>23</v>
      </c>
      <c r="Q364" s="304">
        <f t="shared" ca="1" si="164"/>
        <v>0</v>
      </c>
      <c r="R364" s="306">
        <f t="shared" ca="1" si="165"/>
        <v>0</v>
      </c>
      <c r="S364" s="307">
        <f t="shared" ca="1" si="166"/>
        <v>8.1379999999999981</v>
      </c>
      <c r="T364" s="304">
        <f t="shared" ca="1" si="146"/>
        <v>79.83377999999999</v>
      </c>
      <c r="U364" s="311">
        <f t="shared" ca="1" si="147"/>
        <v>0</v>
      </c>
      <c r="V364" s="306">
        <f t="shared" ca="1" si="148"/>
        <v>1.1762671872248764</v>
      </c>
      <c r="W364" s="304">
        <f t="shared" ca="1" si="149"/>
        <v>119.70114690502635</v>
      </c>
      <c r="Y364" s="314" t="str">
        <f t="shared" ca="1" si="167"/>
        <v>Fin de propulsion</v>
      </c>
      <c r="Z364" s="315" t="str">
        <f t="shared" ca="1" si="168"/>
        <v/>
      </c>
      <c r="AA364" s="316" t="str">
        <f t="shared" ca="1" si="169"/>
        <v/>
      </c>
      <c r="AC364" s="310" t="e">
        <f t="shared" ca="1" si="170"/>
        <v>#N/A</v>
      </c>
      <c r="AD364" s="323" t="e">
        <f t="shared" ca="1" si="171"/>
        <v>#N/A</v>
      </c>
      <c r="AE364" s="324">
        <f t="shared" ca="1" si="150"/>
        <v>405.89246406555554</v>
      </c>
      <c r="AG364" s="306">
        <f t="shared" ca="1" si="172"/>
        <v>-24.282062789411626</v>
      </c>
      <c r="AH364" s="304">
        <f t="shared" ca="1" si="173"/>
        <v>-14.752157797972187</v>
      </c>
    </row>
    <row r="365" spans="1:34" x14ac:dyDescent="0.2">
      <c r="A365" s="347">
        <f t="shared" ca="1" si="151"/>
        <v>0.01</v>
      </c>
      <c r="B365" s="304">
        <f t="shared" ca="1" si="152"/>
        <v>3.609999999999967</v>
      </c>
      <c r="D365" s="306">
        <f t="shared" ca="1" si="153"/>
        <v>-3.4916218584420644</v>
      </c>
      <c r="E365" s="307">
        <f t="shared" ca="1" si="154"/>
        <v>-24.098482953446286</v>
      </c>
      <c r="F365" s="304">
        <f t="shared" ca="1" si="155"/>
        <v>24.350119175476159</v>
      </c>
      <c r="G365" s="306">
        <f t="shared" ca="1" si="156"/>
        <v>41.630519314158633</v>
      </c>
      <c r="H365" s="307">
        <f t="shared" ca="1" si="157"/>
        <v>170.26312171284715</v>
      </c>
      <c r="I365" s="304">
        <f t="shared" ca="1" si="158"/>
        <v>175.27872304923477</v>
      </c>
      <c r="J365" s="306">
        <f t="shared" ca="1" si="159"/>
        <v>91.530269766707761</v>
      </c>
      <c r="K365" s="307">
        <f t="shared" ca="1" si="160"/>
        <v>407.5963002068317</v>
      </c>
      <c r="L365" s="304">
        <f t="shared" ca="1" si="145"/>
        <v>417.74697392783588</v>
      </c>
      <c r="M365" s="306">
        <f t="shared" ca="1" si="161"/>
        <v>1.3309942224196278</v>
      </c>
      <c r="N365" s="304">
        <f t="shared" ca="1" si="162"/>
        <v>76.260351500941454</v>
      </c>
      <c r="P365" s="310">
        <f t="shared" ca="1" si="163"/>
        <v>23</v>
      </c>
      <c r="Q365" s="304">
        <f t="shared" ca="1" si="164"/>
        <v>0</v>
      </c>
      <c r="R365" s="306">
        <f t="shared" ca="1" si="165"/>
        <v>0</v>
      </c>
      <c r="S365" s="307">
        <f t="shared" ca="1" si="166"/>
        <v>8.1379999999999981</v>
      </c>
      <c r="T365" s="304">
        <f t="shared" ca="1" si="146"/>
        <v>79.83377999999999</v>
      </c>
      <c r="U365" s="311">
        <f t="shared" ca="1" si="147"/>
        <v>0</v>
      </c>
      <c r="V365" s="306">
        <f t="shared" ca="1" si="148"/>
        <v>1.1760667047301101</v>
      </c>
      <c r="W365" s="304">
        <f t="shared" ca="1" si="149"/>
        <v>119.35043022132265</v>
      </c>
      <c r="Y365" s="314" t="str">
        <f t="shared" ca="1" si="167"/>
        <v/>
      </c>
      <c r="Z365" s="315" t="str">
        <f t="shared" ca="1" si="168"/>
        <v/>
      </c>
      <c r="AA365" s="316" t="str">
        <f t="shared" ca="1" si="169"/>
        <v/>
      </c>
      <c r="AC365" s="310" t="e">
        <f t="shared" ca="1" si="170"/>
        <v>#N/A</v>
      </c>
      <c r="AD365" s="323" t="e">
        <f t="shared" ca="1" si="171"/>
        <v>#N/A</v>
      </c>
      <c r="AE365" s="324">
        <f t="shared" ca="1" si="150"/>
        <v>407.5963002068317</v>
      </c>
      <c r="AG365" s="306">
        <f t="shared" ca="1" si="172"/>
        <v>-24.238510869696483</v>
      </c>
      <c r="AH365" s="304">
        <f t="shared" ca="1" si="173"/>
        <v>-14.708914586510982</v>
      </c>
    </row>
    <row r="366" spans="1:34" x14ac:dyDescent="0.2">
      <c r="A366" s="347">
        <f t="shared" ca="1" si="151"/>
        <v>0.01</v>
      </c>
      <c r="B366" s="304">
        <f t="shared" ca="1" si="152"/>
        <v>3.6199999999999668</v>
      </c>
      <c r="D366" s="306">
        <f t="shared" ca="1" si="153"/>
        <v>-3.4832843710742272</v>
      </c>
      <c r="E366" s="307">
        <f t="shared" ca="1" si="154"/>
        <v>-24.056155959696699</v>
      </c>
      <c r="F366" s="304">
        <f t="shared" ca="1" si="155"/>
        <v>24.307034158181885</v>
      </c>
      <c r="G366" s="306">
        <f t="shared" ca="1" si="156"/>
        <v>41.595686470447887</v>
      </c>
      <c r="H366" s="307">
        <f t="shared" ca="1" si="157"/>
        <v>170.0225601532502</v>
      </c>
      <c r="I366" s="304">
        <f t="shared" ca="1" si="158"/>
        <v>175.0367735477702</v>
      </c>
      <c r="J366" s="306">
        <f t="shared" ca="1" si="159"/>
        <v>91.946400795630794</v>
      </c>
      <c r="K366" s="307">
        <f t="shared" ca="1" si="160"/>
        <v>409.2977286161622</v>
      </c>
      <c r="L366" s="304">
        <f t="shared" ca="1" si="145"/>
        <v>419.49823750478419</v>
      </c>
      <c r="M366" s="306">
        <f t="shared" ca="1" si="161"/>
        <v>1.3308611088477551</v>
      </c>
      <c r="N366" s="304">
        <f t="shared" ca="1" si="162"/>
        <v>76.25272465507723</v>
      </c>
      <c r="P366" s="310">
        <f t="shared" ca="1" si="163"/>
        <v>23</v>
      </c>
      <c r="Q366" s="304">
        <f t="shared" ca="1" si="164"/>
        <v>0</v>
      </c>
      <c r="R366" s="306">
        <f t="shared" ca="1" si="165"/>
        <v>0</v>
      </c>
      <c r="S366" s="307">
        <f t="shared" ca="1" si="166"/>
        <v>8.1379999999999981</v>
      </c>
      <c r="T366" s="304">
        <f t="shared" ca="1" si="146"/>
        <v>79.83377999999999</v>
      </c>
      <c r="U366" s="311">
        <f t="shared" ca="1" si="147"/>
        <v>0</v>
      </c>
      <c r="V366" s="306">
        <f t="shared" ca="1" si="148"/>
        <v>1.1758665389449641</v>
      </c>
      <c r="W366" s="304">
        <f t="shared" ca="1" si="149"/>
        <v>119.00090478906257</v>
      </c>
      <c r="Y366" s="314" t="str">
        <f t="shared" ca="1" si="167"/>
        <v/>
      </c>
      <c r="Z366" s="315" t="str">
        <f t="shared" ca="1" si="168"/>
        <v/>
      </c>
      <c r="AA366" s="316" t="str">
        <f t="shared" ca="1" si="169"/>
        <v/>
      </c>
      <c r="AC366" s="310" t="e">
        <f t="shared" ca="1" si="170"/>
        <v>#N/A</v>
      </c>
      <c r="AD366" s="323" t="e">
        <f t="shared" ca="1" si="171"/>
        <v>#N/A</v>
      </c>
      <c r="AE366" s="324">
        <f t="shared" ca="1" si="150"/>
        <v>409.2977286161622</v>
      </c>
      <c r="AG366" s="306">
        <f t="shared" ca="1" si="172"/>
        <v>-24.195105222238212</v>
      </c>
      <c r="AH366" s="304">
        <f t="shared" ca="1" si="173"/>
        <v>-14.66581841009126</v>
      </c>
    </row>
    <row r="367" spans="1:34" x14ac:dyDescent="0.2">
      <c r="A367" s="347">
        <f t="shared" ca="1" si="151"/>
        <v>0.01</v>
      </c>
      <c r="B367" s="304">
        <f t="shared" ca="1" si="152"/>
        <v>3.6299999999999666</v>
      </c>
      <c r="D367" s="306">
        <f t="shared" ca="1" si="153"/>
        <v>-3.4749741204700451</v>
      </c>
      <c r="E367" s="307">
        <f t="shared" ca="1" si="154"/>
        <v>-24.013972732806394</v>
      </c>
      <c r="F367" s="304">
        <f t="shared" ca="1" si="155"/>
        <v>24.264095523013125</v>
      </c>
      <c r="G367" s="306">
        <f t="shared" ca="1" si="156"/>
        <v>41.560936729243188</v>
      </c>
      <c r="H367" s="307">
        <f t="shared" ca="1" si="157"/>
        <v>169.78242042592214</v>
      </c>
      <c r="I367" s="304">
        <f t="shared" ca="1" si="158"/>
        <v>174.79525665045014</v>
      </c>
      <c r="J367" s="306">
        <f t="shared" ca="1" si="159"/>
        <v>92.362183911629245</v>
      </c>
      <c r="K367" s="307">
        <f t="shared" ca="1" si="160"/>
        <v>410.99675351905807</v>
      </c>
      <c r="L367" s="304">
        <f t="shared" ca="1" si="145"/>
        <v>421.24708238767784</v>
      </c>
      <c r="M367" s="306">
        <f t="shared" ca="1" si="161"/>
        <v>1.3307277387829684</v>
      </c>
      <c r="N367" s="304">
        <f t="shared" ca="1" si="162"/>
        <v>76.245083113251567</v>
      </c>
      <c r="P367" s="310">
        <f t="shared" ca="1" si="163"/>
        <v>23</v>
      </c>
      <c r="Q367" s="304">
        <f t="shared" ca="1" si="164"/>
        <v>0</v>
      </c>
      <c r="R367" s="306">
        <f t="shared" ca="1" si="165"/>
        <v>0</v>
      </c>
      <c r="S367" s="307">
        <f t="shared" ca="1" si="166"/>
        <v>8.1379999999999981</v>
      </c>
      <c r="T367" s="304">
        <f t="shared" ca="1" si="146"/>
        <v>79.83377999999999</v>
      </c>
      <c r="U367" s="311">
        <f t="shared" ca="1" si="147"/>
        <v>0</v>
      </c>
      <c r="V367" s="306">
        <f t="shared" ca="1" si="148"/>
        <v>1.1756666892224121</v>
      </c>
      <c r="W367" s="304">
        <f t="shared" ca="1" si="149"/>
        <v>118.652565318505</v>
      </c>
      <c r="Y367" s="314" t="str">
        <f t="shared" ca="1" si="167"/>
        <v/>
      </c>
      <c r="Z367" s="315" t="str">
        <f t="shared" ca="1" si="168"/>
        <v/>
      </c>
      <c r="AA367" s="316" t="str">
        <f t="shared" ca="1" si="169"/>
        <v/>
      </c>
      <c r="AC367" s="310" t="e">
        <f t="shared" ca="1" si="170"/>
        <v>#N/A</v>
      </c>
      <c r="AD367" s="323" t="e">
        <f t="shared" ca="1" si="171"/>
        <v>#N/A</v>
      </c>
      <c r="AE367" s="324">
        <f t="shared" ca="1" si="150"/>
        <v>410.99675351905807</v>
      </c>
      <c r="AG367" s="306">
        <f t="shared" ca="1" si="172"/>
        <v>-24.151845191184009</v>
      </c>
      <c r="AH367" s="304">
        <f t="shared" ca="1" si="173"/>
        <v>-14.622868615023666</v>
      </c>
    </row>
    <row r="368" spans="1:34" x14ac:dyDescent="0.2">
      <c r="A368" s="347">
        <f t="shared" ca="1" si="151"/>
        <v>0.01</v>
      </c>
      <c r="B368" s="304">
        <f t="shared" ca="1" si="152"/>
        <v>3.6399999999999664</v>
      </c>
      <c r="D368" s="306">
        <f t="shared" ca="1" si="153"/>
        <v>-3.4666909842798139</v>
      </c>
      <c r="E368" s="307">
        <f t="shared" ca="1" si="154"/>
        <v>-23.971932634343371</v>
      </c>
      <c r="F368" s="304">
        <f t="shared" ca="1" si="155"/>
        <v>24.221302619924959</v>
      </c>
      <c r="G368" s="306">
        <f t="shared" ca="1" si="156"/>
        <v>41.52626981940039</v>
      </c>
      <c r="H368" s="307">
        <f t="shared" ca="1" si="157"/>
        <v>169.54270109957869</v>
      </c>
      <c r="I368" s="304">
        <f t="shared" ca="1" si="158"/>
        <v>174.55417090764323</v>
      </c>
      <c r="J368" s="306">
        <f t="shared" ca="1" si="159"/>
        <v>92.777619944372461</v>
      </c>
      <c r="K368" s="307">
        <f t="shared" ca="1" si="160"/>
        <v>412.69337912668556</v>
      </c>
      <c r="L368" s="304">
        <f t="shared" ca="1" si="145"/>
        <v>422.99351287879654</v>
      </c>
      <c r="M368" s="306">
        <f t="shared" ca="1" si="161"/>
        <v>1.3305941117079019</v>
      </c>
      <c r="N368" s="304">
        <f t="shared" ca="1" si="162"/>
        <v>76.237426845821574</v>
      </c>
      <c r="P368" s="310">
        <f t="shared" ca="1" si="163"/>
        <v>23</v>
      </c>
      <c r="Q368" s="304">
        <f t="shared" ca="1" si="164"/>
        <v>0</v>
      </c>
      <c r="R368" s="306">
        <f t="shared" ca="1" si="165"/>
        <v>0</v>
      </c>
      <c r="S368" s="307">
        <f t="shared" ca="1" si="166"/>
        <v>8.1379999999999981</v>
      </c>
      <c r="T368" s="304">
        <f t="shared" ca="1" si="146"/>
        <v>79.83377999999999</v>
      </c>
      <c r="U368" s="311">
        <f t="shared" ca="1" si="147"/>
        <v>0</v>
      </c>
      <c r="V368" s="306">
        <f t="shared" ca="1" si="148"/>
        <v>1.1754671549177194</v>
      </c>
      <c r="W368" s="304">
        <f t="shared" ca="1" si="149"/>
        <v>118.30540654968833</v>
      </c>
      <c r="Y368" s="314" t="str">
        <f t="shared" ca="1" si="167"/>
        <v/>
      </c>
      <c r="Z368" s="315" t="str">
        <f t="shared" ca="1" si="168"/>
        <v/>
      </c>
      <c r="AA368" s="316" t="str">
        <f t="shared" ca="1" si="169"/>
        <v/>
      </c>
      <c r="AC368" s="310" t="e">
        <f t="shared" ca="1" si="170"/>
        <v>#N/A</v>
      </c>
      <c r="AD368" s="323" t="e">
        <f t="shared" ca="1" si="171"/>
        <v>#N/A</v>
      </c>
      <c r="AE368" s="324">
        <f t="shared" ca="1" si="150"/>
        <v>412.69337912668556</v>
      </c>
      <c r="AG368" s="306">
        <f t="shared" ca="1" si="172"/>
        <v>-24.10873012435723</v>
      </c>
      <c r="AH368" s="304">
        <f t="shared" ca="1" si="173"/>
        <v>-14.580064551303149</v>
      </c>
    </row>
    <row r="369" spans="1:34" x14ac:dyDescent="0.2">
      <c r="A369" s="347">
        <f t="shared" ca="1" si="151"/>
        <v>0.01</v>
      </c>
      <c r="B369" s="304">
        <f t="shared" ca="1" si="152"/>
        <v>3.6499999999999662</v>
      </c>
      <c r="D369" s="306">
        <f t="shared" ca="1" si="153"/>
        <v>-3.4584348408413939</v>
      </c>
      <c r="E369" s="307">
        <f t="shared" ca="1" si="154"/>
        <v>-23.930035029469646</v>
      </c>
      <c r="F369" s="304">
        <f t="shared" ca="1" si="155"/>
        <v>24.178654802531714</v>
      </c>
      <c r="G369" s="306">
        <f t="shared" ca="1" si="156"/>
        <v>41.491685470991975</v>
      </c>
      <c r="H369" s="307">
        <f t="shared" ca="1" si="157"/>
        <v>169.30340074928401</v>
      </c>
      <c r="I369" s="304">
        <f t="shared" ca="1" si="158"/>
        <v>174.31351487620341</v>
      </c>
      <c r="J369" s="306">
        <f t="shared" ca="1" si="159"/>
        <v>93.192709720824425</v>
      </c>
      <c r="K369" s="307">
        <f t="shared" ca="1" si="160"/>
        <v>414.38760963592989</v>
      </c>
      <c r="L369" s="304">
        <f t="shared" ca="1" si="145"/>
        <v>424.73753326600377</v>
      </c>
      <c r="M369" s="306">
        <f t="shared" ca="1" si="161"/>
        <v>1.3304602271035741</v>
      </c>
      <c r="N369" s="304">
        <f t="shared" ca="1" si="162"/>
        <v>76.229755823051818</v>
      </c>
      <c r="P369" s="310">
        <f t="shared" ca="1" si="163"/>
        <v>23</v>
      </c>
      <c r="Q369" s="304">
        <f t="shared" ca="1" si="164"/>
        <v>0</v>
      </c>
      <c r="R369" s="306">
        <f t="shared" ca="1" si="165"/>
        <v>0</v>
      </c>
      <c r="S369" s="307">
        <f t="shared" ca="1" si="166"/>
        <v>8.1379999999999981</v>
      </c>
      <c r="T369" s="304">
        <f t="shared" ca="1" si="146"/>
        <v>79.83377999999999</v>
      </c>
      <c r="U369" s="311">
        <f t="shared" ca="1" si="147"/>
        <v>0</v>
      </c>
      <c r="V369" s="306">
        <f t="shared" ca="1" si="148"/>
        <v>1.175267935388431</v>
      </c>
      <c r="W369" s="304">
        <f t="shared" ca="1" si="149"/>
        <v>117.95942325222904</v>
      </c>
      <c r="Y369" s="314" t="str">
        <f t="shared" ca="1" si="167"/>
        <v/>
      </c>
      <c r="Z369" s="315" t="str">
        <f t="shared" ca="1" si="168"/>
        <v/>
      </c>
      <c r="AA369" s="316" t="str">
        <f t="shared" ca="1" si="169"/>
        <v/>
      </c>
      <c r="AC369" s="310" t="e">
        <f t="shared" ca="1" si="170"/>
        <v>#N/A</v>
      </c>
      <c r="AD369" s="323" t="e">
        <f t="shared" ca="1" si="171"/>
        <v>#N/A</v>
      </c>
      <c r="AE369" s="324">
        <f t="shared" ca="1" si="150"/>
        <v>414.38760963592989</v>
      </c>
      <c r="AG369" s="306">
        <f t="shared" ca="1" si="172"/>
        <v>-24.065759373232339</v>
      </c>
      <c r="AH369" s="304">
        <f t="shared" ca="1" si="173"/>
        <v>-14.537405572583971</v>
      </c>
    </row>
    <row r="370" spans="1:34" x14ac:dyDescent="0.2">
      <c r="A370" s="347">
        <f t="shared" ca="1" si="151"/>
        <v>0.01</v>
      </c>
      <c r="B370" s="304">
        <f t="shared" ca="1" si="152"/>
        <v>3.6599999999999659</v>
      </c>
      <c r="D370" s="306">
        <f t="shared" ca="1" si="153"/>
        <v>-3.4502055691755524</v>
      </c>
      <c r="E370" s="307">
        <f t="shared" ca="1" si="154"/>
        <v>-23.888279286916973</v>
      </c>
      <c r="F370" s="304">
        <f t="shared" ca="1" si="155"/>
        <v>24.136151428082243</v>
      </c>
      <c r="G370" s="306">
        <f t="shared" ca="1" si="156"/>
        <v>41.457183415300221</v>
      </c>
      <c r="H370" s="307">
        <f t="shared" ca="1" si="157"/>
        <v>169.06451795641485</v>
      </c>
      <c r="I370" s="304">
        <f t="shared" ca="1" si="158"/>
        <v>174.07328711943359</v>
      </c>
      <c r="J370" s="306">
        <f t="shared" ca="1" si="159"/>
        <v>93.60745406525588</v>
      </c>
      <c r="K370" s="307">
        <f t="shared" ca="1" si="160"/>
        <v>416.07944922945836</v>
      </c>
      <c r="L370" s="304">
        <f t="shared" ca="1" si="145"/>
        <v>426.47914782280787</v>
      </c>
      <c r="M370" s="306">
        <f t="shared" ca="1" si="161"/>
        <v>1.3303260844493825</v>
      </c>
      <c r="N370" s="304">
        <f t="shared" ca="1" si="162"/>
        <v>76.222070015113957</v>
      </c>
      <c r="P370" s="310">
        <f t="shared" ca="1" si="163"/>
        <v>23</v>
      </c>
      <c r="Q370" s="304">
        <f t="shared" ca="1" si="164"/>
        <v>0</v>
      </c>
      <c r="R370" s="306">
        <f t="shared" ca="1" si="165"/>
        <v>0</v>
      </c>
      <c r="S370" s="307">
        <f t="shared" ca="1" si="166"/>
        <v>8.1379999999999981</v>
      </c>
      <c r="T370" s="304">
        <f t="shared" ca="1" si="146"/>
        <v>79.83377999999999</v>
      </c>
      <c r="U370" s="311">
        <f t="shared" ca="1" si="147"/>
        <v>0</v>
      </c>
      <c r="V370" s="306">
        <f t="shared" ca="1" si="148"/>
        <v>1.1750690299943631</v>
      </c>
      <c r="W370" s="304">
        <f t="shared" ca="1" si="149"/>
        <v>117.61461022512181</v>
      </c>
      <c r="Y370" s="314" t="str">
        <f t="shared" ca="1" si="167"/>
        <v/>
      </c>
      <c r="Z370" s="315" t="str">
        <f t="shared" ca="1" si="168"/>
        <v/>
      </c>
      <c r="AA370" s="316" t="str">
        <f t="shared" ca="1" si="169"/>
        <v/>
      </c>
      <c r="AC370" s="310" t="e">
        <f t="shared" ca="1" si="170"/>
        <v>#N/A</v>
      </c>
      <c r="AD370" s="323" t="e">
        <f t="shared" ca="1" si="171"/>
        <v>#N/A</v>
      </c>
      <c r="AE370" s="324">
        <f t="shared" ca="1" si="150"/>
        <v>416.07944922945836</v>
      </c>
      <c r="AG370" s="306">
        <f t="shared" ca="1" si="172"/>
        <v>-24.022932292910156</v>
      </c>
      <c r="AH370" s="304">
        <f t="shared" ca="1" si="173"/>
        <v>-14.494891036154961</v>
      </c>
    </row>
    <row r="371" spans="1:34" x14ac:dyDescent="0.2">
      <c r="A371" s="347">
        <f t="shared" ca="1" si="151"/>
        <v>0.01</v>
      </c>
      <c r="B371" s="304">
        <f t="shared" ca="1" si="152"/>
        <v>3.6699999999999657</v>
      </c>
      <c r="D371" s="306">
        <f t="shared" ca="1" si="153"/>
        <v>-3.4420030489813436</v>
      </c>
      <c r="E371" s="307">
        <f t="shared" ca="1" si="154"/>
        <v>-23.846664778962698</v>
      </c>
      <c r="F371" s="304">
        <f t="shared" ca="1" si="155"/>
        <v>24.093791857435328</v>
      </c>
      <c r="G371" s="306">
        <f t="shared" ca="1" si="156"/>
        <v>41.422763384810409</v>
      </c>
      <c r="H371" s="307">
        <f t="shared" ca="1" si="157"/>
        <v>168.82605130862521</v>
      </c>
      <c r="I371" s="304">
        <f t="shared" ca="1" si="158"/>
        <v>173.8334862070497</v>
      </c>
      <c r="J371" s="306">
        <f t="shared" ca="1" si="159"/>
        <v>94.021853799256434</v>
      </c>
      <c r="K371" s="307">
        <f t="shared" ca="1" si="160"/>
        <v>417.76890207578356</v>
      </c>
      <c r="L371" s="304">
        <f t="shared" ca="1" si="145"/>
        <v>428.2183608084249</v>
      </c>
      <c r="M371" s="306">
        <f t="shared" ca="1" si="161"/>
        <v>1.3301916832230971</v>
      </c>
      <c r="N371" s="304">
        <f t="shared" ca="1" si="162"/>
        <v>76.214369392086425</v>
      </c>
      <c r="P371" s="310">
        <f t="shared" ca="1" si="163"/>
        <v>23</v>
      </c>
      <c r="Q371" s="304">
        <f t="shared" ca="1" si="164"/>
        <v>0</v>
      </c>
      <c r="R371" s="306">
        <f t="shared" ca="1" si="165"/>
        <v>0</v>
      </c>
      <c r="S371" s="307">
        <f t="shared" ca="1" si="166"/>
        <v>8.1379999999999981</v>
      </c>
      <c r="T371" s="304">
        <f t="shared" ca="1" si="146"/>
        <v>79.83377999999999</v>
      </c>
      <c r="U371" s="311">
        <f t="shared" ca="1" si="147"/>
        <v>0</v>
      </c>
      <c r="V371" s="306">
        <f t="shared" ca="1" si="148"/>
        <v>1.1748704380975923</v>
      </c>
      <c r="W371" s="304">
        <f t="shared" ca="1" si="149"/>
        <v>117.27096229654128</v>
      </c>
      <c r="Y371" s="314" t="str">
        <f t="shared" ca="1" si="167"/>
        <v/>
      </c>
      <c r="Z371" s="315" t="str">
        <f t="shared" ca="1" si="168"/>
        <v/>
      </c>
      <c r="AA371" s="316" t="str">
        <f t="shared" ca="1" si="169"/>
        <v/>
      </c>
      <c r="AC371" s="310" t="e">
        <f t="shared" ca="1" si="170"/>
        <v>#N/A</v>
      </c>
      <c r="AD371" s="323" t="e">
        <f t="shared" ca="1" si="171"/>
        <v>#N/A</v>
      </c>
      <c r="AE371" s="324">
        <f t="shared" ca="1" si="150"/>
        <v>417.76890207578356</v>
      </c>
      <c r="AG371" s="306">
        <f t="shared" ca="1" si="172"/>
        <v>-23.980248242093225</v>
      </c>
      <c r="AH371" s="304">
        <f t="shared" ca="1" si="173"/>
        <v>-14.452520302914946</v>
      </c>
    </row>
    <row r="372" spans="1:34" x14ac:dyDescent="0.2">
      <c r="A372" s="347">
        <f t="shared" ca="1" si="151"/>
        <v>0.01</v>
      </c>
      <c r="B372" s="304">
        <f t="shared" ca="1" si="152"/>
        <v>3.6799999999999655</v>
      </c>
      <c r="D372" s="306">
        <f t="shared" ca="1" si="153"/>
        <v>-3.4338271606315369</v>
      </c>
      <c r="E372" s="307">
        <f t="shared" ca="1" si="154"/>
        <v>-23.805190881405849</v>
      </c>
      <c r="F372" s="304">
        <f t="shared" ca="1" si="155"/>
        <v>24.051575455035351</v>
      </c>
      <c r="G372" s="306">
        <f t="shared" ca="1" si="156"/>
        <v>41.388425113204093</v>
      </c>
      <c r="H372" s="307">
        <f t="shared" ca="1" si="157"/>
        <v>168.58799939981114</v>
      </c>
      <c r="I372" s="304">
        <f t="shared" ca="1" si="158"/>
        <v>173.59411071514501</v>
      </c>
      <c r="J372" s="306">
        <f t="shared" ca="1" si="159"/>
        <v>94.435909741746499</v>
      </c>
      <c r="K372" s="307">
        <f t="shared" ca="1" si="160"/>
        <v>419.45597232932573</v>
      </c>
      <c r="L372" s="304">
        <f t="shared" ca="1" si="145"/>
        <v>429.95517646783992</v>
      </c>
      <c r="M372" s="306">
        <f t="shared" ca="1" si="161"/>
        <v>1.3300570229008557</v>
      </c>
      <c r="N372" s="304">
        <f t="shared" ca="1" si="162"/>
        <v>76.206653923954107</v>
      </c>
      <c r="P372" s="310">
        <f t="shared" ca="1" si="163"/>
        <v>23</v>
      </c>
      <c r="Q372" s="304">
        <f t="shared" ca="1" si="164"/>
        <v>0</v>
      </c>
      <c r="R372" s="306">
        <f t="shared" ca="1" si="165"/>
        <v>0</v>
      </c>
      <c r="S372" s="307">
        <f t="shared" ca="1" si="166"/>
        <v>8.1379999999999981</v>
      </c>
      <c r="T372" s="304">
        <f t="shared" ca="1" si="146"/>
        <v>79.83377999999999</v>
      </c>
      <c r="U372" s="311">
        <f t="shared" ca="1" si="147"/>
        <v>0</v>
      </c>
      <c r="V372" s="306">
        <f t="shared" ca="1" si="148"/>
        <v>1.1746721590624427</v>
      </c>
      <c r="W372" s="304">
        <f t="shared" ca="1" si="149"/>
        <v>116.92847432364533</v>
      </c>
      <c r="Y372" s="314" t="str">
        <f t="shared" ca="1" si="167"/>
        <v/>
      </c>
      <c r="Z372" s="315" t="str">
        <f t="shared" ca="1" si="168"/>
        <v/>
      </c>
      <c r="AA372" s="316" t="str">
        <f t="shared" ca="1" si="169"/>
        <v/>
      </c>
      <c r="AC372" s="310" t="e">
        <f t="shared" ca="1" si="170"/>
        <v>#N/A</v>
      </c>
      <c r="AD372" s="323" t="e">
        <f t="shared" ca="1" si="171"/>
        <v>#N/A</v>
      </c>
      <c r="AE372" s="324">
        <f t="shared" ca="1" si="150"/>
        <v>419.45597232932573</v>
      </c>
      <c r="AG372" s="306">
        <f t="shared" ca="1" si="172"/>
        <v>-23.937706583061455</v>
      </c>
      <c r="AH372" s="304">
        <f t="shared" ca="1" si="173"/>
        <v>-14.410292737348405</v>
      </c>
    </row>
    <row r="373" spans="1:34" x14ac:dyDescent="0.2">
      <c r="A373" s="347">
        <f t="shared" ca="1" si="151"/>
        <v>0.01</v>
      </c>
      <c r="B373" s="304">
        <f t="shared" ca="1" si="152"/>
        <v>3.6899999999999653</v>
      </c>
      <c r="D373" s="306">
        <f t="shared" ca="1" si="153"/>
        <v>-3.4256777851680678</v>
      </c>
      <c r="E373" s="307">
        <f t="shared" ca="1" si="154"/>
        <v>-23.763856973543373</v>
      </c>
      <c r="F373" s="304">
        <f t="shared" ca="1" si="155"/>
        <v>24.009501588888096</v>
      </c>
      <c r="G373" s="306">
        <f t="shared" ca="1" si="156"/>
        <v>41.354168335352412</v>
      </c>
      <c r="H373" s="307">
        <f t="shared" ca="1" si="157"/>
        <v>168.35036083007572</v>
      </c>
      <c r="I373" s="304">
        <f t="shared" ca="1" si="158"/>
        <v>173.35515922615443</v>
      </c>
      <c r="J373" s="306">
        <f t="shared" ca="1" si="159"/>
        <v>94.849622708989287</v>
      </c>
      <c r="K373" s="307">
        <f t="shared" ca="1" si="160"/>
        <v>421.14066413047516</v>
      </c>
      <c r="L373" s="304">
        <f t="shared" ca="1" si="145"/>
        <v>431.6895990318684</v>
      </c>
      <c r="M373" s="306">
        <f t="shared" ca="1" si="161"/>
        <v>1.3299221029571573</v>
      </c>
      <c r="N373" s="304">
        <f t="shared" ca="1" si="162"/>
        <v>76.198923580608053</v>
      </c>
      <c r="P373" s="310">
        <f t="shared" ca="1" si="163"/>
        <v>23</v>
      </c>
      <c r="Q373" s="304">
        <f t="shared" ca="1" si="164"/>
        <v>0</v>
      </c>
      <c r="R373" s="306">
        <f t="shared" ca="1" si="165"/>
        <v>0</v>
      </c>
      <c r="S373" s="307">
        <f t="shared" ca="1" si="166"/>
        <v>8.1379999999999981</v>
      </c>
      <c r="T373" s="304">
        <f t="shared" ca="1" si="146"/>
        <v>79.83377999999999</v>
      </c>
      <c r="U373" s="311">
        <f t="shared" ca="1" si="147"/>
        <v>0</v>
      </c>
      <c r="V373" s="306">
        <f t="shared" ca="1" si="148"/>
        <v>1.1744741922554798</v>
      </c>
      <c r="W373" s="304">
        <f t="shared" ca="1" si="149"/>
        <v>116.58714119237989</v>
      </c>
      <c r="Y373" s="314" t="str">
        <f t="shared" ca="1" si="167"/>
        <v/>
      </c>
      <c r="Z373" s="315" t="str">
        <f t="shared" ca="1" si="168"/>
        <v/>
      </c>
      <c r="AA373" s="316" t="str">
        <f t="shared" ca="1" si="169"/>
        <v/>
      </c>
      <c r="AC373" s="310" t="e">
        <f t="shared" ca="1" si="170"/>
        <v>#N/A</v>
      </c>
      <c r="AD373" s="323" t="e">
        <f t="shared" ca="1" si="171"/>
        <v>#N/A</v>
      </c>
      <c r="AE373" s="324">
        <f t="shared" ca="1" si="150"/>
        <v>421.14066413047516</v>
      </c>
      <c r="AG373" s="306">
        <f t="shared" ca="1" si="172"/>
        <v>-23.89530668164786</v>
      </c>
      <c r="AH373" s="304">
        <f t="shared" ca="1" si="173"/>
        <v>-14.368207707501274</v>
      </c>
    </row>
    <row r="374" spans="1:34" x14ac:dyDescent="0.2">
      <c r="A374" s="347">
        <f t="shared" ca="1" si="151"/>
        <v>0.01</v>
      </c>
      <c r="B374" s="304">
        <f t="shared" ca="1" si="152"/>
        <v>3.6999999999999651</v>
      </c>
      <c r="D374" s="306">
        <f t="shared" ca="1" si="153"/>
        <v>-3.4175548042975361</v>
      </c>
      <c r="E374" s="307">
        <f t="shared" ca="1" si="154"/>
        <v>-23.722662438146607</v>
      </c>
      <c r="F374" s="304">
        <f t="shared" ca="1" si="155"/>
        <v>23.967569630536783</v>
      </c>
      <c r="G374" s="306">
        <f t="shared" ca="1" si="156"/>
        <v>41.319992787309438</v>
      </c>
      <c r="H374" s="307">
        <f t="shared" ca="1" si="157"/>
        <v>168.11313420569425</v>
      </c>
      <c r="I374" s="304">
        <f t="shared" ca="1" si="158"/>
        <v>173.11663032881927</v>
      </c>
      <c r="J374" s="306">
        <f t="shared" ca="1" si="159"/>
        <v>95.262993514602599</v>
      </c>
      <c r="K374" s="307">
        <f t="shared" ca="1" si="160"/>
        <v>422.82298160565404</v>
      </c>
      <c r="L374" s="304">
        <f t="shared" ca="1" si="145"/>
        <v>433.42163271721739</v>
      </c>
      <c r="M374" s="306">
        <f t="shared" ca="1" si="161"/>
        <v>1.3297869228648567</v>
      </c>
      <c r="N374" s="304">
        <f t="shared" ca="1" si="162"/>
        <v>76.191178331845038</v>
      </c>
      <c r="P374" s="310">
        <f t="shared" ca="1" si="163"/>
        <v>23</v>
      </c>
      <c r="Q374" s="304">
        <f t="shared" ca="1" si="164"/>
        <v>0</v>
      </c>
      <c r="R374" s="306">
        <f t="shared" ca="1" si="165"/>
        <v>0</v>
      </c>
      <c r="S374" s="307">
        <f t="shared" ca="1" si="166"/>
        <v>8.1379999999999981</v>
      </c>
      <c r="T374" s="304">
        <f t="shared" ca="1" si="146"/>
        <v>79.83377999999999</v>
      </c>
      <c r="U374" s="311">
        <f t="shared" ca="1" si="147"/>
        <v>0</v>
      </c>
      <c r="V374" s="306">
        <f t="shared" ca="1" si="148"/>
        <v>1.1742765370454966</v>
      </c>
      <c r="W374" s="304">
        <f t="shared" ca="1" si="149"/>
        <v>116.24695781728521</v>
      </c>
      <c r="Y374" s="314" t="str">
        <f t="shared" ca="1" si="167"/>
        <v/>
      </c>
      <c r="Z374" s="315" t="str">
        <f t="shared" ca="1" si="168"/>
        <v/>
      </c>
      <c r="AA374" s="316" t="str">
        <f t="shared" ca="1" si="169"/>
        <v/>
      </c>
      <c r="AC374" s="310" t="e">
        <f t="shared" ca="1" si="170"/>
        <v>#N/A</v>
      </c>
      <c r="AD374" s="323" t="e">
        <f t="shared" ca="1" si="171"/>
        <v>#N/A</v>
      </c>
      <c r="AE374" s="324">
        <f t="shared" ca="1" si="150"/>
        <v>422.82298160565404</v>
      </c>
      <c r="AG374" s="306">
        <f t="shared" ca="1" si="172"/>
        <v>-23.853047907214606</v>
      </c>
      <c r="AH374" s="304">
        <f t="shared" ca="1" si="173"/>
        <v>-14.326264584956981</v>
      </c>
    </row>
    <row r="375" spans="1:34" x14ac:dyDescent="0.2">
      <c r="A375" s="347">
        <f t="shared" ca="1" si="151"/>
        <v>0.01</v>
      </c>
      <c r="B375" s="304">
        <f t="shared" ca="1" si="152"/>
        <v>3.7099999999999649</v>
      </c>
      <c r="D375" s="306">
        <f t="shared" ca="1" si="153"/>
        <v>-3.4094581003867339</v>
      </c>
      <c r="E375" s="307">
        <f t="shared" ca="1" si="154"/>
        <v>-23.681606661437868</v>
      </c>
      <c r="F375" s="304">
        <f t="shared" ca="1" si="155"/>
        <v>23.92577895503825</v>
      </c>
      <c r="G375" s="306">
        <f t="shared" ca="1" si="156"/>
        <v>41.285898206305568</v>
      </c>
      <c r="H375" s="307">
        <f t="shared" ca="1" si="157"/>
        <v>167.87631813907987</v>
      </c>
      <c r="I375" s="304">
        <f t="shared" ca="1" si="158"/>
        <v>172.87852261815226</v>
      </c>
      <c r="J375" s="306">
        <f t="shared" ca="1" si="159"/>
        <v>95.676022969570667</v>
      </c>
      <c r="K375" s="307">
        <f t="shared" ca="1" si="160"/>
        <v>424.50292886737793</v>
      </c>
      <c r="L375" s="304">
        <f t="shared" ca="1" si="145"/>
        <v>435.15128172654613</v>
      </c>
      <c r="M375" s="306">
        <f t="shared" ca="1" si="161"/>
        <v>1.3296514820951593</v>
      </c>
      <c r="N375" s="304">
        <f t="shared" ca="1" si="162"/>
        <v>76.183418147367377</v>
      </c>
      <c r="P375" s="310">
        <f t="shared" ca="1" si="163"/>
        <v>23</v>
      </c>
      <c r="Q375" s="304">
        <f t="shared" ca="1" si="164"/>
        <v>0</v>
      </c>
      <c r="R375" s="306">
        <f t="shared" ca="1" si="165"/>
        <v>0</v>
      </c>
      <c r="S375" s="307">
        <f t="shared" ca="1" si="166"/>
        <v>8.1379999999999981</v>
      </c>
      <c r="T375" s="304">
        <f t="shared" ca="1" si="146"/>
        <v>79.83377999999999</v>
      </c>
      <c r="U375" s="311">
        <f t="shared" ca="1" si="147"/>
        <v>0</v>
      </c>
      <c r="V375" s="306">
        <f t="shared" ca="1" si="148"/>
        <v>1.1740791928035061</v>
      </c>
      <c r="W375" s="304">
        <f t="shared" ca="1" si="149"/>
        <v>115.90791914130395</v>
      </c>
      <c r="Y375" s="314" t="str">
        <f t="shared" ca="1" si="167"/>
        <v/>
      </c>
      <c r="Z375" s="315" t="str">
        <f t="shared" ca="1" si="168"/>
        <v/>
      </c>
      <c r="AA375" s="316" t="str">
        <f t="shared" ca="1" si="169"/>
        <v/>
      </c>
      <c r="AC375" s="310" t="e">
        <f t="shared" ca="1" si="170"/>
        <v>#N/A</v>
      </c>
      <c r="AD375" s="323" t="e">
        <f t="shared" ca="1" si="171"/>
        <v>#N/A</v>
      </c>
      <c r="AE375" s="324">
        <f t="shared" ca="1" si="150"/>
        <v>424.50292886737793</v>
      </c>
      <c r="AG375" s="306">
        <f t="shared" ca="1" si="172"/>
        <v>-23.810929632629104</v>
      </c>
      <c r="AH375" s="304">
        <f t="shared" ca="1" si="173"/>
        <v>-14.284462744812636</v>
      </c>
    </row>
    <row r="376" spans="1:34" x14ac:dyDescent="0.2">
      <c r="A376" s="347">
        <f t="shared" ca="1" si="151"/>
        <v>0.01</v>
      </c>
      <c r="B376" s="304">
        <f t="shared" ca="1" si="152"/>
        <v>3.7199999999999647</v>
      </c>
      <c r="D376" s="306">
        <f t="shared" ca="1" si="153"/>
        <v>-3.4013875564581988</v>
      </c>
      <c r="E376" s="307">
        <f t="shared" ca="1" si="154"/>
        <v>-23.640689033067311</v>
      </c>
      <c r="F376" s="304">
        <f t="shared" ca="1" si="155"/>
        <v>23.88412894093937</v>
      </c>
      <c r="G376" s="306">
        <f t="shared" ca="1" si="156"/>
        <v>41.251884330740985</v>
      </c>
      <c r="H376" s="307">
        <f t="shared" ca="1" si="157"/>
        <v>167.6399112487492</v>
      </c>
      <c r="I376" s="304">
        <f t="shared" ca="1" si="158"/>
        <v>172.64083469540265</v>
      </c>
      <c r="J376" s="306">
        <f t="shared" ca="1" si="159"/>
        <v>96.088711882255893</v>
      </c>
      <c r="K376" s="307">
        <f t="shared" ca="1" si="160"/>
        <v>426.18051001431706</v>
      </c>
      <c r="L376" s="304">
        <f t="shared" ca="1" si="145"/>
        <v>436.87855024852689</v>
      </c>
      <c r="M376" s="306">
        <f t="shared" ca="1" si="161"/>
        <v>1.3295157801176147</v>
      </c>
      <c r="N376" s="304">
        <f t="shared" ca="1" si="162"/>
        <v>76.175642996782486</v>
      </c>
      <c r="P376" s="310">
        <f t="shared" ca="1" si="163"/>
        <v>23</v>
      </c>
      <c r="Q376" s="304">
        <f t="shared" ca="1" si="164"/>
        <v>0</v>
      </c>
      <c r="R376" s="306">
        <f t="shared" ca="1" si="165"/>
        <v>0</v>
      </c>
      <c r="S376" s="307">
        <f t="shared" ca="1" si="166"/>
        <v>8.1379999999999981</v>
      </c>
      <c r="T376" s="304">
        <f t="shared" ca="1" si="146"/>
        <v>79.83377999999999</v>
      </c>
      <c r="U376" s="311">
        <f t="shared" ca="1" si="147"/>
        <v>0</v>
      </c>
      <c r="V376" s="306">
        <f t="shared" ca="1" si="148"/>
        <v>1.1738821589027295</v>
      </c>
      <c r="W376" s="304">
        <f t="shared" ca="1" si="149"/>
        <v>115.57002013559041</v>
      </c>
      <c r="Y376" s="314" t="str">
        <f t="shared" ca="1" si="167"/>
        <v/>
      </c>
      <c r="Z376" s="315" t="str">
        <f t="shared" ca="1" si="168"/>
        <v/>
      </c>
      <c r="AA376" s="316" t="str">
        <f t="shared" ca="1" si="169"/>
        <v/>
      </c>
      <c r="AC376" s="310" t="e">
        <f t="shared" ca="1" si="170"/>
        <v>#N/A</v>
      </c>
      <c r="AD376" s="323" t="e">
        <f t="shared" ca="1" si="171"/>
        <v>#N/A</v>
      </c>
      <c r="AE376" s="324">
        <f t="shared" ca="1" si="150"/>
        <v>426.18051001431706</v>
      </c>
      <c r="AG376" s="306">
        <f t="shared" ca="1" si="172"/>
        <v>-23.768951234240429</v>
      </c>
      <c r="AH376" s="304">
        <f t="shared" ca="1" si="173"/>
        <v>-14.242801565655441</v>
      </c>
    </row>
    <row r="377" spans="1:34" x14ac:dyDescent="0.2">
      <c r="A377" s="347">
        <f t="shared" ca="1" si="151"/>
        <v>0.01</v>
      </c>
      <c r="B377" s="304">
        <f t="shared" ca="1" si="152"/>
        <v>3.7299999999999645</v>
      </c>
      <c r="D377" s="306">
        <f t="shared" ca="1" si="153"/>
        <v>-3.3933430561858211</v>
      </c>
      <c r="E377" s="307">
        <f t="shared" ca="1" si="154"/>
        <v>-23.599908946089894</v>
      </c>
      <c r="F377" s="304">
        <f t="shared" ca="1" si="155"/>
        <v>23.842618970253632</v>
      </c>
      <c r="G377" s="306">
        <f t="shared" ca="1" si="156"/>
        <v>41.217950900179126</v>
      </c>
      <c r="H377" s="307">
        <f t="shared" ca="1" si="157"/>
        <v>167.4039121592883</v>
      </c>
      <c r="I377" s="304">
        <f t="shared" ca="1" si="158"/>
        <v>172.40356516802166</v>
      </c>
      <c r="J377" s="306">
        <f t="shared" ca="1" si="159"/>
        <v>96.5010610584105</v>
      </c>
      <c r="K377" s="307">
        <f t="shared" ca="1" si="160"/>
        <v>427.85572913135724</v>
      </c>
      <c r="L377" s="304">
        <f t="shared" ca="1" si="145"/>
        <v>438.60344245790458</v>
      </c>
      <c r="M377" s="306">
        <f t="shared" ca="1" si="161"/>
        <v>1.3293798164001107</v>
      </c>
      <c r="N377" s="304">
        <f t="shared" ca="1" si="162"/>
        <v>76.167852849602596</v>
      </c>
      <c r="P377" s="310">
        <f t="shared" ca="1" si="163"/>
        <v>23</v>
      </c>
      <c r="Q377" s="304">
        <f t="shared" ca="1" si="164"/>
        <v>0</v>
      </c>
      <c r="R377" s="306">
        <f t="shared" ca="1" si="165"/>
        <v>0</v>
      </c>
      <c r="S377" s="307">
        <f t="shared" ca="1" si="166"/>
        <v>8.1379999999999981</v>
      </c>
      <c r="T377" s="304">
        <f t="shared" ca="1" si="146"/>
        <v>79.83377999999999</v>
      </c>
      <c r="U377" s="311">
        <f t="shared" ca="1" si="147"/>
        <v>0</v>
      </c>
      <c r="V377" s="306">
        <f t="shared" ca="1" si="148"/>
        <v>1.1736854347185861</v>
      </c>
      <c r="W377" s="304">
        <f t="shared" ca="1" si="149"/>
        <v>115.23325579932147</v>
      </c>
      <c r="Y377" s="314" t="str">
        <f t="shared" ca="1" si="167"/>
        <v/>
      </c>
      <c r="Z377" s="315" t="str">
        <f t="shared" ca="1" si="168"/>
        <v/>
      </c>
      <c r="AA377" s="316" t="str">
        <f t="shared" ca="1" si="169"/>
        <v/>
      </c>
      <c r="AC377" s="310" t="e">
        <f t="shared" ca="1" si="170"/>
        <v>#N/A</v>
      </c>
      <c r="AD377" s="323" t="e">
        <f t="shared" ca="1" si="171"/>
        <v>#N/A</v>
      </c>
      <c r="AE377" s="324">
        <f t="shared" ca="1" si="150"/>
        <v>427.85572913135724</v>
      </c>
      <c r="AG377" s="306">
        <f t="shared" ca="1" si="172"/>
        <v>-23.727112091855837</v>
      </c>
      <c r="AH377" s="304">
        <f t="shared" ca="1" si="173"/>
        <v>-14.201280429539253</v>
      </c>
    </row>
    <row r="378" spans="1:34" x14ac:dyDescent="0.2">
      <c r="A378" s="347">
        <f t="shared" ca="1" si="151"/>
        <v>0.01</v>
      </c>
      <c r="B378" s="304">
        <f t="shared" ca="1" si="152"/>
        <v>3.7399999999999642</v>
      </c>
      <c r="D378" s="306">
        <f t="shared" ca="1" si="153"/>
        <v>-3.3853244838904826</v>
      </c>
      <c r="E378" s="307">
        <f t="shared" ca="1" si="154"/>
        <v>-23.559265796942555</v>
      </c>
      <c r="F378" s="304">
        <f t="shared" ca="1" si="155"/>
        <v>23.801248428437859</v>
      </c>
      <c r="G378" s="306">
        <f t="shared" ca="1" si="156"/>
        <v>41.184097655340224</v>
      </c>
      <c r="H378" s="307">
        <f t="shared" ca="1" si="157"/>
        <v>167.16831950131888</v>
      </c>
      <c r="I378" s="304">
        <f t="shared" ca="1" si="158"/>
        <v>172.16671264962815</v>
      </c>
      <c r="J378" s="306">
        <f t="shared" ca="1" si="159"/>
        <v>96.913071301188097</v>
      </c>
      <c r="K378" s="307">
        <f t="shared" ca="1" si="160"/>
        <v>429.52859028966026</v>
      </c>
      <c r="L378" s="304">
        <f t="shared" ca="1" si="145"/>
        <v>440.32596251555731</v>
      </c>
      <c r="M378" s="306">
        <f t="shared" ca="1" si="161"/>
        <v>1.3292435904088682</v>
      </c>
      <c r="N378" s="304">
        <f t="shared" ca="1" si="162"/>
        <v>76.160047675244414</v>
      </c>
      <c r="P378" s="310">
        <f t="shared" ca="1" si="163"/>
        <v>23</v>
      </c>
      <c r="Q378" s="304">
        <f t="shared" ca="1" si="164"/>
        <v>0</v>
      </c>
      <c r="R378" s="306">
        <f t="shared" ca="1" si="165"/>
        <v>0</v>
      </c>
      <c r="S378" s="307">
        <f t="shared" ca="1" si="166"/>
        <v>8.1379999999999981</v>
      </c>
      <c r="T378" s="304">
        <f t="shared" ca="1" si="146"/>
        <v>79.83377999999999</v>
      </c>
      <c r="U378" s="311">
        <f t="shared" ca="1" si="147"/>
        <v>0</v>
      </c>
      <c r="V378" s="306">
        <f t="shared" ca="1" si="148"/>
        <v>1.1734890196286831</v>
      </c>
      <c r="W378" s="304">
        <f t="shared" ca="1" si="149"/>
        <v>114.89762115950882</v>
      </c>
      <c r="Y378" s="314" t="str">
        <f t="shared" ca="1" si="167"/>
        <v/>
      </c>
      <c r="Z378" s="315" t="str">
        <f t="shared" ca="1" si="168"/>
        <v/>
      </c>
      <c r="AA378" s="316" t="str">
        <f t="shared" ca="1" si="169"/>
        <v/>
      </c>
      <c r="AC378" s="310" t="e">
        <f t="shared" ca="1" si="170"/>
        <v>#N/A</v>
      </c>
      <c r="AD378" s="323" t="e">
        <f t="shared" ca="1" si="171"/>
        <v>#N/A</v>
      </c>
      <c r="AE378" s="324">
        <f t="shared" ca="1" si="150"/>
        <v>429.52859028966026</v>
      </c>
      <c r="AG378" s="306">
        <f t="shared" ca="1" si="172"/>
        <v>-23.685411588717479</v>
      </c>
      <c r="AH378" s="304">
        <f t="shared" ca="1" si="173"/>
        <v>-14.159898721961353</v>
      </c>
    </row>
    <row r="379" spans="1:34" x14ac:dyDescent="0.2">
      <c r="A379" s="347">
        <f t="shared" ca="1" si="151"/>
        <v>0.01</v>
      </c>
      <c r="B379" s="304">
        <f t="shared" ca="1" si="152"/>
        <v>3.749999999999964</v>
      </c>
      <c r="D379" s="306">
        <f t="shared" ca="1" si="153"/>
        <v>-3.3773317245357037</v>
      </c>
      <c r="E379" s="307">
        <f t="shared" ca="1" si="154"/>
        <v>-23.518758985421574</v>
      </c>
      <c r="F379" s="304">
        <f t="shared" ca="1" si="155"/>
        <v>23.7600167043692</v>
      </c>
      <c r="G379" s="306">
        <f t="shared" ca="1" si="156"/>
        <v>41.150324338094869</v>
      </c>
      <c r="H379" s="307">
        <f t="shared" ca="1" si="157"/>
        <v>166.93313191146467</v>
      </c>
      <c r="I379" s="304">
        <f t="shared" ca="1" si="158"/>
        <v>171.93027575997448</v>
      </c>
      <c r="J379" s="306">
        <f t="shared" ca="1" si="159"/>
        <v>97.324743411155268</v>
      </c>
      <c r="K379" s="307">
        <f t="shared" ca="1" si="160"/>
        <v>431.1990975467242</v>
      </c>
      <c r="L379" s="304">
        <f t="shared" ca="1" si="145"/>
        <v>442.04611456855559</v>
      </c>
      <c r="M379" s="306">
        <f t="shared" ca="1" si="161"/>
        <v>1.3291071016084348</v>
      </c>
      <c r="N379" s="304">
        <f t="shared" ca="1" si="162"/>
        <v>76.152227443028778</v>
      </c>
      <c r="P379" s="310">
        <f t="shared" ca="1" si="163"/>
        <v>23</v>
      </c>
      <c r="Q379" s="304">
        <f t="shared" ca="1" si="164"/>
        <v>0</v>
      </c>
      <c r="R379" s="306">
        <f t="shared" ca="1" si="165"/>
        <v>0</v>
      </c>
      <c r="S379" s="307">
        <f t="shared" ca="1" si="166"/>
        <v>8.1379999999999981</v>
      </c>
      <c r="T379" s="304">
        <f t="shared" ca="1" si="146"/>
        <v>79.83377999999999</v>
      </c>
      <c r="U379" s="311">
        <f t="shared" ca="1" si="147"/>
        <v>0</v>
      </c>
      <c r="V379" s="306">
        <f t="shared" ca="1" si="148"/>
        <v>1.1732929130128089</v>
      </c>
      <c r="W379" s="304">
        <f t="shared" ca="1" si="149"/>
        <v>114.56311127081328</v>
      </c>
      <c r="Y379" s="314" t="str">
        <f t="shared" ca="1" si="167"/>
        <v/>
      </c>
      <c r="Z379" s="315" t="str">
        <f t="shared" ca="1" si="168"/>
        <v/>
      </c>
      <c r="AA379" s="316" t="str">
        <f t="shared" ca="1" si="169"/>
        <v/>
      </c>
      <c r="AC379" s="310" t="e">
        <f t="shared" ca="1" si="170"/>
        <v>#N/A</v>
      </c>
      <c r="AD379" s="323" t="e">
        <f t="shared" ca="1" si="171"/>
        <v>#N/A</v>
      </c>
      <c r="AE379" s="324">
        <f t="shared" ca="1" si="150"/>
        <v>431.1990975467242</v>
      </c>
      <c r="AG379" s="306">
        <f t="shared" ca="1" si="172"/>
        <v>-23.643849111479316</v>
      </c>
      <c r="AH379" s="304">
        <f t="shared" ca="1" si="173"/>
        <v>-14.118655831839376</v>
      </c>
    </row>
    <row r="380" spans="1:34" x14ac:dyDescent="0.2">
      <c r="A380" s="347">
        <f t="shared" ca="1" si="151"/>
        <v>0.01</v>
      </c>
      <c r="B380" s="304">
        <f t="shared" ca="1" si="152"/>
        <v>3.7599999999999638</v>
      </c>
      <c r="D380" s="306">
        <f t="shared" ca="1" si="153"/>
        <v>-3.3693646637233683</v>
      </c>
      <c r="E380" s="307">
        <f t="shared" ca="1" si="154"/>
        <v>-23.478387914660132</v>
      </c>
      <c r="F380" s="304">
        <f t="shared" ca="1" si="155"/>
        <v>23.718923190322251</v>
      </c>
      <c r="G380" s="306">
        <f t="shared" ca="1" si="156"/>
        <v>41.116630691457637</v>
      </c>
      <c r="H380" s="307">
        <f t="shared" ca="1" si="157"/>
        <v>166.69834803231808</v>
      </c>
      <c r="I380" s="304">
        <f t="shared" ca="1" si="158"/>
        <v>171.69425312491262</v>
      </c>
      <c r="J380" s="306">
        <f t="shared" ca="1" si="159"/>
        <v>97.736078186303033</v>
      </c>
      <c r="K380" s="307">
        <f t="shared" ca="1" si="160"/>
        <v>432.8672549464431</v>
      </c>
      <c r="L380" s="304">
        <f t="shared" ca="1" si="145"/>
        <v>443.76390275022158</v>
      </c>
      <c r="M380" s="306">
        <f t="shared" ca="1" si="161"/>
        <v>1.3289703494616796</v>
      </c>
      <c r="N380" s="304">
        <f t="shared" ca="1" si="162"/>
        <v>76.144392122180349</v>
      </c>
      <c r="P380" s="310">
        <f t="shared" ca="1" si="163"/>
        <v>23</v>
      </c>
      <c r="Q380" s="304">
        <f t="shared" ca="1" si="164"/>
        <v>0</v>
      </c>
      <c r="R380" s="306">
        <f t="shared" ca="1" si="165"/>
        <v>0</v>
      </c>
      <c r="S380" s="307">
        <f t="shared" ca="1" si="166"/>
        <v>8.1379999999999981</v>
      </c>
      <c r="T380" s="304">
        <f t="shared" ca="1" si="146"/>
        <v>79.83377999999999</v>
      </c>
      <c r="U380" s="311">
        <f t="shared" ca="1" si="147"/>
        <v>0</v>
      </c>
      <c r="V380" s="306">
        <f t="shared" ca="1" si="148"/>
        <v>1.1730971142529178</v>
      </c>
      <c r="W380" s="304">
        <f t="shared" ca="1" si="149"/>
        <v>114.22972121535949</v>
      </c>
      <c r="Y380" s="314" t="str">
        <f t="shared" ca="1" si="167"/>
        <v/>
      </c>
      <c r="Z380" s="315" t="str">
        <f t="shared" ca="1" si="168"/>
        <v/>
      </c>
      <c r="AA380" s="316" t="str">
        <f t="shared" ca="1" si="169"/>
        <v/>
      </c>
      <c r="AC380" s="310" t="e">
        <f t="shared" ca="1" si="170"/>
        <v>#N/A</v>
      </c>
      <c r="AD380" s="323" t="e">
        <f t="shared" ca="1" si="171"/>
        <v>#N/A</v>
      </c>
      <c r="AE380" s="324">
        <f t="shared" ca="1" si="150"/>
        <v>432.8672549464431</v>
      </c>
      <c r="AG380" s="306">
        <f t="shared" ca="1" si="172"/>
        <v>-23.60242405018424</v>
      </c>
      <c r="AH380" s="304">
        <f t="shared" ca="1" si="173"/>
        <v>-14.077551151488487</v>
      </c>
    </row>
    <row r="381" spans="1:34" x14ac:dyDescent="0.2">
      <c r="A381" s="347">
        <f t="shared" ca="1" si="151"/>
        <v>0.01</v>
      </c>
      <c r="B381" s="304">
        <f t="shared" ca="1" si="152"/>
        <v>3.7699999999999636</v>
      </c>
      <c r="D381" s="306">
        <f t="shared" ca="1" si="153"/>
        <v>-3.3614231876894332</v>
      </c>
      <c r="E381" s="307">
        <f t="shared" ca="1" si="154"/>
        <v>-23.438151991105968</v>
      </c>
      <c r="F381" s="304">
        <f t="shared" ca="1" si="155"/>
        <v>23.67796728194633</v>
      </c>
      <c r="G381" s="306">
        <f t="shared" ca="1" si="156"/>
        <v>41.08301645958074</v>
      </c>
      <c r="H381" s="307">
        <f t="shared" ca="1" si="157"/>
        <v>166.46396651240701</v>
      </c>
      <c r="I381" s="304">
        <f t="shared" ca="1" si="158"/>
        <v>171.45864337636044</v>
      </c>
      <c r="J381" s="306">
        <f t="shared" ca="1" si="159"/>
        <v>98.14707642205822</v>
      </c>
      <c r="K381" s="307">
        <f t="shared" ca="1" si="160"/>
        <v>434.53306651916671</v>
      </c>
      <c r="L381" s="304">
        <f t="shared" ca="1" si="145"/>
        <v>445.47933118018835</v>
      </c>
      <c r="M381" s="306">
        <f t="shared" ca="1" si="161"/>
        <v>1.3288333334297859</v>
      </c>
      <c r="N381" s="304">
        <f t="shared" ca="1" si="162"/>
        <v>76.136541681827225</v>
      </c>
      <c r="P381" s="310">
        <f t="shared" ca="1" si="163"/>
        <v>23</v>
      </c>
      <c r="Q381" s="304">
        <f t="shared" ca="1" si="164"/>
        <v>0</v>
      </c>
      <c r="R381" s="306">
        <f t="shared" ca="1" si="165"/>
        <v>0</v>
      </c>
      <c r="S381" s="307">
        <f t="shared" ca="1" si="166"/>
        <v>8.1379999999999981</v>
      </c>
      <c r="T381" s="304">
        <f t="shared" ca="1" si="146"/>
        <v>79.83377999999999</v>
      </c>
      <c r="U381" s="311">
        <f t="shared" ca="1" si="147"/>
        <v>0</v>
      </c>
      <c r="V381" s="306">
        <f t="shared" ca="1" si="148"/>
        <v>1.1729016227331248</v>
      </c>
      <c r="W381" s="304">
        <f t="shared" ca="1" si="149"/>
        <v>113.897446102553</v>
      </c>
      <c r="Y381" s="314" t="str">
        <f t="shared" ca="1" si="167"/>
        <v/>
      </c>
      <c r="Z381" s="315" t="str">
        <f t="shared" ca="1" si="168"/>
        <v/>
      </c>
      <c r="AA381" s="316" t="str">
        <f t="shared" ca="1" si="169"/>
        <v/>
      </c>
      <c r="AC381" s="310" t="e">
        <f t="shared" ca="1" si="170"/>
        <v>#N/A</v>
      </c>
      <c r="AD381" s="323" t="e">
        <f t="shared" ca="1" si="171"/>
        <v>#N/A</v>
      </c>
      <c r="AE381" s="324">
        <f t="shared" ca="1" si="150"/>
        <v>434.53306651916671</v>
      </c>
      <c r="AG381" s="306">
        <f t="shared" ca="1" si="172"/>
        <v>-23.561135798241295</v>
      </c>
      <c r="AH381" s="304">
        <f t="shared" ca="1" si="173"/>
        <v>-14.036584076598613</v>
      </c>
    </row>
    <row r="382" spans="1:34" x14ac:dyDescent="0.2">
      <c r="A382" s="347">
        <f t="shared" ca="1" si="151"/>
        <v>0.01</v>
      </c>
      <c r="B382" s="304">
        <f t="shared" ca="1" si="152"/>
        <v>3.7799999999999634</v>
      </c>
      <c r="D382" s="306">
        <f t="shared" ca="1" si="153"/>
        <v>-3.3535071832997203</v>
      </c>
      <c r="E382" s="307">
        <f t="shared" ca="1" si="154"/>
        <v>-23.398050624499295</v>
      </c>
      <c r="F382" s="304">
        <f t="shared" ca="1" si="155"/>
        <v>23.63714837824298</v>
      </c>
      <c r="G382" s="306">
        <f t="shared" ca="1" si="156"/>
        <v>41.04948138774774</v>
      </c>
      <c r="H382" s="307">
        <f t="shared" ca="1" si="157"/>
        <v>166.22998600616202</v>
      </c>
      <c r="I382" s="304">
        <f t="shared" ca="1" si="158"/>
        <v>171.22344515226843</v>
      </c>
      <c r="J382" s="306">
        <f t="shared" ca="1" si="159"/>
        <v>98.557738911294862</v>
      </c>
      <c r="K382" s="307">
        <f t="shared" ca="1" si="160"/>
        <v>436.19653628175956</v>
      </c>
      <c r="L382" s="304">
        <f t="shared" ca="1" si="145"/>
        <v>447.19240396445838</v>
      </c>
      <c r="M382" s="306">
        <f t="shared" ca="1" si="161"/>
        <v>1.3286960529722471</v>
      </c>
      <c r="N382" s="304">
        <f t="shared" ca="1" si="162"/>
        <v>76.128676091000628</v>
      </c>
      <c r="P382" s="310">
        <f t="shared" ca="1" si="163"/>
        <v>23</v>
      </c>
      <c r="Q382" s="304">
        <f t="shared" ca="1" si="164"/>
        <v>0</v>
      </c>
      <c r="R382" s="306">
        <f t="shared" ca="1" si="165"/>
        <v>0</v>
      </c>
      <c r="S382" s="307">
        <f t="shared" ca="1" si="166"/>
        <v>8.1379999999999981</v>
      </c>
      <c r="T382" s="304">
        <f t="shared" ca="1" si="146"/>
        <v>79.83377999999999</v>
      </c>
      <c r="U382" s="311">
        <f t="shared" ca="1" si="147"/>
        <v>0</v>
      </c>
      <c r="V382" s="306">
        <f t="shared" ca="1" si="148"/>
        <v>1.1727064378396925</v>
      </c>
      <c r="W382" s="304">
        <f t="shared" ca="1" si="149"/>
        <v>113.56628106889843</v>
      </c>
      <c r="Y382" s="314" t="str">
        <f t="shared" ca="1" si="167"/>
        <v/>
      </c>
      <c r="Z382" s="315" t="str">
        <f t="shared" ca="1" si="168"/>
        <v/>
      </c>
      <c r="AA382" s="316" t="str">
        <f t="shared" ca="1" si="169"/>
        <v/>
      </c>
      <c r="AC382" s="310" t="e">
        <f t="shared" ca="1" si="170"/>
        <v>#N/A</v>
      </c>
      <c r="AD382" s="323" t="e">
        <f t="shared" ca="1" si="171"/>
        <v>#N/A</v>
      </c>
      <c r="AE382" s="324">
        <f t="shared" ca="1" si="150"/>
        <v>436.19653628175956</v>
      </c>
      <c r="AG382" s="306">
        <f t="shared" ca="1" si="172"/>
        <v>-23.519983752403128</v>
      </c>
      <c r="AH382" s="304">
        <f t="shared" ca="1" si="173"/>
        <v>-13.995754006211973</v>
      </c>
    </row>
    <row r="383" spans="1:34" x14ac:dyDescent="0.2">
      <c r="A383" s="347">
        <f t="shared" ca="1" si="151"/>
        <v>0.01</v>
      </c>
      <c r="B383" s="304">
        <f t="shared" ca="1" si="152"/>
        <v>3.7899999999999632</v>
      </c>
      <c r="D383" s="306">
        <f t="shared" ca="1" si="153"/>
        <v>-3.3456165380456997</v>
      </c>
      <c r="E383" s="307">
        <f t="shared" ca="1" si="154"/>
        <v>-23.358083227850848</v>
      </c>
      <c r="F383" s="304">
        <f t="shared" ca="1" si="155"/>
        <v>23.596465881543619</v>
      </c>
      <c r="G383" s="306">
        <f t="shared" ca="1" si="156"/>
        <v>41.016025222367283</v>
      </c>
      <c r="H383" s="307">
        <f t="shared" ca="1" si="157"/>
        <v>165.99640517388352</v>
      </c>
      <c r="I383" s="304">
        <f t="shared" ca="1" si="158"/>
        <v>170.98865709658631</v>
      </c>
      <c r="J383" s="306">
        <f t="shared" ca="1" si="159"/>
        <v>98.968066444345439</v>
      </c>
      <c r="K383" s="307">
        <f t="shared" ca="1" si="160"/>
        <v>437.85766823765977</v>
      </c>
      <c r="L383" s="304">
        <f t="shared" ca="1" si="145"/>
        <v>448.90312519546228</v>
      </c>
      <c r="M383" s="306">
        <f t="shared" ca="1" si="161"/>
        <v>1.3285585075468593</v>
      </c>
      <c r="N383" s="304">
        <f t="shared" ca="1" si="162"/>
        <v>76.120795318634563</v>
      </c>
      <c r="P383" s="310">
        <f t="shared" ca="1" si="163"/>
        <v>23</v>
      </c>
      <c r="Q383" s="304">
        <f t="shared" ca="1" si="164"/>
        <v>0</v>
      </c>
      <c r="R383" s="306">
        <f t="shared" ca="1" si="165"/>
        <v>0</v>
      </c>
      <c r="S383" s="307">
        <f t="shared" ca="1" si="166"/>
        <v>8.1379999999999981</v>
      </c>
      <c r="T383" s="304">
        <f t="shared" ca="1" si="146"/>
        <v>79.83377999999999</v>
      </c>
      <c r="U383" s="311">
        <f t="shared" ca="1" si="147"/>
        <v>0</v>
      </c>
      <c r="V383" s="306">
        <f t="shared" ca="1" si="148"/>
        <v>1.1725115589610247</v>
      </c>
      <c r="W383" s="304">
        <f t="shared" ca="1" si="149"/>
        <v>113.23622127781906</v>
      </c>
      <c r="Y383" s="314" t="str">
        <f t="shared" ca="1" si="167"/>
        <v/>
      </c>
      <c r="Z383" s="315" t="str">
        <f t="shared" ca="1" si="168"/>
        <v/>
      </c>
      <c r="AA383" s="316" t="str">
        <f t="shared" ca="1" si="169"/>
        <v/>
      </c>
      <c r="AC383" s="310" t="e">
        <f t="shared" ca="1" si="170"/>
        <v>#N/A</v>
      </c>
      <c r="AD383" s="323" t="e">
        <f t="shared" ca="1" si="171"/>
        <v>#N/A</v>
      </c>
      <c r="AE383" s="324">
        <f t="shared" ca="1" si="150"/>
        <v>437.85766823765977</v>
      </c>
      <c r="AG383" s="306">
        <f t="shared" ca="1" si="172"/>
        <v>-23.478967312743634</v>
      </c>
      <c r="AH383" s="304">
        <f t="shared" ca="1" si="173"/>
        <v>-13.955060342700721</v>
      </c>
    </row>
    <row r="384" spans="1:34" x14ac:dyDescent="0.2">
      <c r="A384" s="347">
        <f t="shared" ca="1" si="151"/>
        <v>0.01</v>
      </c>
      <c r="B384" s="304">
        <f t="shared" ca="1" si="152"/>
        <v>3.799999999999963</v>
      </c>
      <c r="D384" s="306">
        <f t="shared" ca="1" si="153"/>
        <v>-3.3377511400403348</v>
      </c>
      <c r="E384" s="307">
        <f t="shared" ca="1" si="154"/>
        <v>-23.318249217420124</v>
      </c>
      <c r="F384" s="304">
        <f t="shared" ca="1" si="155"/>
        <v>23.555919197487388</v>
      </c>
      <c r="G384" s="306">
        <f t="shared" ca="1" si="156"/>
        <v>40.98264771096688</v>
      </c>
      <c r="H384" s="307">
        <f t="shared" ca="1" si="157"/>
        <v>165.76322268170932</v>
      </c>
      <c r="I384" s="304">
        <f t="shared" ca="1" si="158"/>
        <v>170.75427785923014</v>
      </c>
      <c r="J384" s="306">
        <f t="shared" ca="1" si="159"/>
        <v>99.378059809012115</v>
      </c>
      <c r="K384" s="307">
        <f t="shared" ca="1" si="160"/>
        <v>439.51646637693773</v>
      </c>
      <c r="L384" s="304">
        <f t="shared" ca="1" si="145"/>
        <v>450.61149895211662</v>
      </c>
      <c r="M384" s="306">
        <f t="shared" ca="1" si="161"/>
        <v>1.3284206966097161</v>
      </c>
      <c r="N384" s="304">
        <f t="shared" ca="1" si="162"/>
        <v>76.112899333565522</v>
      </c>
      <c r="P384" s="310">
        <f t="shared" ca="1" si="163"/>
        <v>23</v>
      </c>
      <c r="Q384" s="304">
        <f t="shared" ca="1" si="164"/>
        <v>0</v>
      </c>
      <c r="R384" s="306">
        <f t="shared" ca="1" si="165"/>
        <v>0</v>
      </c>
      <c r="S384" s="307">
        <f t="shared" ca="1" si="166"/>
        <v>8.1379999999999981</v>
      </c>
      <c r="T384" s="304">
        <f t="shared" ca="1" si="146"/>
        <v>79.83377999999999</v>
      </c>
      <c r="U384" s="311">
        <f t="shared" ca="1" si="147"/>
        <v>0</v>
      </c>
      <c r="V384" s="306">
        <f t="shared" ca="1" si="148"/>
        <v>1.1723169854876525</v>
      </c>
      <c r="W384" s="304">
        <f t="shared" ca="1" si="149"/>
        <v>112.90726191947762</v>
      </c>
      <c r="Y384" s="314" t="str">
        <f t="shared" ca="1" si="167"/>
        <v/>
      </c>
      <c r="Z384" s="315" t="str">
        <f t="shared" ca="1" si="168"/>
        <v/>
      </c>
      <c r="AA384" s="316" t="str">
        <f t="shared" ca="1" si="169"/>
        <v/>
      </c>
      <c r="AC384" s="310" t="e">
        <f t="shared" ca="1" si="170"/>
        <v>#N/A</v>
      </c>
      <c r="AD384" s="323" t="e">
        <f t="shared" ca="1" si="171"/>
        <v>#N/A</v>
      </c>
      <c r="AE384" s="324">
        <f t="shared" ca="1" si="150"/>
        <v>439.51646637693773</v>
      </c>
      <c r="AG384" s="306">
        <f t="shared" ca="1" si="172"/>
        <v>-23.43808588263574</v>
      </c>
      <c r="AH384" s="304">
        <f t="shared" ca="1" si="173"/>
        <v>-13.914502491744788</v>
      </c>
    </row>
    <row r="385" spans="1:34" x14ac:dyDescent="0.2">
      <c r="A385" s="347">
        <f t="shared" ca="1" si="151"/>
        <v>0.01</v>
      </c>
      <c r="B385" s="304">
        <f t="shared" ca="1" si="152"/>
        <v>3.8099999999999627</v>
      </c>
      <c r="D385" s="306">
        <f t="shared" ca="1" si="153"/>
        <v>-3.3299108780139379</v>
      </c>
      <c r="E385" s="307">
        <f t="shared" ca="1" si="154"/>
        <v>-23.27854801269374</v>
      </c>
      <c r="F385" s="304">
        <f t="shared" ca="1" si="155"/>
        <v>23.515507734999115</v>
      </c>
      <c r="G385" s="306">
        <f t="shared" ca="1" si="156"/>
        <v>40.949348602186738</v>
      </c>
      <c r="H385" s="307">
        <f t="shared" ca="1" si="157"/>
        <v>165.53043720158237</v>
      </c>
      <c r="I385" s="304">
        <f t="shared" ca="1" si="158"/>
        <v>170.52030609604952</v>
      </c>
      <c r="J385" s="306">
        <f t="shared" ca="1" si="159"/>
        <v>99.787719790577881</v>
      </c>
      <c r="K385" s="307">
        <f t="shared" ca="1" si="160"/>
        <v>441.1729346763542</v>
      </c>
      <c r="L385" s="304">
        <f t="shared" ca="1" si="145"/>
        <v>452.31752929988198</v>
      </c>
      <c r="M385" s="306">
        <f t="shared" ca="1" si="161"/>
        <v>1.328282619615202</v>
      </c>
      <c r="N385" s="304">
        <f t="shared" ca="1" si="162"/>
        <v>76.104988104532012</v>
      </c>
      <c r="P385" s="310">
        <f t="shared" ca="1" si="163"/>
        <v>23</v>
      </c>
      <c r="Q385" s="304">
        <f t="shared" ca="1" si="164"/>
        <v>0</v>
      </c>
      <c r="R385" s="306">
        <f t="shared" ca="1" si="165"/>
        <v>0</v>
      </c>
      <c r="S385" s="307">
        <f t="shared" ca="1" si="166"/>
        <v>8.1379999999999981</v>
      </c>
      <c r="T385" s="304">
        <f t="shared" ca="1" si="146"/>
        <v>79.83377999999999</v>
      </c>
      <c r="U385" s="311">
        <f t="shared" ca="1" si="147"/>
        <v>0</v>
      </c>
      <c r="V385" s="306">
        <f t="shared" ca="1" si="148"/>
        <v>1.1721227168122299</v>
      </c>
      <c r="W385" s="304">
        <f t="shared" ca="1" si="149"/>
        <v>112.57939821059908</v>
      </c>
      <c r="Y385" s="314" t="str">
        <f t="shared" ca="1" si="167"/>
        <v/>
      </c>
      <c r="Z385" s="315" t="str">
        <f t="shared" ca="1" si="168"/>
        <v/>
      </c>
      <c r="AA385" s="316" t="str">
        <f t="shared" ca="1" si="169"/>
        <v/>
      </c>
      <c r="AC385" s="310" t="e">
        <f t="shared" ca="1" si="170"/>
        <v>#N/A</v>
      </c>
      <c r="AD385" s="323" t="e">
        <f t="shared" ca="1" si="171"/>
        <v>#N/A</v>
      </c>
      <c r="AE385" s="324">
        <f t="shared" ca="1" si="150"/>
        <v>441.1729346763542</v>
      </c>
      <c r="AG385" s="306">
        <f t="shared" ca="1" si="172"/>
        <v>-23.397338868729346</v>
      </c>
      <c r="AH385" s="304">
        <f t="shared" ca="1" si="173"/>
        <v>-13.874079862309861</v>
      </c>
    </row>
    <row r="386" spans="1:34" x14ac:dyDescent="0.2">
      <c r="A386" s="347">
        <f t="shared" ca="1" si="151"/>
        <v>0.01</v>
      </c>
      <c r="B386" s="304">
        <f t="shared" ca="1" si="152"/>
        <v>3.8199999999999625</v>
      </c>
      <c r="D386" s="306">
        <f t="shared" ca="1" si="153"/>
        <v>-3.3220956413100824</v>
      </c>
      <c r="E386" s="307">
        <f t="shared" ca="1" si="154"/>
        <v>-23.238979036364046</v>
      </c>
      <c r="F386" s="304">
        <f t="shared" ca="1" si="155"/>
        <v>23.475230906267548</v>
      </c>
      <c r="G386" s="306">
        <f t="shared" ca="1" si="156"/>
        <v>40.916127645773635</v>
      </c>
      <c r="H386" s="307">
        <f t="shared" ca="1" si="157"/>
        <v>165.29804741121873</v>
      </c>
      <c r="I386" s="304">
        <f t="shared" ca="1" si="158"/>
        <v>170.28674046879502</v>
      </c>
      <c r="J386" s="306">
        <f t="shared" ca="1" si="159"/>
        <v>100.19704717181769</v>
      </c>
      <c r="K386" s="307">
        <f t="shared" ca="1" si="160"/>
        <v>442.8270770994182</v>
      </c>
      <c r="L386" s="304">
        <f t="shared" ca="1" si="145"/>
        <v>454.02122029082022</v>
      </c>
      <c r="M386" s="306">
        <f t="shared" ca="1" si="161"/>
        <v>1.3281442760159872</v>
      </c>
      <c r="N386" s="304">
        <f t="shared" ca="1" si="162"/>
        <v>76.097061600174356</v>
      </c>
      <c r="P386" s="310">
        <f t="shared" ca="1" si="163"/>
        <v>23</v>
      </c>
      <c r="Q386" s="304">
        <f t="shared" ca="1" si="164"/>
        <v>0</v>
      </c>
      <c r="R386" s="306">
        <f t="shared" ca="1" si="165"/>
        <v>0</v>
      </c>
      <c r="S386" s="307">
        <f t="shared" ca="1" si="166"/>
        <v>8.1379999999999981</v>
      </c>
      <c r="T386" s="304">
        <f t="shared" ca="1" si="146"/>
        <v>79.83377999999999</v>
      </c>
      <c r="U386" s="311">
        <f t="shared" ca="1" si="147"/>
        <v>0</v>
      </c>
      <c r="V386" s="306">
        <f t="shared" ca="1" si="148"/>
        <v>1.1719287523295185</v>
      </c>
      <c r="W386" s="304">
        <f t="shared" ca="1" si="149"/>
        <v>112.2526253942939</v>
      </c>
      <c r="Y386" s="314" t="str">
        <f t="shared" ca="1" si="167"/>
        <v/>
      </c>
      <c r="Z386" s="315" t="str">
        <f t="shared" ca="1" si="168"/>
        <v/>
      </c>
      <c r="AA386" s="316" t="str">
        <f t="shared" ca="1" si="169"/>
        <v/>
      </c>
      <c r="AC386" s="310" t="e">
        <f t="shared" ca="1" si="170"/>
        <v>#N/A</v>
      </c>
      <c r="AD386" s="323" t="e">
        <f t="shared" ca="1" si="171"/>
        <v>#N/A</v>
      </c>
      <c r="AE386" s="324">
        <f t="shared" ca="1" si="150"/>
        <v>442.8270770994182</v>
      </c>
      <c r="AG386" s="306">
        <f t="shared" ca="1" si="172"/>
        <v>-23.356725680929507</v>
      </c>
      <c r="AH386" s="304">
        <f t="shared" ca="1" si="173"/>
        <v>-13.833791866625596</v>
      </c>
    </row>
    <row r="387" spans="1:34" x14ac:dyDescent="0.2">
      <c r="A387" s="347">
        <f t="shared" ca="1" si="151"/>
        <v>0.01</v>
      </c>
      <c r="B387" s="304">
        <f t="shared" ca="1" si="152"/>
        <v>3.8299999999999623</v>
      </c>
      <c r="D387" s="306">
        <f t="shared" ca="1" si="153"/>
        <v>-3.3143053198815147</v>
      </c>
      <c r="E387" s="307">
        <f t="shared" ca="1" si="154"/>
        <v>-23.199541714307813</v>
      </c>
      <c r="F387" s="304">
        <f t="shared" ca="1" si="155"/>
        <v>23.435088126723638</v>
      </c>
      <c r="G387" s="306">
        <f t="shared" ca="1" si="156"/>
        <v>40.882984592574822</v>
      </c>
      <c r="H387" s="307">
        <f t="shared" ca="1" si="157"/>
        <v>165.06605199407565</v>
      </c>
      <c r="I387" s="304">
        <f t="shared" ca="1" si="158"/>
        <v>170.05357964508596</v>
      </c>
      <c r="J387" s="306">
        <f t="shared" ca="1" si="159"/>
        <v>100.60604273300943</v>
      </c>
      <c r="K387" s="307">
        <f t="shared" ca="1" si="160"/>
        <v>444.47889759644465</v>
      </c>
      <c r="L387" s="304">
        <f t="shared" ca="1" si="145"/>
        <v>455.72257596365233</v>
      </c>
      <c r="M387" s="306">
        <f t="shared" ca="1" si="161"/>
        <v>1.3280056652630206</v>
      </c>
      <c r="N387" s="304">
        <f t="shared" ca="1" si="162"/>
        <v>76.089119789034228</v>
      </c>
      <c r="P387" s="310">
        <f t="shared" ca="1" si="163"/>
        <v>23</v>
      </c>
      <c r="Q387" s="304">
        <f t="shared" ca="1" si="164"/>
        <v>0</v>
      </c>
      <c r="R387" s="306">
        <f t="shared" ca="1" si="165"/>
        <v>0</v>
      </c>
      <c r="S387" s="307">
        <f t="shared" ca="1" si="166"/>
        <v>8.1379999999999981</v>
      </c>
      <c r="T387" s="304">
        <f t="shared" ca="1" si="146"/>
        <v>79.83377999999999</v>
      </c>
      <c r="U387" s="311">
        <f t="shared" ca="1" si="147"/>
        <v>0</v>
      </c>
      <c r="V387" s="306">
        <f t="shared" ca="1" si="148"/>
        <v>1.1717350914363824</v>
      </c>
      <c r="W387" s="304">
        <f t="shared" ca="1" si="149"/>
        <v>111.92693873988368</v>
      </c>
      <c r="Y387" s="314" t="str">
        <f t="shared" ca="1" si="167"/>
        <v/>
      </c>
      <c r="Z387" s="315" t="str">
        <f t="shared" ca="1" si="168"/>
        <v/>
      </c>
      <c r="AA387" s="316" t="str">
        <f t="shared" ca="1" si="169"/>
        <v/>
      </c>
      <c r="AC387" s="310" t="e">
        <f t="shared" ca="1" si="170"/>
        <v>#N/A</v>
      </c>
      <c r="AD387" s="323" t="e">
        <f t="shared" ca="1" si="171"/>
        <v>#N/A</v>
      </c>
      <c r="AE387" s="324">
        <f t="shared" ca="1" si="150"/>
        <v>444.47889759644465</v>
      </c>
      <c r="AG387" s="306">
        <f t="shared" ca="1" si="172"/>
        <v>-23.316245732374686</v>
      </c>
      <c r="AH387" s="304">
        <f t="shared" ca="1" si="173"/>
        <v>-13.793637920163913</v>
      </c>
    </row>
    <row r="388" spans="1:34" x14ac:dyDescent="0.2">
      <c r="A388" s="347">
        <f t="shared" ca="1" si="151"/>
        <v>0.01</v>
      </c>
      <c r="B388" s="304">
        <f t="shared" ca="1" si="152"/>
        <v>3.8399999999999621</v>
      </c>
      <c r="D388" s="306">
        <f t="shared" ca="1" si="153"/>
        <v>-3.306539804286134</v>
      </c>
      <c r="E388" s="307">
        <f t="shared" ca="1" si="154"/>
        <v>-23.160235475565148</v>
      </c>
      <c r="F388" s="304">
        <f t="shared" ca="1" si="155"/>
        <v>23.39507881501909</v>
      </c>
      <c r="G388" s="306">
        <f t="shared" ca="1" si="156"/>
        <v>40.849919194531964</v>
      </c>
      <c r="H388" s="307">
        <f t="shared" ca="1" si="157"/>
        <v>164.83444963931998</v>
      </c>
      <c r="I388" s="304">
        <f t="shared" ca="1" si="158"/>
        <v>169.82082229837809</v>
      </c>
      <c r="J388" s="306">
        <f t="shared" ca="1" si="159"/>
        <v>101.01470725194497</v>
      </c>
      <c r="K388" s="307">
        <f t="shared" ca="1" si="160"/>
        <v>446.12840010461161</v>
      </c>
      <c r="L388" s="304">
        <f t="shared" ref="L388:L451" ca="1" si="174">SQRT(pos_x^2+pos_z^2)</f>
        <v>457.42160034381476</v>
      </c>
      <c r="M388" s="306">
        <f t="shared" ca="1" si="161"/>
        <v>1.3278667868055245</v>
      </c>
      <c r="N388" s="304">
        <f t="shared" ca="1" si="162"/>
        <v>76.081162639554421</v>
      </c>
      <c r="P388" s="310">
        <f t="shared" ca="1" si="163"/>
        <v>23</v>
      </c>
      <c r="Q388" s="304">
        <f t="shared" ca="1" si="164"/>
        <v>0</v>
      </c>
      <c r="R388" s="306">
        <f t="shared" ca="1" si="165"/>
        <v>0</v>
      </c>
      <c r="S388" s="307">
        <f t="shared" ca="1" si="166"/>
        <v>8.1379999999999981</v>
      </c>
      <c r="T388" s="304">
        <f t="shared" ref="T388:T451" ca="1" si="175">m*g</f>
        <v>79.83377999999999</v>
      </c>
      <c r="U388" s="311">
        <f t="shared" ref="U388:U451" ca="1" si="176">IF(pos_xz&lt;L_rampe,Poids*COS(Beta),0)</f>
        <v>0</v>
      </c>
      <c r="V388" s="306">
        <f t="shared" ref="V388:V451" ca="1" si="177">Rho_moyen*(20000-Alt_rampe-pos_z)/(20000+Alt_rampe+pos_z)</f>
        <v>1.171541733531777</v>
      </c>
      <c r="W388" s="304">
        <f t="shared" ref="W388:W451" ca="1" si="178">1/2*Rho*Sref*Cx*vit_xz^2</f>
        <v>111.60233354272729</v>
      </c>
      <c r="Y388" s="314" t="str">
        <f t="shared" ca="1" si="167"/>
        <v/>
      </c>
      <c r="Z388" s="315" t="str">
        <f t="shared" ca="1" si="168"/>
        <v/>
      </c>
      <c r="AA388" s="316" t="str">
        <f t="shared" ca="1" si="169"/>
        <v/>
      </c>
      <c r="AC388" s="310" t="e">
        <f t="shared" ca="1" si="170"/>
        <v>#N/A</v>
      </c>
      <c r="AD388" s="323" t="e">
        <f t="shared" ca="1" si="171"/>
        <v>#N/A</v>
      </c>
      <c r="AE388" s="324">
        <f t="shared" ref="AE388:AE451" ca="1" si="179">IF(t&lt;T_para, pos_z, NA())</f>
        <v>446.12840010461161</v>
      </c>
      <c r="AG388" s="306">
        <f t="shared" ca="1" si="172"/>
        <v>-23.275898439415275</v>
      </c>
      <c r="AH388" s="304">
        <f t="shared" ca="1" si="173"/>
        <v>-13.753617441617561</v>
      </c>
    </row>
    <row r="389" spans="1:34" x14ac:dyDescent="0.2">
      <c r="A389" s="347">
        <f t="shared" ref="A389:A452" ca="1" si="180">IF(B388+0.01&lt;=T_ini+ROUNDUP(Temps_fin_propu,0), 0.01, IF(K388&gt;0, 0.1, 0.0001))</f>
        <v>0.01</v>
      </c>
      <c r="B389" s="304">
        <f t="shared" ref="B389:B452" ca="1" si="181">B388+pas</f>
        <v>3.8499999999999619</v>
      </c>
      <c r="D389" s="306">
        <f t="shared" ref="D389:D452" ca="1" si="182">IF(AND(L388&lt;L_rampe,Poussee&lt;Poids*SIN(M388)),0,(-W388+Poussee)/m*COS(M388)-U388/m*SIN(M388))</f>
        <v>-3.2987989856829718</v>
      </c>
      <c r="E389" s="307">
        <f t="shared" ref="E389:E452" ca="1" si="183">IF(AND(L388&lt;L_rampe,Poussee&lt;Poids*SIN(M388)),0,(-W388+Poussee)/m*SIN(M388)+U388/m*COS(M388)-Poids/m)</f>
        <v>-23.121059752318558</v>
      </c>
      <c r="F389" s="304">
        <f t="shared" ref="F389:F452" ca="1" si="184">SQRT(acc_x^2+acc_z^2)</f>
        <v>23.355202393005037</v>
      </c>
      <c r="G389" s="306">
        <f t="shared" ref="G389:G452" ca="1" si="185">G388+acc_x*pas</f>
        <v>40.816931204675136</v>
      </c>
      <c r="H389" s="307">
        <f t="shared" ref="H389:H452" ca="1" si="186">H388+acc_z*pas</f>
        <v>164.6032390417968</v>
      </c>
      <c r="I389" s="304">
        <f t="shared" ref="I389:I452" ca="1" si="187">SQRT(vit_x^2+vit_z^2)</f>
        <v>169.58846710793185</v>
      </c>
      <c r="J389" s="306">
        <f t="shared" ref="J389:J452" ca="1" si="188">J388+0.5*(vit_x+G388)*pas*(K388&gt;=0)</f>
        <v>101.42304150394101</v>
      </c>
      <c r="K389" s="307">
        <f t="shared" ref="K389:K452" ca="1" si="189">K388+0.5*(vit_z+H388)*pas</f>
        <v>447.7755885480172</v>
      </c>
      <c r="L389" s="304">
        <f t="shared" ca="1" si="174"/>
        <v>459.1182974435165</v>
      </c>
      <c r="M389" s="306">
        <f t="shared" ref="M389:M452" ca="1" si="190">IF(AND(L388&gt;L_rampe,G389&gt;0),ATAN2(G389,H389),$M$4)</f>
        <v>1.3277276400909881</v>
      </c>
      <c r="N389" s="304">
        <f t="shared" ref="N389:N452" ca="1" si="191">DEGREES(Beta)</f>
        <v>76.07319012007838</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8.1379999999999981</v>
      </c>
      <c r="T389" s="304">
        <f t="shared" ca="1" si="175"/>
        <v>79.83377999999999</v>
      </c>
      <c r="U389" s="311">
        <f t="shared" ca="1" si="176"/>
        <v>0</v>
      </c>
      <c r="V389" s="306">
        <f t="shared" ca="1" si="177"/>
        <v>1.1713486780167397</v>
      </c>
      <c r="W389" s="304">
        <f t="shared" ca="1" si="178"/>
        <v>111.2788051240489</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f t="shared" ca="1" si="179"/>
        <v>447.7755885480172</v>
      </c>
      <c r="AG389" s="306">
        <f t="shared" ref="AG389:AG452" ca="1" si="201">IF(AND(L388&lt;L_rampe,Poussee&lt;Poids*SIN(M388)),0,(-W388+Poussee)/m-Poids*SIN(M388)/m)</f>
        <v>-23.235683221592208</v>
      </c>
      <c r="AH389" s="304">
        <f t="shared" ref="AH389:AH452" ca="1" si="202">IF(AND(L388&lt;L_rampe,Poussee&lt;Poids*SIN(M388)), g*SIN(M388), (-W388+Poussee)/m)</f>
        <v>-13.713729852878757</v>
      </c>
    </row>
    <row r="390" spans="1:34" x14ac:dyDescent="0.2">
      <c r="A390" s="347">
        <f t="shared" ca="1" si="180"/>
        <v>0.01</v>
      </c>
      <c r="B390" s="304">
        <f t="shared" ca="1" si="181"/>
        <v>3.8599999999999617</v>
      </c>
      <c r="D390" s="306">
        <f t="shared" ca="1" si="182"/>
        <v>-3.2910827558282238</v>
      </c>
      <c r="E390" s="307">
        <f t="shared" ca="1" si="183"/>
        <v>-23.082013979872162</v>
      </c>
      <c r="F390" s="304">
        <f t="shared" ca="1" si="184"/>
        <v>23.315458285710875</v>
      </c>
      <c r="G390" s="306">
        <f t="shared" ca="1" si="185"/>
        <v>40.784020377116853</v>
      </c>
      <c r="H390" s="307">
        <f t="shared" ca="1" si="186"/>
        <v>164.37241890199809</v>
      </c>
      <c r="I390" s="304">
        <f t="shared" ca="1" si="187"/>
        <v>169.35651275878061</v>
      </c>
      <c r="J390" s="306">
        <f t="shared" ca="1" si="188"/>
        <v>101.83104626184996</v>
      </c>
      <c r="K390" s="307">
        <f t="shared" ca="1" si="189"/>
        <v>449.42046683773617</v>
      </c>
      <c r="L390" s="304">
        <f t="shared" ca="1" si="174"/>
        <v>460.81267126179563</v>
      </c>
      <c r="M390" s="306">
        <f t="shared" ca="1" si="190"/>
        <v>1.3275882245651613</v>
      </c>
      <c r="N390" s="304">
        <f t="shared" ca="1" si="191"/>
        <v>76.065202198849903</v>
      </c>
      <c r="P390" s="310">
        <f t="shared" ca="1" si="192"/>
        <v>23</v>
      </c>
      <c r="Q390" s="304">
        <f t="shared" ca="1" si="193"/>
        <v>0</v>
      </c>
      <c r="R390" s="306">
        <f t="shared" ca="1" si="194"/>
        <v>0</v>
      </c>
      <c r="S390" s="307">
        <f t="shared" ca="1" si="195"/>
        <v>8.1379999999999981</v>
      </c>
      <c r="T390" s="304">
        <f t="shared" ca="1" si="175"/>
        <v>79.83377999999999</v>
      </c>
      <c r="U390" s="311">
        <f t="shared" ca="1" si="176"/>
        <v>0</v>
      </c>
      <c r="V390" s="306">
        <f t="shared" ca="1" si="177"/>
        <v>1.1711559242943808</v>
      </c>
      <c r="W390" s="304">
        <f t="shared" ca="1" si="178"/>
        <v>110.95634883076708</v>
      </c>
      <c r="Y390" s="314" t="str">
        <f t="shared" ca="1" si="196"/>
        <v/>
      </c>
      <c r="Z390" s="315" t="str">
        <f t="shared" ca="1" si="197"/>
        <v/>
      </c>
      <c r="AA390" s="316" t="str">
        <f t="shared" ca="1" si="198"/>
        <v/>
      </c>
      <c r="AC390" s="310" t="e">
        <f t="shared" ca="1" si="199"/>
        <v>#N/A</v>
      </c>
      <c r="AD390" s="323" t="e">
        <f t="shared" ca="1" si="200"/>
        <v>#N/A</v>
      </c>
      <c r="AE390" s="324">
        <f t="shared" ca="1" si="179"/>
        <v>449.42046683773617</v>
      </c>
      <c r="AG390" s="306">
        <f t="shared" ca="1" si="201"/>
        <v>-23.195599501615767</v>
      </c>
      <c r="AH390" s="304">
        <f t="shared" ca="1" si="202"/>
        <v>-13.673974579018054</v>
      </c>
    </row>
    <row r="391" spans="1:34" x14ac:dyDescent="0.2">
      <c r="A391" s="347">
        <f t="shared" ca="1" si="180"/>
        <v>0.01</v>
      </c>
      <c r="B391" s="304">
        <f t="shared" ca="1" si="181"/>
        <v>3.8699999999999615</v>
      </c>
      <c r="D391" s="306">
        <f t="shared" ca="1" si="182"/>
        <v>-3.283391007071303</v>
      </c>
      <c r="E391" s="307">
        <f t="shared" ca="1" si="183"/>
        <v>-23.043097596631071</v>
      </c>
      <c r="F391" s="304">
        <f t="shared" ca="1" si="184"/>
        <v>23.275845921323278</v>
      </c>
      <c r="G391" s="306">
        <f t="shared" ca="1" si="185"/>
        <v>40.751186467046139</v>
      </c>
      <c r="H391" s="307">
        <f t="shared" ca="1" si="186"/>
        <v>164.14198792603179</v>
      </c>
      <c r="I391" s="304">
        <f t="shared" ca="1" si="187"/>
        <v>169.12495794169922</v>
      </c>
      <c r="J391" s="306">
        <f t="shared" ca="1" si="188"/>
        <v>102.23872229607078</v>
      </c>
      <c r="K391" s="307">
        <f t="shared" ca="1" si="189"/>
        <v>451.0630388718763</v>
      </c>
      <c r="L391" s="304">
        <f t="shared" ca="1" si="174"/>
        <v>462.50472578457493</v>
      </c>
      <c r="M391" s="306">
        <f t="shared" ca="1" si="190"/>
        <v>1.3274485396720488</v>
      </c>
      <c r="N391" s="304">
        <f t="shared" ca="1" si="191"/>
        <v>76.057198844012817</v>
      </c>
      <c r="P391" s="310">
        <f t="shared" ca="1" si="192"/>
        <v>23</v>
      </c>
      <c r="Q391" s="304">
        <f t="shared" ca="1" si="193"/>
        <v>0</v>
      </c>
      <c r="R391" s="306">
        <f t="shared" ca="1" si="194"/>
        <v>0</v>
      </c>
      <c r="S391" s="307">
        <f t="shared" ca="1" si="195"/>
        <v>8.1379999999999981</v>
      </c>
      <c r="T391" s="304">
        <f t="shared" ca="1" si="175"/>
        <v>79.83377999999999</v>
      </c>
      <c r="U391" s="311">
        <f t="shared" ca="1" si="176"/>
        <v>0</v>
      </c>
      <c r="V391" s="306">
        <f t="shared" ca="1" si="177"/>
        <v>1.1709634717698738</v>
      </c>
      <c r="W391" s="304">
        <f t="shared" ca="1" si="178"/>
        <v>110.63496003532531</v>
      </c>
      <c r="Y391" s="314" t="str">
        <f t="shared" ca="1" si="196"/>
        <v/>
      </c>
      <c r="Z391" s="315" t="str">
        <f t="shared" ca="1" si="197"/>
        <v/>
      </c>
      <c r="AA391" s="316" t="str">
        <f t="shared" ca="1" si="198"/>
        <v/>
      </c>
      <c r="AC391" s="310" t="e">
        <f t="shared" ca="1" si="199"/>
        <v>#N/A</v>
      </c>
      <c r="AD391" s="323" t="e">
        <f t="shared" ca="1" si="200"/>
        <v>#N/A</v>
      </c>
      <c r="AE391" s="324">
        <f t="shared" ca="1" si="179"/>
        <v>451.0630388718763</v>
      </c>
      <c r="AG391" s="306">
        <f t="shared" ca="1" si="201"/>
        <v>-23.155646705344587</v>
      </c>
      <c r="AH391" s="304">
        <f t="shared" ca="1" si="202"/>
        <v>-13.634351048263346</v>
      </c>
    </row>
    <row r="392" spans="1:34" x14ac:dyDescent="0.2">
      <c r="A392" s="347">
        <f t="shared" ca="1" si="180"/>
        <v>0.01</v>
      </c>
      <c r="B392" s="304">
        <f t="shared" ca="1" si="181"/>
        <v>3.8799999999999613</v>
      </c>
      <c r="D392" s="306">
        <f t="shared" ca="1" si="182"/>
        <v>-3.2757236323509251</v>
      </c>
      <c r="E392" s="307">
        <f t="shared" ca="1" si="183"/>
        <v>-23.004310044080949</v>
      </c>
      <c r="F392" s="304">
        <f t="shared" ca="1" si="184"/>
        <v>23.236364731165374</v>
      </c>
      <c r="G392" s="306">
        <f t="shared" ca="1" si="185"/>
        <v>40.718429230722627</v>
      </c>
      <c r="H392" s="307">
        <f t="shared" ca="1" si="186"/>
        <v>163.91194482559098</v>
      </c>
      <c r="I392" s="304">
        <f t="shared" ca="1" si="187"/>
        <v>168.89380135317268</v>
      </c>
      <c r="J392" s="306">
        <f t="shared" ca="1" si="188"/>
        <v>102.64607037455961</v>
      </c>
      <c r="K392" s="307">
        <f t="shared" ca="1" si="189"/>
        <v>452.70330853563439</v>
      </c>
      <c r="L392" s="304">
        <f t="shared" ca="1" si="174"/>
        <v>464.19446498471825</v>
      </c>
      <c r="M392" s="306">
        <f t="shared" ca="1" si="190"/>
        <v>1.3273085848539037</v>
      </c>
      <c r="N392" s="304">
        <f t="shared" ca="1" si="191"/>
        <v>76.049180023610589</v>
      </c>
      <c r="P392" s="310">
        <f t="shared" ca="1" si="192"/>
        <v>23</v>
      </c>
      <c r="Q392" s="304">
        <f t="shared" ca="1" si="193"/>
        <v>0</v>
      </c>
      <c r="R392" s="306">
        <f t="shared" ca="1" si="194"/>
        <v>0</v>
      </c>
      <c r="S392" s="307">
        <f t="shared" ca="1" si="195"/>
        <v>8.1379999999999981</v>
      </c>
      <c r="T392" s="304">
        <f t="shared" ca="1" si="175"/>
        <v>79.83377999999999</v>
      </c>
      <c r="U392" s="311">
        <f t="shared" ca="1" si="176"/>
        <v>0</v>
      </c>
      <c r="V392" s="306">
        <f t="shared" ca="1" si="177"/>
        <v>1.1707713198504461</v>
      </c>
      <c r="W392" s="304">
        <f t="shared" ca="1" si="178"/>
        <v>110.3146341355236</v>
      </c>
      <c r="Y392" s="314" t="str">
        <f t="shared" ca="1" si="196"/>
        <v/>
      </c>
      <c r="Z392" s="315" t="str">
        <f t="shared" ca="1" si="197"/>
        <v/>
      </c>
      <c r="AA392" s="316" t="str">
        <f t="shared" ca="1" si="198"/>
        <v/>
      </c>
      <c r="AC392" s="310" t="e">
        <f t="shared" ca="1" si="199"/>
        <v>#N/A</v>
      </c>
      <c r="AD392" s="323" t="e">
        <f t="shared" ca="1" si="200"/>
        <v>#N/A</v>
      </c>
      <c r="AE392" s="324">
        <f t="shared" ca="1" si="179"/>
        <v>452.70330853563439</v>
      </c>
      <c r="AG392" s="306">
        <f t="shared" ca="1" si="201"/>
        <v>-23.115824261764722</v>
      </c>
      <c r="AH392" s="304">
        <f t="shared" ca="1" si="202"/>
        <v>-13.594858691979029</v>
      </c>
    </row>
    <row r="393" spans="1:34" x14ac:dyDescent="0.2">
      <c r="A393" s="347">
        <f t="shared" ca="1" si="180"/>
        <v>0.01</v>
      </c>
      <c r="B393" s="304">
        <f t="shared" ca="1" si="181"/>
        <v>3.889999999999961</v>
      </c>
      <c r="D393" s="306">
        <f t="shared" ca="1" si="182"/>
        <v>-3.2680805251912153</v>
      </c>
      <c r="E393" s="307">
        <f t="shared" ca="1" si="183"/>
        <v>-22.965650766767659</v>
      </c>
      <c r="F393" s="304">
        <f t="shared" ca="1" si="184"/>
        <v>23.197014149676029</v>
      </c>
      <c r="G393" s="306">
        <f t="shared" ca="1" si="185"/>
        <v>40.685748425470713</v>
      </c>
      <c r="H393" s="307">
        <f t="shared" ca="1" si="186"/>
        <v>163.68228831792331</v>
      </c>
      <c r="I393" s="304">
        <f t="shared" ca="1" si="187"/>
        <v>168.66304169536511</v>
      </c>
      <c r="J393" s="306">
        <f t="shared" ca="1" si="188"/>
        <v>103.05309126284058</v>
      </c>
      <c r="K393" s="307">
        <f t="shared" ca="1" si="189"/>
        <v>454.34127970135194</v>
      </c>
      <c r="L393" s="304">
        <f t="shared" ca="1" si="174"/>
        <v>465.88189282208583</v>
      </c>
      <c r="M393" s="306">
        <f t="shared" ca="1" si="190"/>
        <v>1.3271683595512211</v>
      </c>
      <c r="N393" s="304">
        <f t="shared" ca="1" si="191"/>
        <v>76.041145705585933</v>
      </c>
      <c r="P393" s="310">
        <f t="shared" ca="1" si="192"/>
        <v>23</v>
      </c>
      <c r="Q393" s="304">
        <f t="shared" ca="1" si="193"/>
        <v>0</v>
      </c>
      <c r="R393" s="306">
        <f t="shared" ca="1" si="194"/>
        <v>0</v>
      </c>
      <c r="S393" s="307">
        <f t="shared" ca="1" si="195"/>
        <v>8.1379999999999981</v>
      </c>
      <c r="T393" s="304">
        <f t="shared" ca="1" si="175"/>
        <v>79.83377999999999</v>
      </c>
      <c r="U393" s="311">
        <f t="shared" ca="1" si="176"/>
        <v>0</v>
      </c>
      <c r="V393" s="306">
        <f t="shared" ca="1" si="177"/>
        <v>1.1705794679453709</v>
      </c>
      <c r="W393" s="304">
        <f t="shared" ca="1" si="178"/>
        <v>109.99536655435199</v>
      </c>
      <c r="Y393" s="314" t="str">
        <f t="shared" ca="1" si="196"/>
        <v/>
      </c>
      <c r="Z393" s="315" t="str">
        <f t="shared" ca="1" si="197"/>
        <v/>
      </c>
      <c r="AA393" s="316" t="str">
        <f t="shared" ca="1" si="198"/>
        <v/>
      </c>
      <c r="AC393" s="310" t="e">
        <f t="shared" ca="1" si="199"/>
        <v>#N/A</v>
      </c>
      <c r="AD393" s="323" t="e">
        <f t="shared" ca="1" si="200"/>
        <v>#N/A</v>
      </c>
      <c r="AE393" s="324">
        <f t="shared" ca="1" si="179"/>
        <v>454.34127970135194</v>
      </c>
      <c r="AG393" s="306">
        <f t="shared" ca="1" si="201"/>
        <v>-23.076131602968985</v>
      </c>
      <c r="AH393" s="304">
        <f t="shared" ca="1" si="202"/>
        <v>-13.555496944645322</v>
      </c>
    </row>
    <row r="394" spans="1:34" x14ac:dyDescent="0.2">
      <c r="A394" s="347">
        <f t="shared" ca="1" si="180"/>
        <v>0.01</v>
      </c>
      <c r="B394" s="304">
        <f t="shared" ca="1" si="181"/>
        <v>3.8999999999999608</v>
      </c>
      <c r="D394" s="306">
        <f t="shared" ca="1" si="182"/>
        <v>-3.260461579697874</v>
      </c>
      <c r="E394" s="307">
        <f t="shared" ca="1" si="183"/>
        <v>-22.927119212277205</v>
      </c>
      <c r="F394" s="304">
        <f t="shared" ca="1" si="184"/>
        <v>23.157793614389444</v>
      </c>
      <c r="G394" s="306">
        <f t="shared" ca="1" si="185"/>
        <v>40.653143809673736</v>
      </c>
      <c r="H394" s="307">
        <f t="shared" ca="1" si="186"/>
        <v>163.45301712580053</v>
      </c>
      <c r="I394" s="304">
        <f t="shared" ca="1" si="187"/>
        <v>168.4326776760889</v>
      </c>
      <c r="J394" s="306">
        <f t="shared" ca="1" si="188"/>
        <v>103.4597857240163</v>
      </c>
      <c r="K394" s="307">
        <f t="shared" ca="1" si="189"/>
        <v>455.97695622857054</v>
      </c>
      <c r="L394" s="304">
        <f t="shared" ca="1" si="174"/>
        <v>467.5670132435896</v>
      </c>
      <c r="M394" s="306">
        <f t="shared" ca="1" si="190"/>
        <v>1.3270278632027328</v>
      </c>
      <c r="N394" s="304">
        <f t="shared" ca="1" si="191"/>
        <v>76.033095857780552</v>
      </c>
      <c r="P394" s="310">
        <f t="shared" ca="1" si="192"/>
        <v>23</v>
      </c>
      <c r="Q394" s="304">
        <f t="shared" ca="1" si="193"/>
        <v>0</v>
      </c>
      <c r="R394" s="306">
        <f t="shared" ca="1" si="194"/>
        <v>0</v>
      </c>
      <c r="S394" s="307">
        <f t="shared" ca="1" si="195"/>
        <v>8.1379999999999981</v>
      </c>
      <c r="T394" s="304">
        <f t="shared" ca="1" si="175"/>
        <v>79.83377999999999</v>
      </c>
      <c r="U394" s="311">
        <f t="shared" ca="1" si="176"/>
        <v>0</v>
      </c>
      <c r="V394" s="306">
        <f t="shared" ca="1" si="177"/>
        <v>1.1703879154659569</v>
      </c>
      <c r="W394" s="304">
        <f t="shared" ca="1" si="178"/>
        <v>109.67715273982449</v>
      </c>
      <c r="Y394" s="314" t="str">
        <f t="shared" ca="1" si="196"/>
        <v/>
      </c>
      <c r="Z394" s="315" t="str">
        <f t="shared" ca="1" si="197"/>
        <v/>
      </c>
      <c r="AA394" s="316" t="str">
        <f t="shared" ca="1" si="198"/>
        <v/>
      </c>
      <c r="AC394" s="310" t="e">
        <f t="shared" ca="1" si="199"/>
        <v>#N/A</v>
      </c>
      <c r="AD394" s="323" t="e">
        <f t="shared" ca="1" si="200"/>
        <v>#N/A</v>
      </c>
      <c r="AE394" s="324">
        <f t="shared" ca="1" si="179"/>
        <v>455.97695622857054</v>
      </c>
      <c r="AG394" s="306">
        <f t="shared" ca="1" si="201"/>
        <v>-23.036568164136394</v>
      </c>
      <c r="AH394" s="304">
        <f t="shared" ca="1" si="202"/>
        <v>-13.5162652438378</v>
      </c>
    </row>
    <row r="395" spans="1:34" x14ac:dyDescent="0.2">
      <c r="A395" s="347">
        <f t="shared" ca="1" si="180"/>
        <v>0.01</v>
      </c>
      <c r="B395" s="304">
        <f t="shared" ca="1" si="181"/>
        <v>3.9099999999999606</v>
      </c>
      <c r="D395" s="306">
        <f t="shared" ca="1" si="182"/>
        <v>-3.252866690554328</v>
      </c>
      <c r="E395" s="307">
        <f t="shared" ca="1" si="183"/>
        <v>-22.888714831215651</v>
      </c>
      <c r="F395" s="304">
        <f t="shared" ca="1" si="184"/>
        <v>23.118702565914663</v>
      </c>
      <c r="G395" s="306">
        <f t="shared" ca="1" si="185"/>
        <v>40.620615142768195</v>
      </c>
      <c r="H395" s="307">
        <f t="shared" ca="1" si="186"/>
        <v>163.22412997748836</v>
      </c>
      <c r="I395" s="304">
        <f t="shared" ca="1" si="187"/>
        <v>168.20270800877404</v>
      </c>
      <c r="J395" s="306">
        <f t="shared" ca="1" si="188"/>
        <v>103.86615451877852</v>
      </c>
      <c r="K395" s="307">
        <f t="shared" ca="1" si="189"/>
        <v>457.61034196408701</v>
      </c>
      <c r="L395" s="304">
        <f t="shared" ca="1" si="174"/>
        <v>469.24983018324838</v>
      </c>
      <c r="M395" s="306">
        <f t="shared" ca="1" si="190"/>
        <v>1.3268870952453995</v>
      </c>
      <c r="N395" s="304">
        <f t="shared" ca="1" si="191"/>
        <v>76.025030447934668</v>
      </c>
      <c r="P395" s="310">
        <f t="shared" ca="1" si="192"/>
        <v>23</v>
      </c>
      <c r="Q395" s="304">
        <f t="shared" ca="1" si="193"/>
        <v>0</v>
      </c>
      <c r="R395" s="306">
        <f t="shared" ca="1" si="194"/>
        <v>0</v>
      </c>
      <c r="S395" s="307">
        <f t="shared" ca="1" si="195"/>
        <v>8.1379999999999981</v>
      </c>
      <c r="T395" s="304">
        <f t="shared" ca="1" si="175"/>
        <v>79.83377999999999</v>
      </c>
      <c r="U395" s="311">
        <f t="shared" ca="1" si="176"/>
        <v>0</v>
      </c>
      <c r="V395" s="306">
        <f t="shared" ca="1" si="177"/>
        <v>1.1701966618255391</v>
      </c>
      <c r="W395" s="304">
        <f t="shared" ca="1" si="178"/>
        <v>109.35998816481504</v>
      </c>
      <c r="Y395" s="314" t="str">
        <f t="shared" ca="1" si="196"/>
        <v/>
      </c>
      <c r="Z395" s="315" t="str">
        <f t="shared" ca="1" si="197"/>
        <v/>
      </c>
      <c r="AA395" s="316" t="str">
        <f t="shared" ca="1" si="198"/>
        <v/>
      </c>
      <c r="AC395" s="310" t="e">
        <f t="shared" ca="1" si="199"/>
        <v>#N/A</v>
      </c>
      <c r="AD395" s="323" t="e">
        <f t="shared" ca="1" si="200"/>
        <v>#N/A</v>
      </c>
      <c r="AE395" s="324">
        <f t="shared" ca="1" si="179"/>
        <v>457.61034196408701</v>
      </c>
      <c r="AG395" s="306">
        <f t="shared" ca="1" si="201"/>
        <v>-22.997133383511759</v>
      </c>
      <c r="AH395" s="304">
        <f t="shared" ca="1" si="202"/>
        <v>-13.477163030206993</v>
      </c>
    </row>
    <row r="396" spans="1:34" x14ac:dyDescent="0.2">
      <c r="A396" s="347">
        <f t="shared" ca="1" si="180"/>
        <v>0.01</v>
      </c>
      <c r="B396" s="304">
        <f t="shared" ca="1" si="181"/>
        <v>3.9199999999999604</v>
      </c>
      <c r="D396" s="306">
        <f t="shared" ca="1" si="182"/>
        <v>-3.2452957530179565</v>
      </c>
      <c r="E396" s="307">
        <f t="shared" ca="1" si="183"/>
        <v>-22.850437077189362</v>
      </c>
      <c r="F396" s="304">
        <f t="shared" ca="1" si="184"/>
        <v>23.079740447915498</v>
      </c>
      <c r="G396" s="306">
        <f t="shared" ca="1" si="185"/>
        <v>40.588162185238012</v>
      </c>
      <c r="H396" s="307">
        <f t="shared" ca="1" si="186"/>
        <v>162.99562560671646</v>
      </c>
      <c r="I396" s="304">
        <f t="shared" ca="1" si="187"/>
        <v>167.97313141243771</v>
      </c>
      <c r="J396" s="306">
        <f t="shared" ca="1" si="188"/>
        <v>104.27219840541855</v>
      </c>
      <c r="K396" s="307">
        <f t="shared" ca="1" si="189"/>
        <v>459.24144074200802</v>
      </c>
      <c r="L396" s="304">
        <f t="shared" ca="1" si="174"/>
        <v>470.93034756224222</v>
      </c>
      <c r="M396" s="306">
        <f t="shared" ca="1" si="190"/>
        <v>1.3267460551144057</v>
      </c>
      <c r="N396" s="304">
        <f t="shared" ca="1" si="191"/>
        <v>76.016949443686755</v>
      </c>
      <c r="P396" s="310">
        <f t="shared" ca="1" si="192"/>
        <v>23</v>
      </c>
      <c r="Q396" s="304">
        <f t="shared" ca="1" si="193"/>
        <v>0</v>
      </c>
      <c r="R396" s="306">
        <f t="shared" ca="1" si="194"/>
        <v>0</v>
      </c>
      <c r="S396" s="307">
        <f t="shared" ca="1" si="195"/>
        <v>8.1379999999999981</v>
      </c>
      <c r="T396" s="304">
        <f t="shared" ca="1" si="175"/>
        <v>79.83377999999999</v>
      </c>
      <c r="U396" s="311">
        <f t="shared" ca="1" si="176"/>
        <v>0</v>
      </c>
      <c r="V396" s="306">
        <f t="shared" ca="1" si="177"/>
        <v>1.1700057064394707</v>
      </c>
      <c r="W396" s="304">
        <f t="shared" ca="1" si="178"/>
        <v>109.04386832689427</v>
      </c>
      <c r="Y396" s="314" t="str">
        <f t="shared" ca="1" si="196"/>
        <v/>
      </c>
      <c r="Z396" s="315" t="str">
        <f t="shared" ca="1" si="197"/>
        <v/>
      </c>
      <c r="AA396" s="316" t="str">
        <f t="shared" ca="1" si="198"/>
        <v/>
      </c>
      <c r="AC396" s="310" t="e">
        <f t="shared" ca="1" si="199"/>
        <v>#N/A</v>
      </c>
      <c r="AD396" s="323" t="e">
        <f t="shared" ca="1" si="200"/>
        <v>#N/A</v>
      </c>
      <c r="AE396" s="324">
        <f t="shared" ca="1" si="179"/>
        <v>459.24144074200802</v>
      </c>
      <c r="AG396" s="306">
        <f t="shared" ca="1" si="201"/>
        <v>-22.957826702385468</v>
      </c>
      <c r="AH396" s="304">
        <f t="shared" ca="1" si="202"/>
        <v>-13.438189747458228</v>
      </c>
    </row>
    <row r="397" spans="1:34" x14ac:dyDescent="0.2">
      <c r="A397" s="347">
        <f t="shared" ca="1" si="180"/>
        <v>0.01</v>
      </c>
      <c r="B397" s="304">
        <f t="shared" ca="1" si="181"/>
        <v>3.9299999999999602</v>
      </c>
      <c r="D397" s="306">
        <f t="shared" ca="1" si="182"/>
        <v>-3.237748662916311</v>
      </c>
      <c r="E397" s="307">
        <f t="shared" ca="1" si="183"/>
        <v>-22.812285406785271</v>
      </c>
      <c r="F397" s="304">
        <f t="shared" ca="1" si="184"/>
        <v>23.040906707090429</v>
      </c>
      <c r="G397" s="306">
        <f t="shared" ca="1" si="185"/>
        <v>40.555784698608846</v>
      </c>
      <c r="H397" s="307">
        <f t="shared" ca="1" si="186"/>
        <v>162.7675027526486</v>
      </c>
      <c r="I397" s="304">
        <f t="shared" ca="1" si="187"/>
        <v>167.74394661165388</v>
      </c>
      <c r="J397" s="306">
        <f t="shared" ca="1" si="188"/>
        <v>104.67791813983779</v>
      </c>
      <c r="K397" s="307">
        <f t="shared" ca="1" si="189"/>
        <v>460.87025638380487</v>
      </c>
      <c r="L397" s="304">
        <f t="shared" ca="1" si="174"/>
        <v>472.60856928896732</v>
      </c>
      <c r="M397" s="306">
        <f t="shared" ca="1" si="190"/>
        <v>1.3266047422431531</v>
      </c>
      <c r="N397" s="304">
        <f t="shared" ca="1" si="191"/>
        <v>76.00885281257311</v>
      </c>
      <c r="P397" s="310">
        <f t="shared" ca="1" si="192"/>
        <v>23</v>
      </c>
      <c r="Q397" s="304">
        <f t="shared" ca="1" si="193"/>
        <v>0</v>
      </c>
      <c r="R397" s="306">
        <f t="shared" ca="1" si="194"/>
        <v>0</v>
      </c>
      <c r="S397" s="307">
        <f t="shared" ca="1" si="195"/>
        <v>8.1379999999999981</v>
      </c>
      <c r="T397" s="304">
        <f t="shared" ca="1" si="175"/>
        <v>79.83377999999999</v>
      </c>
      <c r="U397" s="311">
        <f t="shared" ca="1" si="176"/>
        <v>0</v>
      </c>
      <c r="V397" s="306">
        <f t="shared" ca="1" si="177"/>
        <v>1.1698150487251131</v>
      </c>
      <c r="W397" s="304">
        <f t="shared" ca="1" si="178"/>
        <v>108.72878874816764</v>
      </c>
      <c r="Y397" s="314" t="str">
        <f t="shared" ca="1" si="196"/>
        <v/>
      </c>
      <c r="Z397" s="315" t="str">
        <f t="shared" ca="1" si="197"/>
        <v/>
      </c>
      <c r="AA397" s="316" t="str">
        <f t="shared" ca="1" si="198"/>
        <v/>
      </c>
      <c r="AC397" s="310" t="e">
        <f t="shared" ca="1" si="199"/>
        <v>#N/A</v>
      </c>
      <c r="AD397" s="323" t="e">
        <f t="shared" ca="1" si="200"/>
        <v>#N/A</v>
      </c>
      <c r="AE397" s="324">
        <f t="shared" ca="1" si="179"/>
        <v>460.87025638380487</v>
      </c>
      <c r="AG397" s="306">
        <f t="shared" ca="1" si="201"/>
        <v>-22.918647565073393</v>
      </c>
      <c r="AH397" s="304">
        <f t="shared" ca="1" si="202"/>
        <v>-13.399344842331567</v>
      </c>
    </row>
    <row r="398" spans="1:34" x14ac:dyDescent="0.2">
      <c r="A398" s="347">
        <f t="shared" ca="1" si="180"/>
        <v>0.01</v>
      </c>
      <c r="B398" s="304">
        <f t="shared" ca="1" si="181"/>
        <v>3.93999999999996</v>
      </c>
      <c r="D398" s="306">
        <f t="shared" ca="1" si="182"/>
        <v>-3.2302253166433794</v>
      </c>
      <c r="E398" s="307">
        <f t="shared" ca="1" si="183"/>
        <v>-22.774259279551359</v>
      </c>
      <c r="F398" s="304">
        <f t="shared" ca="1" si="184"/>
        <v>23.002200793152706</v>
      </c>
      <c r="G398" s="306">
        <f t="shared" ca="1" si="185"/>
        <v>40.523482445442411</v>
      </c>
      <c r="H398" s="307">
        <f t="shared" ca="1" si="186"/>
        <v>162.53976015985307</v>
      </c>
      <c r="I398" s="304">
        <f t="shared" ca="1" si="187"/>
        <v>167.51515233652339</v>
      </c>
      <c r="J398" s="306">
        <f t="shared" ca="1" si="188"/>
        <v>105.08331447555804</v>
      </c>
      <c r="K398" s="307">
        <f t="shared" ca="1" si="189"/>
        <v>462.49679269836736</v>
      </c>
      <c r="L398" s="304">
        <f t="shared" ca="1" si="174"/>
        <v>474.2844992590899</v>
      </c>
      <c r="M398" s="306">
        <f t="shared" ca="1" si="190"/>
        <v>1.3264631560632536</v>
      </c>
      <c r="N398" s="304">
        <f t="shared" ca="1" si="191"/>
        <v>76.000740522027485</v>
      </c>
      <c r="P398" s="310">
        <f t="shared" ca="1" si="192"/>
        <v>23</v>
      </c>
      <c r="Q398" s="304">
        <f t="shared" ca="1" si="193"/>
        <v>0</v>
      </c>
      <c r="R398" s="306">
        <f t="shared" ca="1" si="194"/>
        <v>0</v>
      </c>
      <c r="S398" s="307">
        <f t="shared" ca="1" si="195"/>
        <v>8.1379999999999981</v>
      </c>
      <c r="T398" s="304">
        <f t="shared" ca="1" si="175"/>
        <v>79.83377999999999</v>
      </c>
      <c r="U398" s="311">
        <f t="shared" ca="1" si="176"/>
        <v>0</v>
      </c>
      <c r="V398" s="306">
        <f t="shared" ca="1" si="177"/>
        <v>1.1696246881018288</v>
      </c>
      <c r="W398" s="304">
        <f t="shared" ca="1" si="178"/>
        <v>108.41474497511497</v>
      </c>
      <c r="Y398" s="314" t="str">
        <f t="shared" ca="1" si="196"/>
        <v/>
      </c>
      <c r="Z398" s="315" t="str">
        <f t="shared" ca="1" si="197"/>
        <v/>
      </c>
      <c r="AA398" s="316" t="str">
        <f t="shared" ca="1" si="198"/>
        <v/>
      </c>
      <c r="AC398" s="310" t="e">
        <f t="shared" ca="1" si="199"/>
        <v>#N/A</v>
      </c>
      <c r="AD398" s="323" t="e">
        <f t="shared" ca="1" si="200"/>
        <v>#N/A</v>
      </c>
      <c r="AE398" s="324">
        <f t="shared" ca="1" si="179"/>
        <v>462.49679269836736</v>
      </c>
      <c r="AG398" s="306">
        <f t="shared" ca="1" si="201"/>
        <v>-22.879595418896965</v>
      </c>
      <c r="AH398" s="304">
        <f t="shared" ca="1" si="202"/>
        <v>-13.36062776458192</v>
      </c>
    </row>
    <row r="399" spans="1:34" x14ac:dyDescent="0.2">
      <c r="A399" s="347">
        <f t="shared" ca="1" si="180"/>
        <v>0.01</v>
      </c>
      <c r="B399" s="304">
        <f t="shared" ca="1" si="181"/>
        <v>3.9499999999999598</v>
      </c>
      <c r="D399" s="306">
        <f t="shared" ca="1" si="182"/>
        <v>-3.222725611155886</v>
      </c>
      <c r="E399" s="307">
        <f t="shared" ca="1" si="183"/>
        <v>-22.736358157977278</v>
      </c>
      <c r="F399" s="304">
        <f t="shared" ca="1" si="184"/>
        <v>22.963622158810661</v>
      </c>
      <c r="G399" s="306">
        <f t="shared" ca="1" si="185"/>
        <v>40.49125518933085</v>
      </c>
      <c r="H399" s="307">
        <f t="shared" ca="1" si="186"/>
        <v>162.31239657827331</v>
      </c>
      <c r="I399" s="304">
        <f t="shared" ca="1" si="187"/>
        <v>167.28674732264412</v>
      </c>
      <c r="J399" s="306">
        <f t="shared" ca="1" si="188"/>
        <v>105.48838816373191</v>
      </c>
      <c r="K399" s="307">
        <f t="shared" ca="1" si="189"/>
        <v>464.12105348205802</v>
      </c>
      <c r="L399" s="304">
        <f t="shared" ca="1" si="174"/>
        <v>475.95814135560022</v>
      </c>
      <c r="M399" s="306">
        <f t="shared" ca="1" si="190"/>
        <v>1.3263212960045245</v>
      </c>
      <c r="N399" s="304">
        <f t="shared" ca="1" si="191"/>
        <v>75.992612539380829</v>
      </c>
      <c r="P399" s="310">
        <f t="shared" ca="1" si="192"/>
        <v>23</v>
      </c>
      <c r="Q399" s="304">
        <f t="shared" ca="1" si="193"/>
        <v>0</v>
      </c>
      <c r="R399" s="306">
        <f t="shared" ca="1" si="194"/>
        <v>0</v>
      </c>
      <c r="S399" s="307">
        <f t="shared" ca="1" si="195"/>
        <v>8.1379999999999981</v>
      </c>
      <c r="T399" s="304">
        <f t="shared" ca="1" si="175"/>
        <v>79.83377999999999</v>
      </c>
      <c r="U399" s="311">
        <f t="shared" ca="1" si="176"/>
        <v>0</v>
      </c>
      <c r="V399" s="306">
        <f t="shared" ca="1" si="177"/>
        <v>1.1694346239909701</v>
      </c>
      <c r="W399" s="304">
        <f t="shared" ca="1" si="178"/>
        <v>108.10173257843117</v>
      </c>
      <c r="Y399" s="314" t="str">
        <f t="shared" ca="1" si="196"/>
        <v/>
      </c>
      <c r="Z399" s="315" t="str">
        <f t="shared" ca="1" si="197"/>
        <v/>
      </c>
      <c r="AA399" s="316" t="str">
        <f t="shared" ca="1" si="198"/>
        <v/>
      </c>
      <c r="AC399" s="310" t="e">
        <f t="shared" ca="1" si="199"/>
        <v>#N/A</v>
      </c>
      <c r="AD399" s="323" t="e">
        <f t="shared" ca="1" si="200"/>
        <v>#N/A</v>
      </c>
      <c r="AE399" s="324">
        <f t="shared" ca="1" si="179"/>
        <v>464.12105348205802</v>
      </c>
      <c r="AG399" s="306">
        <f t="shared" ca="1" si="201"/>
        <v>-22.840669714163404</v>
      </c>
      <c r="AH399" s="304">
        <f t="shared" ca="1" si="202"/>
        <v>-13.322037966959327</v>
      </c>
    </row>
    <row r="400" spans="1:34" x14ac:dyDescent="0.2">
      <c r="A400" s="347">
        <f t="shared" ca="1" si="180"/>
        <v>0.01</v>
      </c>
      <c r="B400" s="304">
        <f t="shared" ca="1" si="181"/>
        <v>3.9599999999999596</v>
      </c>
      <c r="D400" s="306">
        <f t="shared" ca="1" si="182"/>
        <v>-3.2152494439695993</v>
      </c>
      <c r="E400" s="307">
        <f t="shared" ca="1" si="183"/>
        <v>-22.698581507475147</v>
      </c>
      <c r="F400" s="304">
        <f t="shared" ca="1" si="184"/>
        <v>22.925170259748114</v>
      </c>
      <c r="G400" s="306">
        <f t="shared" ca="1" si="185"/>
        <v>40.459102694891158</v>
      </c>
      <c r="H400" s="307">
        <f t="shared" ca="1" si="186"/>
        <v>162.08541076319855</v>
      </c>
      <c r="I400" s="304">
        <f t="shared" ca="1" si="187"/>
        <v>167.05873031108115</v>
      </c>
      <c r="J400" s="306">
        <f t="shared" ca="1" si="188"/>
        <v>105.89313995315302</v>
      </c>
      <c r="K400" s="307">
        <f t="shared" ca="1" si="189"/>
        <v>465.74304251876538</v>
      </c>
      <c r="L400" s="304">
        <f t="shared" ca="1" si="174"/>
        <v>477.62949944886628</v>
      </c>
      <c r="M400" s="306">
        <f t="shared" ca="1" si="190"/>
        <v>1.3261791614949796</v>
      </c>
      <c r="N400" s="304">
        <f t="shared" ca="1" si="191"/>
        <v>75.984468831860752</v>
      </c>
      <c r="P400" s="310">
        <f t="shared" ca="1" si="192"/>
        <v>23</v>
      </c>
      <c r="Q400" s="304">
        <f t="shared" ca="1" si="193"/>
        <v>0</v>
      </c>
      <c r="R400" s="306">
        <f t="shared" ca="1" si="194"/>
        <v>0</v>
      </c>
      <c r="S400" s="307">
        <f t="shared" ca="1" si="195"/>
        <v>8.1379999999999981</v>
      </c>
      <c r="T400" s="304">
        <f t="shared" ca="1" si="175"/>
        <v>79.83377999999999</v>
      </c>
      <c r="U400" s="311">
        <f t="shared" ca="1" si="176"/>
        <v>0</v>
      </c>
      <c r="V400" s="306">
        <f t="shared" ca="1" si="177"/>
        <v>1.1692448558158706</v>
      </c>
      <c r="W400" s="304">
        <f t="shared" ca="1" si="178"/>
        <v>107.78974715286753</v>
      </c>
      <c r="Y400" s="314" t="str">
        <f t="shared" ca="1" si="196"/>
        <v/>
      </c>
      <c r="Z400" s="315" t="str">
        <f t="shared" ca="1" si="197"/>
        <v/>
      </c>
      <c r="AA400" s="316" t="str">
        <f t="shared" ca="1" si="198"/>
        <v/>
      </c>
      <c r="AC400" s="310" t="e">
        <f t="shared" ca="1" si="199"/>
        <v>#N/A</v>
      </c>
      <c r="AD400" s="323" t="e">
        <f t="shared" ca="1" si="200"/>
        <v>#N/A</v>
      </c>
      <c r="AE400" s="324">
        <f t="shared" ca="1" si="179"/>
        <v>465.74304251876538</v>
      </c>
      <c r="AG400" s="306">
        <f t="shared" ca="1" si="201"/>
        <v>-22.801869904146109</v>
      </c>
      <c r="AH400" s="304">
        <f t="shared" ca="1" si="202"/>
        <v>-13.283574905189383</v>
      </c>
    </row>
    <row r="401" spans="1:34" x14ac:dyDescent="0.2">
      <c r="A401" s="347">
        <f t="shared" ca="1" si="180"/>
        <v>0.01</v>
      </c>
      <c r="B401" s="304">
        <f t="shared" ca="1" si="181"/>
        <v>3.9699999999999593</v>
      </c>
      <c r="D401" s="306">
        <f t="shared" ca="1" si="182"/>
        <v>-3.2077967131556915</v>
      </c>
      <c r="E401" s="307">
        <f t="shared" ca="1" si="183"/>
        <v>-22.660928796360373</v>
      </c>
      <c r="F401" s="304">
        <f t="shared" ca="1" si="184"/>
        <v>22.886844554604885</v>
      </c>
      <c r="G401" s="306">
        <f t="shared" ca="1" si="185"/>
        <v>40.427024727759601</v>
      </c>
      <c r="H401" s="307">
        <f t="shared" ca="1" si="186"/>
        <v>161.85880147523494</v>
      </c>
      <c r="I401" s="304">
        <f t="shared" ca="1" si="187"/>
        <v>166.83110004833753</v>
      </c>
      <c r="J401" s="306">
        <f t="shared" ca="1" si="188"/>
        <v>106.29757059026628</v>
      </c>
      <c r="K401" s="307">
        <f t="shared" ca="1" si="189"/>
        <v>467.36276357995757</v>
      </c>
      <c r="L401" s="304">
        <f t="shared" ca="1" si="174"/>
        <v>479.29857739668699</v>
      </c>
      <c r="M401" s="306">
        <f t="shared" ca="1" si="190"/>
        <v>1.3260367519608256</v>
      </c>
      <c r="N401" s="304">
        <f t="shared" ca="1" si="191"/>
        <v>75.976309366591295</v>
      </c>
      <c r="P401" s="310">
        <f t="shared" ca="1" si="192"/>
        <v>23</v>
      </c>
      <c r="Q401" s="304">
        <f t="shared" ca="1" si="193"/>
        <v>0</v>
      </c>
      <c r="R401" s="306">
        <f t="shared" ca="1" si="194"/>
        <v>0</v>
      </c>
      <c r="S401" s="307">
        <f t="shared" ca="1" si="195"/>
        <v>8.1379999999999981</v>
      </c>
      <c r="T401" s="304">
        <f t="shared" ca="1" si="175"/>
        <v>79.83377999999999</v>
      </c>
      <c r="U401" s="311">
        <f t="shared" ca="1" si="176"/>
        <v>0</v>
      </c>
      <c r="V401" s="306">
        <f t="shared" ca="1" si="177"/>
        <v>1.1690553830018395</v>
      </c>
      <c r="W401" s="304">
        <f t="shared" ca="1" si="178"/>
        <v>107.47878431707572</v>
      </c>
      <c r="Y401" s="314" t="str">
        <f t="shared" ca="1" si="196"/>
        <v/>
      </c>
      <c r="Z401" s="315" t="str">
        <f t="shared" ca="1" si="197"/>
        <v/>
      </c>
      <c r="AA401" s="316" t="str">
        <f t="shared" ca="1" si="198"/>
        <v/>
      </c>
      <c r="AC401" s="310" t="e">
        <f t="shared" ca="1" si="199"/>
        <v>#N/A</v>
      </c>
      <c r="AD401" s="323" t="e">
        <f t="shared" ca="1" si="200"/>
        <v>#N/A</v>
      </c>
      <c r="AE401" s="324">
        <f t="shared" ca="1" si="179"/>
        <v>467.36276357995757</v>
      </c>
      <c r="AG401" s="306">
        <f t="shared" ca="1" si="201"/>
        <v>-22.763195445065126</v>
      </c>
      <c r="AH401" s="304">
        <f t="shared" ca="1" si="202"/>
        <v>-13.245238037953742</v>
      </c>
    </row>
    <row r="402" spans="1:34" x14ac:dyDescent="0.2">
      <c r="A402" s="347">
        <f t="shared" ca="1" si="180"/>
        <v>0.01</v>
      </c>
      <c r="B402" s="304">
        <f t="shared" ca="1" si="181"/>
        <v>3.9799999999999591</v>
      </c>
      <c r="D402" s="306">
        <f t="shared" ca="1" si="182"/>
        <v>-3.2003673173371046</v>
      </c>
      <c r="E402" s="307">
        <f t="shared" ca="1" si="183"/>
        <v>-22.623399495832842</v>
      </c>
      <c r="F402" s="304">
        <f t="shared" ca="1" si="184"/>
        <v>22.848644504957601</v>
      </c>
      <c r="G402" s="306">
        <f t="shared" ca="1" si="185"/>
        <v>40.39502105458623</v>
      </c>
      <c r="H402" s="307">
        <f t="shared" ca="1" si="186"/>
        <v>161.63256748027661</v>
      </c>
      <c r="I402" s="304">
        <f t="shared" ca="1" si="187"/>
        <v>166.60385528632474</v>
      </c>
      <c r="J402" s="306">
        <f t="shared" ca="1" si="188"/>
        <v>106.70168081917801</v>
      </c>
      <c r="K402" s="307">
        <f t="shared" ca="1" si="189"/>
        <v>468.98022042473514</v>
      </c>
      <c r="L402" s="304">
        <f t="shared" ca="1" si="174"/>
        <v>480.96537904434547</v>
      </c>
      <c r="M402" s="306">
        <f t="shared" ca="1" si="190"/>
        <v>1.3258940668264532</v>
      </c>
      <c r="N402" s="304">
        <f t="shared" ca="1" si="191"/>
        <v>75.968134110592501</v>
      </c>
      <c r="P402" s="310">
        <f t="shared" ca="1" si="192"/>
        <v>23</v>
      </c>
      <c r="Q402" s="304">
        <f t="shared" ca="1" si="193"/>
        <v>0</v>
      </c>
      <c r="R402" s="306">
        <f t="shared" ca="1" si="194"/>
        <v>0</v>
      </c>
      <c r="S402" s="307">
        <f t="shared" ca="1" si="195"/>
        <v>8.1379999999999981</v>
      </c>
      <c r="T402" s="304">
        <f t="shared" ca="1" si="175"/>
        <v>79.83377999999999</v>
      </c>
      <c r="U402" s="311">
        <f t="shared" ca="1" si="176"/>
        <v>0</v>
      </c>
      <c r="V402" s="306">
        <f t="shared" ca="1" si="177"/>
        <v>1.1688662049761482</v>
      </c>
      <c r="W402" s="304">
        <f t="shared" ca="1" si="178"/>
        <v>107.16883971345099</v>
      </c>
      <c r="Y402" s="314" t="str">
        <f t="shared" ca="1" si="196"/>
        <v/>
      </c>
      <c r="Z402" s="315" t="str">
        <f t="shared" ca="1" si="197"/>
        <v/>
      </c>
      <c r="AA402" s="316" t="str">
        <f t="shared" ca="1" si="198"/>
        <v/>
      </c>
      <c r="AC402" s="310" t="e">
        <f t="shared" ca="1" si="199"/>
        <v>#N/A</v>
      </c>
      <c r="AD402" s="323" t="e">
        <f t="shared" ca="1" si="200"/>
        <v>#N/A</v>
      </c>
      <c r="AE402" s="324">
        <f t="shared" ca="1" si="179"/>
        <v>468.98022042473514</v>
      </c>
      <c r="AG402" s="306">
        <f t="shared" ca="1" si="201"/>
        <v>-22.724645796067918</v>
      </c>
      <c r="AH402" s="304">
        <f t="shared" ca="1" si="202"/>
        <v>-13.207026826870944</v>
      </c>
    </row>
    <row r="403" spans="1:34" x14ac:dyDescent="0.2">
      <c r="A403" s="347">
        <f t="shared" ca="1" si="180"/>
        <v>0.01</v>
      </c>
      <c r="B403" s="304">
        <f t="shared" ca="1" si="181"/>
        <v>3.9899999999999589</v>
      </c>
      <c r="D403" s="306">
        <f t="shared" ca="1" si="182"/>
        <v>-3.1929611556849555</v>
      </c>
      <c r="E403" s="307">
        <f t="shared" ca="1" si="183"/>
        <v>-22.585993079957984</v>
      </c>
      <c r="F403" s="304">
        <f t="shared" ca="1" si="184"/>
        <v>22.810569575300459</v>
      </c>
      <c r="G403" s="306">
        <f t="shared" ca="1" si="185"/>
        <v>40.363091443029383</v>
      </c>
      <c r="H403" s="307">
        <f t="shared" ca="1" si="186"/>
        <v>161.40670754947703</v>
      </c>
      <c r="I403" s="304">
        <f t="shared" ca="1" si="187"/>
        <v>166.3769947823339</v>
      </c>
      <c r="J403" s="306">
        <f t="shared" ca="1" si="188"/>
        <v>107.10547138166609</v>
      </c>
      <c r="K403" s="307">
        <f t="shared" ca="1" si="189"/>
        <v>470.59541679988388</v>
      </c>
      <c r="L403" s="304">
        <f t="shared" ca="1" si="174"/>
        <v>482.62990822466168</v>
      </c>
      <c r="M403" s="306">
        <f t="shared" ca="1" si="190"/>
        <v>1.3257511055144318</v>
      </c>
      <c r="N403" s="304">
        <f t="shared" ca="1" si="191"/>
        <v>75.959943030780025</v>
      </c>
      <c r="P403" s="310">
        <f t="shared" ca="1" si="192"/>
        <v>23</v>
      </c>
      <c r="Q403" s="304">
        <f t="shared" ca="1" si="193"/>
        <v>0</v>
      </c>
      <c r="R403" s="306">
        <f t="shared" ca="1" si="194"/>
        <v>0</v>
      </c>
      <c r="S403" s="307">
        <f t="shared" ca="1" si="195"/>
        <v>8.1379999999999981</v>
      </c>
      <c r="T403" s="304">
        <f t="shared" ca="1" si="175"/>
        <v>79.83377999999999</v>
      </c>
      <c r="U403" s="311">
        <f t="shared" ca="1" si="176"/>
        <v>0</v>
      </c>
      <c r="V403" s="306">
        <f t="shared" ca="1" si="177"/>
        <v>1.1686773211680255</v>
      </c>
      <c r="W403" s="304">
        <f t="shared" ca="1" si="178"/>
        <v>106.85990900797864</v>
      </c>
      <c r="Y403" s="314" t="str">
        <f t="shared" ca="1" si="196"/>
        <v/>
      </c>
      <c r="Z403" s="315" t="str">
        <f t="shared" ca="1" si="197"/>
        <v/>
      </c>
      <c r="AA403" s="316" t="str">
        <f t="shared" ca="1" si="198"/>
        <v/>
      </c>
      <c r="AC403" s="310" t="e">
        <f t="shared" ca="1" si="199"/>
        <v>#N/A</v>
      </c>
      <c r="AD403" s="323" t="e">
        <f t="shared" ca="1" si="200"/>
        <v>#N/A</v>
      </c>
      <c r="AE403" s="324">
        <f t="shared" ca="1" si="179"/>
        <v>470.59541679988388</v>
      </c>
      <c r="AG403" s="306">
        <f t="shared" ca="1" si="201"/>
        <v>-22.686220419210066</v>
      </c>
      <c r="AH403" s="304">
        <f t="shared" ca="1" si="202"/>
        <v>-13.168940736477147</v>
      </c>
    </row>
    <row r="404" spans="1:34" x14ac:dyDescent="0.2">
      <c r="A404" s="347">
        <f t="shared" ca="1" si="180"/>
        <v>0.01</v>
      </c>
      <c r="B404" s="304">
        <f t="shared" ca="1" si="181"/>
        <v>3.9999999999999587</v>
      </c>
      <c r="D404" s="306">
        <f t="shared" ca="1" si="182"/>
        <v>-3.18557812791498</v>
      </c>
      <c r="E404" s="307">
        <f t="shared" ca="1" si="183"/>
        <v>-22.54870902564824</v>
      </c>
      <c r="F404" s="304">
        <f t="shared" ca="1" si="184"/>
        <v>22.77261923302633</v>
      </c>
      <c r="G404" s="306">
        <f t="shared" ca="1" si="185"/>
        <v>40.331235661750235</v>
      </c>
      <c r="H404" s="307">
        <f t="shared" ca="1" si="186"/>
        <v>161.18122045922055</v>
      </c>
      <c r="I404" s="304">
        <f t="shared" ca="1" si="187"/>
        <v>166.15051729900659</v>
      </c>
      <c r="J404" s="306">
        <f t="shared" ca="1" si="188"/>
        <v>107.50894301718999</v>
      </c>
      <c r="K404" s="307">
        <f t="shared" ca="1" si="189"/>
        <v>472.20835643992734</v>
      </c>
      <c r="L404" s="304">
        <f t="shared" ca="1" si="174"/>
        <v>484.29216875804514</v>
      </c>
      <c r="M404" s="306">
        <f t="shared" ca="1" si="190"/>
        <v>1.3256078674455032</v>
      </c>
      <c r="N404" s="304">
        <f t="shared" ca="1" si="191"/>
        <v>75.951736093964811</v>
      </c>
      <c r="P404" s="310">
        <f t="shared" ca="1" si="192"/>
        <v>23</v>
      </c>
      <c r="Q404" s="304">
        <f t="shared" ca="1" si="193"/>
        <v>0</v>
      </c>
      <c r="R404" s="306">
        <f t="shared" ca="1" si="194"/>
        <v>0</v>
      </c>
      <c r="S404" s="307">
        <f t="shared" ca="1" si="195"/>
        <v>8.1379999999999981</v>
      </c>
      <c r="T404" s="304">
        <f t="shared" ca="1" si="175"/>
        <v>79.83377999999999</v>
      </c>
      <c r="U404" s="311">
        <f t="shared" ca="1" si="176"/>
        <v>0</v>
      </c>
      <c r="V404" s="306">
        <f t="shared" ca="1" si="177"/>
        <v>1.1684887310086458</v>
      </c>
      <c r="W404" s="304">
        <f t="shared" ca="1" si="178"/>
        <v>106.55198789007977</v>
      </c>
      <c r="Y404" s="314" t="str">
        <f t="shared" ca="1" si="196"/>
        <v/>
      </c>
      <c r="Z404" s="315" t="str">
        <f t="shared" ca="1" si="197"/>
        <v/>
      </c>
      <c r="AA404" s="316" t="str">
        <f t="shared" ca="1" si="198"/>
        <v/>
      </c>
      <c r="AC404" s="310">
        <f t="shared" ca="1" si="199"/>
        <v>3.9999999999999587</v>
      </c>
      <c r="AD404" s="323">
        <f t="shared" ca="1" si="200"/>
        <v>107.50894301718999</v>
      </c>
      <c r="AE404" s="324">
        <f t="shared" ca="1" si="179"/>
        <v>472.20835643992734</v>
      </c>
      <c r="AG404" s="306">
        <f t="shared" ca="1" si="201"/>
        <v>-22.647918779436363</v>
      </c>
      <c r="AH404" s="304">
        <f t="shared" ca="1" si="202"/>
        <v>-13.130979234207258</v>
      </c>
    </row>
    <row r="405" spans="1:34" x14ac:dyDescent="0.2">
      <c r="A405" s="347">
        <f t="shared" ca="1" si="180"/>
        <v>0.1</v>
      </c>
      <c r="B405" s="304">
        <f t="shared" ca="1" si="181"/>
        <v>4.0999999999999588</v>
      </c>
      <c r="D405" s="306">
        <f t="shared" ca="1" si="182"/>
        <v>-3.178218134283965</v>
      </c>
      <c r="E405" s="307">
        <f t="shared" ca="1" si="183"/>
        <v>-22.511546812644461</v>
      </c>
      <c r="F405" s="304">
        <f t="shared" ca="1" si="184"/>
        <v>22.734792948407833</v>
      </c>
      <c r="G405" s="306">
        <f t="shared" ca="1" si="185"/>
        <v>40.013413848321839</v>
      </c>
      <c r="H405" s="307">
        <f t="shared" ca="1" si="186"/>
        <v>158.93006577795612</v>
      </c>
      <c r="I405" s="304">
        <f t="shared" ca="1" si="187"/>
        <v>163.8897162606078</v>
      </c>
      <c r="J405" s="306">
        <f t="shared" ca="1" si="188"/>
        <v>111.5261754926936</v>
      </c>
      <c r="K405" s="307">
        <f t="shared" ca="1" si="189"/>
        <v>488.21392075178619</v>
      </c>
      <c r="L405" s="304">
        <f t="shared" ca="1" si="174"/>
        <v>500.79029566861459</v>
      </c>
      <c r="M405" s="306">
        <f t="shared" ca="1" si="190"/>
        <v>1.3241548953050792</v>
      </c>
      <c r="N405" s="304">
        <f t="shared" ca="1" si="191"/>
        <v>75.868486922568422</v>
      </c>
      <c r="P405" s="310">
        <f t="shared" ca="1" si="192"/>
        <v>23</v>
      </c>
      <c r="Q405" s="304">
        <f t="shared" ca="1" si="193"/>
        <v>0</v>
      </c>
      <c r="R405" s="306">
        <f t="shared" ca="1" si="194"/>
        <v>0</v>
      </c>
      <c r="S405" s="307">
        <f t="shared" ca="1" si="195"/>
        <v>8.1379999999999981</v>
      </c>
      <c r="T405" s="304">
        <f t="shared" ca="1" si="175"/>
        <v>79.83377999999999</v>
      </c>
      <c r="U405" s="311">
        <f t="shared" ca="1" si="176"/>
        <v>0</v>
      </c>
      <c r="V405" s="306">
        <f t="shared" ca="1" si="177"/>
        <v>1.1666189175655588</v>
      </c>
      <c r="W405" s="304">
        <f t="shared" ca="1" si="178"/>
        <v>103.50612591844335</v>
      </c>
      <c r="Y405" s="314" t="str">
        <f t="shared" ca="1" si="196"/>
        <v/>
      </c>
      <c r="Z405" s="315" t="str">
        <f t="shared" ca="1" si="197"/>
        <v/>
      </c>
      <c r="AA405" s="316" t="str">
        <f t="shared" ca="1" si="198"/>
        <v/>
      </c>
      <c r="AC405" s="310" t="e">
        <f t="shared" ca="1" si="199"/>
        <v>#N/A</v>
      </c>
      <c r="AD405" s="323" t="e">
        <f t="shared" ca="1" si="200"/>
        <v>#N/A</v>
      </c>
      <c r="AE405" s="324">
        <f t="shared" ca="1" si="179"/>
        <v>488.21392075178619</v>
      </c>
      <c r="AG405" s="306">
        <f t="shared" ca="1" si="201"/>
        <v>-22.609740344561818</v>
      </c>
      <c r="AH405" s="304">
        <f t="shared" ca="1" si="202"/>
        <v>-13.093141790375988</v>
      </c>
    </row>
    <row r="406" spans="1:34" x14ac:dyDescent="0.2">
      <c r="A406" s="347">
        <f t="shared" ca="1" si="180"/>
        <v>0.1</v>
      </c>
      <c r="B406" s="304">
        <f t="shared" ca="1" si="181"/>
        <v>4.1999999999999584</v>
      </c>
      <c r="D406" s="306">
        <f t="shared" ca="1" si="182"/>
        <v>-3.1052907593482835</v>
      </c>
      <c r="E406" s="307">
        <f t="shared" ca="1" si="183"/>
        <v>-22.143965467522847</v>
      </c>
      <c r="F406" s="304">
        <f t="shared" ca="1" si="184"/>
        <v>22.360635888250989</v>
      </c>
      <c r="G406" s="306">
        <f t="shared" ca="1" si="185"/>
        <v>39.702884772387009</v>
      </c>
      <c r="H406" s="307">
        <f t="shared" ca="1" si="186"/>
        <v>156.71566923120383</v>
      </c>
      <c r="I406" s="304">
        <f t="shared" ca="1" si="187"/>
        <v>161.6666942874553</v>
      </c>
      <c r="J406" s="306">
        <f t="shared" ca="1" si="188"/>
        <v>115.51199042372903</v>
      </c>
      <c r="K406" s="307">
        <f t="shared" ca="1" si="189"/>
        <v>503.9962075022442</v>
      </c>
      <c r="L406" s="304">
        <f t="shared" ca="1" si="174"/>
        <v>517.06401645086157</v>
      </c>
      <c r="M406" s="306">
        <f t="shared" ca="1" si="190"/>
        <v>1.3226733923886933</v>
      </c>
      <c r="N406" s="304">
        <f t="shared" ca="1" si="191"/>
        <v>75.783603058123191</v>
      </c>
      <c r="P406" s="310">
        <f t="shared" ca="1" si="192"/>
        <v>23</v>
      </c>
      <c r="Q406" s="304">
        <f t="shared" ca="1" si="193"/>
        <v>0</v>
      </c>
      <c r="R406" s="306">
        <f t="shared" ca="1" si="194"/>
        <v>0</v>
      </c>
      <c r="S406" s="307">
        <f t="shared" ca="1" si="195"/>
        <v>8.1379999999999981</v>
      </c>
      <c r="T406" s="304">
        <f t="shared" ca="1" si="175"/>
        <v>79.83377999999999</v>
      </c>
      <c r="U406" s="311">
        <f t="shared" ca="1" si="176"/>
        <v>0</v>
      </c>
      <c r="V406" s="306">
        <f t="shared" ca="1" si="177"/>
        <v>1.1647780463923076</v>
      </c>
      <c r="W406" s="304">
        <f t="shared" ca="1" si="178"/>
        <v>100.55830060056221</v>
      </c>
      <c r="Y406" s="314" t="str">
        <f t="shared" ca="1" si="196"/>
        <v/>
      </c>
      <c r="Z406" s="315" t="str">
        <f t="shared" ca="1" si="197"/>
        <v/>
      </c>
      <c r="AA406" s="316" t="str">
        <f t="shared" ca="1" si="198"/>
        <v/>
      </c>
      <c r="AC406" s="310" t="e">
        <f t="shared" ca="1" si="199"/>
        <v>#N/A</v>
      </c>
      <c r="AD406" s="323" t="e">
        <f t="shared" ca="1" si="200"/>
        <v>#N/A</v>
      </c>
      <c r="AE406" s="324">
        <f t="shared" ca="1" si="179"/>
        <v>503.9962075022442</v>
      </c>
      <c r="AG406" s="306">
        <f t="shared" ca="1" si="201"/>
        <v>-22.231993902640824</v>
      </c>
      <c r="AH406" s="304">
        <f t="shared" ca="1" si="202"/>
        <v>-12.718865313153524</v>
      </c>
    </row>
    <row r="407" spans="1:34" x14ac:dyDescent="0.2">
      <c r="A407" s="347">
        <f t="shared" ca="1" si="180"/>
        <v>0.1</v>
      </c>
      <c r="B407" s="304">
        <f t="shared" ca="1" si="181"/>
        <v>4.2999999999999581</v>
      </c>
      <c r="D407" s="306">
        <f t="shared" ca="1" si="182"/>
        <v>-3.0346020371829248</v>
      </c>
      <c r="E407" s="307">
        <f t="shared" ca="1" si="183"/>
        <v>-21.78821497943774</v>
      </c>
      <c r="F407" s="304">
        <f t="shared" ca="1" si="184"/>
        <v>21.998525439544121</v>
      </c>
      <c r="G407" s="306">
        <f t="shared" ca="1" si="185"/>
        <v>39.399424568668714</v>
      </c>
      <c r="H407" s="307">
        <f t="shared" ca="1" si="186"/>
        <v>154.53684773326006</v>
      </c>
      <c r="I407" s="304">
        <f t="shared" ca="1" si="187"/>
        <v>159.48025571736153</v>
      </c>
      <c r="J407" s="306">
        <f t="shared" ca="1" si="188"/>
        <v>119.46710589078182</v>
      </c>
      <c r="K407" s="307">
        <f t="shared" ca="1" si="189"/>
        <v>519.55883335046735</v>
      </c>
      <c r="L407" s="304">
        <f t="shared" ca="1" si="174"/>
        <v>533.11703283839847</v>
      </c>
      <c r="M407" s="306">
        <f t="shared" ca="1" si="190"/>
        <v>1.3211627427385628</v>
      </c>
      <c r="N407" s="304">
        <f t="shared" ca="1" si="191"/>
        <v>75.697049208847801</v>
      </c>
      <c r="P407" s="310">
        <f t="shared" ca="1" si="192"/>
        <v>23</v>
      </c>
      <c r="Q407" s="304">
        <f t="shared" ca="1" si="193"/>
        <v>0</v>
      </c>
      <c r="R407" s="306">
        <f t="shared" ca="1" si="194"/>
        <v>0</v>
      </c>
      <c r="S407" s="307">
        <f t="shared" ca="1" si="195"/>
        <v>8.1379999999999981</v>
      </c>
      <c r="T407" s="304">
        <f t="shared" ca="1" si="175"/>
        <v>79.83377999999999</v>
      </c>
      <c r="U407" s="311">
        <f t="shared" ca="1" si="176"/>
        <v>0</v>
      </c>
      <c r="V407" s="306">
        <f t="shared" ca="1" si="177"/>
        <v>1.1629655697256138</v>
      </c>
      <c r="W407" s="304">
        <f t="shared" ca="1" si="178"/>
        <v>97.70444828935176</v>
      </c>
      <c r="Y407" s="314" t="str">
        <f t="shared" ca="1" si="196"/>
        <v/>
      </c>
      <c r="Z407" s="315" t="str">
        <f t="shared" ca="1" si="197"/>
        <v/>
      </c>
      <c r="AA407" s="316" t="str">
        <f t="shared" ca="1" si="198"/>
        <v/>
      </c>
      <c r="AC407" s="310" t="e">
        <f t="shared" ca="1" si="199"/>
        <v>#N/A</v>
      </c>
      <c r="AD407" s="323" t="e">
        <f t="shared" ca="1" si="200"/>
        <v>#N/A</v>
      </c>
      <c r="AE407" s="324">
        <f t="shared" ca="1" si="179"/>
        <v>519.55883335046735</v>
      </c>
      <c r="AG407" s="306">
        <f t="shared" ca="1" si="201"/>
        <v>-21.866205420039666</v>
      </c>
      <c r="AH407" s="304">
        <f t="shared" ca="1" si="202"/>
        <v>-12.356635610784251</v>
      </c>
    </row>
    <row r="408" spans="1:34" x14ac:dyDescent="0.2">
      <c r="A408" s="347">
        <f t="shared" ca="1" si="180"/>
        <v>0.1</v>
      </c>
      <c r="B408" s="304">
        <f t="shared" ca="1" si="181"/>
        <v>4.3999999999999577</v>
      </c>
      <c r="D408" s="306">
        <f t="shared" ca="1" si="182"/>
        <v>-2.9660577787975848</v>
      </c>
      <c r="E408" s="307">
        <f t="shared" ca="1" si="183"/>
        <v>-21.443804918425023</v>
      </c>
      <c r="F408" s="304">
        <f t="shared" ca="1" si="184"/>
        <v>21.647962216491297</v>
      </c>
      <c r="G408" s="306">
        <f t="shared" ca="1" si="185"/>
        <v>39.102818790788952</v>
      </c>
      <c r="H408" s="307">
        <f t="shared" ca="1" si="186"/>
        <v>152.39246724141756</v>
      </c>
      <c r="I408" s="304">
        <f t="shared" ca="1" si="187"/>
        <v>157.32925509679313</v>
      </c>
      <c r="J408" s="306">
        <f t="shared" ca="1" si="188"/>
        <v>123.39221805875471</v>
      </c>
      <c r="K408" s="307">
        <f t="shared" ca="1" si="189"/>
        <v>534.90529909920122</v>
      </c>
      <c r="L408" s="304">
        <f t="shared" ca="1" si="174"/>
        <v>548.95292920419433</v>
      </c>
      <c r="M408" s="306">
        <f t="shared" ca="1" si="190"/>
        <v>1.3196223103252893</v>
      </c>
      <c r="N408" s="304">
        <f t="shared" ca="1" si="191"/>
        <v>75.608788932942076</v>
      </c>
      <c r="P408" s="310">
        <f t="shared" ca="1" si="192"/>
        <v>23</v>
      </c>
      <c r="Q408" s="304">
        <f t="shared" ca="1" si="193"/>
        <v>0</v>
      </c>
      <c r="R408" s="306">
        <f t="shared" ca="1" si="194"/>
        <v>0</v>
      </c>
      <c r="S408" s="307">
        <f t="shared" ca="1" si="195"/>
        <v>8.1379999999999981</v>
      </c>
      <c r="T408" s="304">
        <f t="shared" ca="1" si="175"/>
        <v>79.83377999999999</v>
      </c>
      <c r="U408" s="311">
        <f t="shared" ca="1" si="176"/>
        <v>0</v>
      </c>
      <c r="V408" s="306">
        <f t="shared" ca="1" si="177"/>
        <v>1.1611809580465642</v>
      </c>
      <c r="W408" s="304">
        <f t="shared" ca="1" si="178"/>
        <v>94.940717783679858</v>
      </c>
      <c r="Y408" s="314" t="str">
        <f t="shared" ca="1" si="196"/>
        <v/>
      </c>
      <c r="Z408" s="315" t="str">
        <f t="shared" ca="1" si="197"/>
        <v/>
      </c>
      <c r="AA408" s="316" t="str">
        <f t="shared" ca="1" si="198"/>
        <v/>
      </c>
      <c r="AC408" s="310" t="e">
        <f t="shared" ca="1" si="199"/>
        <v>#N/A</v>
      </c>
      <c r="AD408" s="323" t="e">
        <f t="shared" ca="1" si="200"/>
        <v>#N/A</v>
      </c>
      <c r="AE408" s="324">
        <f t="shared" ca="1" si="179"/>
        <v>534.90529909920122</v>
      </c>
      <c r="AG408" s="306">
        <f t="shared" ca="1" si="201"/>
        <v>-21.511872863450336</v>
      </c>
      <c r="AH408" s="304">
        <f t="shared" ca="1" si="202"/>
        <v>-12.005953341036101</v>
      </c>
    </row>
    <row r="409" spans="1:34" x14ac:dyDescent="0.2">
      <c r="A409" s="347">
        <f t="shared" ca="1" si="180"/>
        <v>0.1</v>
      </c>
      <c r="B409" s="304">
        <f t="shared" ca="1" si="181"/>
        <v>4.4999999999999574</v>
      </c>
      <c r="D409" s="306">
        <f t="shared" ca="1" si="182"/>
        <v>-2.8995687079915791</v>
      </c>
      <c r="E409" s="307">
        <f t="shared" ca="1" si="183"/>
        <v>-21.110270492288237</v>
      </c>
      <c r="F409" s="304">
        <f t="shared" ca="1" si="184"/>
        <v>21.308472938010819</v>
      </c>
      <c r="G409" s="306">
        <f t="shared" ca="1" si="185"/>
        <v>38.812861919989793</v>
      </c>
      <c r="H409" s="307">
        <f t="shared" ca="1" si="186"/>
        <v>150.28144019218874</v>
      </c>
      <c r="I409" s="304">
        <f t="shared" ca="1" si="187"/>
        <v>155.2125945812987</v>
      </c>
      <c r="J409" s="306">
        <f t="shared" ca="1" si="188"/>
        <v>127.28800209429365</v>
      </c>
      <c r="K409" s="307">
        <f t="shared" ca="1" si="189"/>
        <v>550.03899447088156</v>
      </c>
      <c r="L409" s="304">
        <f t="shared" ca="1" si="174"/>
        <v>564.57517738180388</v>
      </c>
      <c r="M409" s="306">
        <f t="shared" ca="1" si="190"/>
        <v>1.3180514382982955</v>
      </c>
      <c r="N409" s="304">
        <f t="shared" ca="1" si="191"/>
        <v>75.51878459564017</v>
      </c>
      <c r="P409" s="310">
        <f t="shared" ca="1" si="192"/>
        <v>23</v>
      </c>
      <c r="Q409" s="304">
        <f t="shared" ca="1" si="193"/>
        <v>0</v>
      </c>
      <c r="R409" s="306">
        <f t="shared" ca="1" si="194"/>
        <v>0</v>
      </c>
      <c r="S409" s="307">
        <f t="shared" ca="1" si="195"/>
        <v>8.1379999999999981</v>
      </c>
      <c r="T409" s="304">
        <f t="shared" ca="1" si="175"/>
        <v>79.83377999999999</v>
      </c>
      <c r="U409" s="311">
        <f t="shared" ca="1" si="176"/>
        <v>0</v>
      </c>
      <c r="V409" s="306">
        <f t="shared" ca="1" si="177"/>
        <v>1.1594236993021649</v>
      </c>
      <c r="W409" s="304">
        <f t="shared" ca="1" si="178"/>
        <v>92.263457102578045</v>
      </c>
      <c r="Y409" s="314" t="str">
        <f t="shared" ca="1" si="196"/>
        <v/>
      </c>
      <c r="Z409" s="315" t="str">
        <f t="shared" ca="1" si="197"/>
        <v/>
      </c>
      <c r="AA409" s="316" t="str">
        <f t="shared" ca="1" si="198"/>
        <v/>
      </c>
      <c r="AC409" s="310" t="e">
        <f t="shared" ca="1" si="199"/>
        <v>#N/A</v>
      </c>
      <c r="AD409" s="323" t="e">
        <f t="shared" ca="1" si="200"/>
        <v>#N/A</v>
      </c>
      <c r="AE409" s="324">
        <f t="shared" ca="1" si="179"/>
        <v>550.03899447088156</v>
      </c>
      <c r="AG409" s="306">
        <f t="shared" ca="1" si="201"/>
        <v>-21.168520197750688</v>
      </c>
      <c r="AH409" s="304">
        <f t="shared" ca="1" si="202"/>
        <v>-11.666345267102468</v>
      </c>
    </row>
    <row r="410" spans="1:34" x14ac:dyDescent="0.2">
      <c r="A410" s="347">
        <f t="shared" ca="1" si="180"/>
        <v>0.1</v>
      </c>
      <c r="B410" s="304">
        <f t="shared" ca="1" si="181"/>
        <v>4.599999999999957</v>
      </c>
      <c r="D410" s="306">
        <f t="shared" ca="1" si="182"/>
        <v>-2.8350501554061514</v>
      </c>
      <c r="E410" s="307">
        <f t="shared" ca="1" si="183"/>
        <v>-20.787170950439332</v>
      </c>
      <c r="F410" s="304">
        <f t="shared" ca="1" si="184"/>
        <v>20.979608802512438</v>
      </c>
      <c r="G410" s="306">
        <f t="shared" ca="1" si="185"/>
        <v>38.52935690444918</v>
      </c>
      <c r="H410" s="307">
        <f t="shared" ca="1" si="186"/>
        <v>148.2027230971448</v>
      </c>
      <c r="I410" s="304">
        <f t="shared" ca="1" si="187"/>
        <v>153.12922149896602</v>
      </c>
      <c r="J410" s="306">
        <f t="shared" ca="1" si="188"/>
        <v>131.1551130355156</v>
      </c>
      <c r="K410" s="307">
        <f t="shared" ca="1" si="189"/>
        <v>564.96320263534824</v>
      </c>
      <c r="L410" s="304">
        <f t="shared" ca="1" si="174"/>
        <v>579.98714124310413</v>
      </c>
      <c r="M410" s="306">
        <f t="shared" ca="1" si="190"/>
        <v>1.3164494482016242</v>
      </c>
      <c r="N410" s="304">
        <f t="shared" ca="1" si="191"/>
        <v>75.426997324279156</v>
      </c>
      <c r="P410" s="310">
        <f t="shared" ca="1" si="192"/>
        <v>23</v>
      </c>
      <c r="Q410" s="304">
        <f t="shared" ca="1" si="193"/>
        <v>0</v>
      </c>
      <c r="R410" s="306">
        <f t="shared" ca="1" si="194"/>
        <v>0</v>
      </c>
      <c r="S410" s="307">
        <f t="shared" ca="1" si="195"/>
        <v>8.1379999999999981</v>
      </c>
      <c r="T410" s="304">
        <f t="shared" ca="1" si="175"/>
        <v>79.83377999999999</v>
      </c>
      <c r="U410" s="311">
        <f t="shared" ca="1" si="176"/>
        <v>0</v>
      </c>
      <c r="V410" s="306">
        <f t="shared" ca="1" si="177"/>
        <v>1.1576932981684489</v>
      </c>
      <c r="W410" s="304">
        <f t="shared" ca="1" si="178"/>
        <v>89.669201214847362</v>
      </c>
      <c r="Y410" s="314" t="str">
        <f t="shared" ca="1" si="196"/>
        <v/>
      </c>
      <c r="Z410" s="315" t="str">
        <f t="shared" ca="1" si="197"/>
        <v/>
      </c>
      <c r="AA410" s="316" t="str">
        <f t="shared" ca="1" si="198"/>
        <v>Satellite</v>
      </c>
      <c r="AC410" s="310" t="e">
        <f t="shared" ca="1" si="199"/>
        <v>#N/A</v>
      </c>
      <c r="AD410" s="323" t="e">
        <f t="shared" ca="1" si="200"/>
        <v>#N/A</v>
      </c>
      <c r="AE410" s="324">
        <f t="shared" ca="1" si="179"/>
        <v>564.96320263534824</v>
      </c>
      <c r="AG410" s="306">
        <f t="shared" ca="1" si="201"/>
        <v>-20.835695755845133</v>
      </c>
      <c r="AH410" s="304">
        <f t="shared" ca="1" si="202"/>
        <v>-11.337362632413132</v>
      </c>
    </row>
    <row r="411" spans="1:34" x14ac:dyDescent="0.2">
      <c r="A411" s="347">
        <f t="shared" ca="1" si="180"/>
        <v>0.1</v>
      </c>
      <c r="B411" s="304">
        <f t="shared" ca="1" si="181"/>
        <v>4.6999999999999567</v>
      </c>
      <c r="D411" s="306">
        <f t="shared" ca="1" si="182"/>
        <v>-2.7724217746866073</v>
      </c>
      <c r="E411" s="307">
        <f t="shared" ca="1" si="183"/>
        <v>-20.474088103036248</v>
      </c>
      <c r="F411" s="304">
        <f t="shared" ca="1" si="184"/>
        <v>20.660943980071355</v>
      </c>
      <c r="G411" s="306">
        <f t="shared" ca="1" si="185"/>
        <v>38.252114726980523</v>
      </c>
      <c r="H411" s="307">
        <f t="shared" ca="1" si="186"/>
        <v>146.15531428684116</v>
      </c>
      <c r="I411" s="304">
        <f t="shared" ca="1" si="187"/>
        <v>151.07812606519647</v>
      </c>
      <c r="J411" s="306">
        <f t="shared" ca="1" si="188"/>
        <v>134.99418661708708</v>
      </c>
      <c r="K411" s="307">
        <f t="shared" ca="1" si="189"/>
        <v>579.68110450454753</v>
      </c>
      <c r="L411" s="304">
        <f t="shared" ca="1" si="174"/>
        <v>595.19208104612846</v>
      </c>
      <c r="M411" s="306">
        <f t="shared" ca="1" si="190"/>
        <v>1.3148156391533106</v>
      </c>
      <c r="N411" s="304">
        <f t="shared" ca="1" si="191"/>
        <v>75.333386961280496</v>
      </c>
      <c r="P411" s="310">
        <f t="shared" ca="1" si="192"/>
        <v>23</v>
      </c>
      <c r="Q411" s="304">
        <f t="shared" ca="1" si="193"/>
        <v>0</v>
      </c>
      <c r="R411" s="306">
        <f t="shared" ca="1" si="194"/>
        <v>0</v>
      </c>
      <c r="S411" s="307">
        <f t="shared" ca="1" si="195"/>
        <v>8.1379999999999981</v>
      </c>
      <c r="T411" s="304">
        <f t="shared" ca="1" si="175"/>
        <v>79.83377999999999</v>
      </c>
      <c r="U411" s="311">
        <f t="shared" ca="1" si="176"/>
        <v>0</v>
      </c>
      <c r="V411" s="306">
        <f t="shared" ca="1" si="177"/>
        <v>1.1559892753525089</v>
      </c>
      <c r="W411" s="304">
        <f t="shared" ca="1" si="178"/>
        <v>87.154660645764778</v>
      </c>
      <c r="Y411" s="314" t="str">
        <f t="shared" ca="1" si="196"/>
        <v/>
      </c>
      <c r="Z411" s="315" t="str">
        <f t="shared" ca="1" si="197"/>
        <v/>
      </c>
      <c r="AA411" s="316" t="str">
        <f t="shared" ca="1" si="198"/>
        <v/>
      </c>
      <c r="AC411" s="310" t="e">
        <f t="shared" ca="1" si="199"/>
        <v>#N/A</v>
      </c>
      <c r="AD411" s="323" t="e">
        <f t="shared" ca="1" si="200"/>
        <v>#N/A</v>
      </c>
      <c r="AE411" s="324">
        <f t="shared" ca="1" si="179"/>
        <v>579.68110450454753</v>
      </c>
      <c r="AG411" s="306">
        <f t="shared" ca="1" si="201"/>
        <v>-20.512970725633867</v>
      </c>
      <c r="AH411" s="304">
        <f t="shared" ca="1" si="202"/>
        <v>-11.018579652844357</v>
      </c>
    </row>
    <row r="412" spans="1:34" x14ac:dyDescent="0.2">
      <c r="A412" s="347">
        <f t="shared" ca="1" si="180"/>
        <v>0.1</v>
      </c>
      <c r="B412" s="304">
        <f t="shared" ca="1" si="181"/>
        <v>4.7999999999999563</v>
      </c>
      <c r="D412" s="306">
        <f t="shared" ca="1" si="182"/>
        <v>-2.7116072789430179</v>
      </c>
      <c r="E412" s="307">
        <f t="shared" ca="1" si="183"/>
        <v>-20.170624945968484</v>
      </c>
      <c r="F412" s="304">
        <f t="shared" ca="1" si="184"/>
        <v>20.352074212378032</v>
      </c>
      <c r="G412" s="306">
        <f t="shared" ca="1" si="185"/>
        <v>37.980953999086218</v>
      </c>
      <c r="H412" s="307">
        <f t="shared" ca="1" si="186"/>
        <v>144.13825179224432</v>
      </c>
      <c r="I412" s="304">
        <f t="shared" ca="1" si="187"/>
        <v>149.05833923804843</v>
      </c>
      <c r="J412" s="306">
        <f t="shared" ca="1" si="188"/>
        <v>138.80584005339043</v>
      </c>
      <c r="K412" s="307">
        <f t="shared" ca="1" si="189"/>
        <v>594.1957828085018</v>
      </c>
      <c r="L412" s="304">
        <f t="shared" ca="1" si="174"/>
        <v>610.19315756597575</v>
      </c>
      <c r="M412" s="306">
        <f t="shared" ca="1" si="190"/>
        <v>1.3131492869864461</v>
      </c>
      <c r="N412" s="304">
        <f t="shared" ca="1" si="191"/>
        <v>75.237912014936683</v>
      </c>
      <c r="P412" s="310">
        <f t="shared" ca="1" si="192"/>
        <v>23</v>
      </c>
      <c r="Q412" s="304">
        <f t="shared" ca="1" si="193"/>
        <v>0</v>
      </c>
      <c r="R412" s="306">
        <f t="shared" ca="1" si="194"/>
        <v>0</v>
      </c>
      <c r="S412" s="307">
        <f t="shared" ca="1" si="195"/>
        <v>8.1379999999999981</v>
      </c>
      <c r="T412" s="304">
        <f t="shared" ca="1" si="175"/>
        <v>79.83377999999999</v>
      </c>
      <c r="U412" s="311">
        <f t="shared" ca="1" si="176"/>
        <v>0</v>
      </c>
      <c r="V412" s="306">
        <f t="shared" ca="1" si="177"/>
        <v>1.1543111669310204</v>
      </c>
      <c r="W412" s="304">
        <f t="shared" ca="1" si="178"/>
        <v>84.716710889758289</v>
      </c>
      <c r="Y412" s="314" t="str">
        <f t="shared" ca="1" si="196"/>
        <v/>
      </c>
      <c r="Z412" s="315" t="str">
        <f t="shared" ca="1" si="197"/>
        <v/>
      </c>
      <c r="AA412" s="316" t="str">
        <f t="shared" ca="1" si="198"/>
        <v/>
      </c>
      <c r="AC412" s="310" t="e">
        <f t="shared" ca="1" si="199"/>
        <v>#N/A</v>
      </c>
      <c r="AD412" s="323" t="e">
        <f t="shared" ca="1" si="200"/>
        <v>#N/A</v>
      </c>
      <c r="AE412" s="324">
        <f t="shared" ca="1" si="179"/>
        <v>594.1957828085018</v>
      </c>
      <c r="AG412" s="306">
        <f t="shared" ca="1" si="201"/>
        <v>-20.19993774447336</v>
      </c>
      <c r="AH412" s="304">
        <f t="shared" ca="1" si="202"/>
        <v>-10.709592116707396</v>
      </c>
    </row>
    <row r="413" spans="1:34" x14ac:dyDescent="0.2">
      <c r="A413" s="347">
        <f t="shared" ca="1" si="180"/>
        <v>0.1</v>
      </c>
      <c r="B413" s="304">
        <f t="shared" ca="1" si="181"/>
        <v>4.8999999999999559</v>
      </c>
      <c r="D413" s="306">
        <f t="shared" ca="1" si="182"/>
        <v>-2.6525341958638227</v>
      </c>
      <c r="E413" s="307">
        <f t="shared" ca="1" si="183"/>
        <v>-19.876404383106241</v>
      </c>
      <c r="F413" s="304">
        <f t="shared" ca="1" si="184"/>
        <v>20.052615511722951</v>
      </c>
      <c r="G413" s="306">
        <f t="shared" ca="1" si="185"/>
        <v>37.715700579499838</v>
      </c>
      <c r="H413" s="307">
        <f t="shared" ca="1" si="186"/>
        <v>142.1506113539337</v>
      </c>
      <c r="I413" s="304">
        <f t="shared" ca="1" si="187"/>
        <v>147.06893070427753</v>
      </c>
      <c r="J413" s="306">
        <f t="shared" ca="1" si="188"/>
        <v>142.59067278231973</v>
      </c>
      <c r="K413" s="307">
        <f t="shared" ca="1" si="189"/>
        <v>608.51022596581072</v>
      </c>
      <c r="L413" s="304">
        <f t="shared" ca="1" si="174"/>
        <v>624.99343602111264</v>
      </c>
      <c r="M413" s="306">
        <f t="shared" ca="1" si="190"/>
        <v>1.3114496433499347</v>
      </c>
      <c r="N413" s="304">
        <f t="shared" ca="1" si="191"/>
        <v>75.140529607888311</v>
      </c>
      <c r="P413" s="310">
        <f t="shared" ca="1" si="192"/>
        <v>23</v>
      </c>
      <c r="Q413" s="304">
        <f t="shared" ca="1" si="193"/>
        <v>0</v>
      </c>
      <c r="R413" s="306">
        <f t="shared" ca="1" si="194"/>
        <v>0</v>
      </c>
      <c r="S413" s="307">
        <f t="shared" ca="1" si="195"/>
        <v>8.1379999999999981</v>
      </c>
      <c r="T413" s="304">
        <f t="shared" ca="1" si="175"/>
        <v>79.83377999999999</v>
      </c>
      <c r="U413" s="311">
        <f t="shared" ca="1" si="176"/>
        <v>0</v>
      </c>
      <c r="V413" s="306">
        <f t="shared" ca="1" si="177"/>
        <v>1.1526585237229892</v>
      </c>
      <c r="W413" s="304">
        <f t="shared" ca="1" si="178"/>
        <v>82.352382564361363</v>
      </c>
      <c r="Y413" s="314" t="str">
        <f t="shared" ca="1" si="196"/>
        <v/>
      </c>
      <c r="Z413" s="315" t="str">
        <f t="shared" ca="1" si="197"/>
        <v/>
      </c>
      <c r="AA413" s="316" t="str">
        <f t="shared" ca="1" si="198"/>
        <v/>
      </c>
      <c r="AC413" s="310" t="e">
        <f t="shared" ca="1" si="199"/>
        <v>#N/A</v>
      </c>
      <c r="AD413" s="323" t="e">
        <f t="shared" ca="1" si="200"/>
        <v>#N/A</v>
      </c>
      <c r="AE413" s="324">
        <f t="shared" ca="1" si="179"/>
        <v>608.51022596581072</v>
      </c>
      <c r="AG413" s="306">
        <f t="shared" ca="1" si="201"/>
        <v>-19.896209592369612</v>
      </c>
      <c r="AH413" s="304">
        <f t="shared" ca="1" si="202"/>
        <v>-10.410016083774675</v>
      </c>
    </row>
    <row r="414" spans="1:34" x14ac:dyDescent="0.2">
      <c r="A414" s="347">
        <f t="shared" ca="1" si="180"/>
        <v>0.1</v>
      </c>
      <c r="B414" s="304">
        <f t="shared" ca="1" si="181"/>
        <v>4.9999999999999556</v>
      </c>
      <c r="D414" s="306">
        <f t="shared" ca="1" si="182"/>
        <v>-2.5951336399858707</v>
      </c>
      <c r="E414" s="307">
        <f t="shared" ca="1" si="183"/>
        <v>-19.591068038006014</v>
      </c>
      <c r="F414" s="304">
        <f t="shared" ca="1" si="184"/>
        <v>19.762202951067149</v>
      </c>
      <c r="G414" s="306">
        <f t="shared" ca="1" si="185"/>
        <v>37.456187215501252</v>
      </c>
      <c r="H414" s="307">
        <f t="shared" ca="1" si="186"/>
        <v>140.19150455013309</v>
      </c>
      <c r="I414" s="304">
        <f t="shared" ca="1" si="187"/>
        <v>145.10900698699811</v>
      </c>
      <c r="J414" s="306">
        <f t="shared" ca="1" si="188"/>
        <v>146.34926717206977</v>
      </c>
      <c r="K414" s="307">
        <f t="shared" ca="1" si="189"/>
        <v>622.62733176101403</v>
      </c>
      <c r="L414" s="304">
        <f t="shared" ca="1" si="174"/>
        <v>639.59588980671356</v>
      </c>
      <c r="M414" s="306">
        <f t="shared" ca="1" si="190"/>
        <v>1.3097159347668272</v>
      </c>
      <c r="N414" s="304">
        <f t="shared" ca="1" si="191"/>
        <v>75.041195423170649</v>
      </c>
      <c r="P414" s="310">
        <f t="shared" ca="1" si="192"/>
        <v>23</v>
      </c>
      <c r="Q414" s="304">
        <f t="shared" ca="1" si="193"/>
        <v>0</v>
      </c>
      <c r="R414" s="306">
        <f t="shared" ca="1" si="194"/>
        <v>0</v>
      </c>
      <c r="S414" s="307">
        <f t="shared" ca="1" si="195"/>
        <v>8.1379999999999981</v>
      </c>
      <c r="T414" s="304">
        <f t="shared" ca="1" si="175"/>
        <v>79.83377999999999</v>
      </c>
      <c r="U414" s="311">
        <f t="shared" ca="1" si="176"/>
        <v>0</v>
      </c>
      <c r="V414" s="306">
        <f t="shared" ca="1" si="177"/>
        <v>1.1510309106946257</v>
      </c>
      <c r="W414" s="304">
        <f t="shared" ca="1" si="178"/>
        <v>80.058852246553883</v>
      </c>
      <c r="Y414" s="314" t="str">
        <f t="shared" ca="1" si="196"/>
        <v/>
      </c>
      <c r="Z414" s="315" t="str">
        <f t="shared" ca="1" si="197"/>
        <v/>
      </c>
      <c r="AA414" s="316" t="str">
        <f t="shared" ca="1" si="198"/>
        <v/>
      </c>
      <c r="AC414" s="310">
        <f t="shared" ca="1" si="199"/>
        <v>4.9999999999999556</v>
      </c>
      <c r="AD414" s="323">
        <f t="shared" ca="1" si="200"/>
        <v>146.34926717206977</v>
      </c>
      <c r="AE414" s="324">
        <f t="shared" ca="1" si="179"/>
        <v>622.62733176101403</v>
      </c>
      <c r="AG414" s="306">
        <f t="shared" ca="1" si="201"/>
        <v>-19.601417975936332</v>
      </c>
      <c r="AH414" s="304">
        <f t="shared" ca="1" si="202"/>
        <v>-10.119486675394615</v>
      </c>
    </row>
    <row r="415" spans="1:34" x14ac:dyDescent="0.2">
      <c r="A415" s="347">
        <f t="shared" ca="1" si="180"/>
        <v>0.1</v>
      </c>
      <c r="B415" s="304">
        <f t="shared" ca="1" si="181"/>
        <v>5.0999999999999552</v>
      </c>
      <c r="D415" s="306">
        <f t="shared" ca="1" si="182"/>
        <v>-2.5393401007585168</v>
      </c>
      <c r="E415" s="307">
        <f t="shared" ca="1" si="183"/>
        <v>-19.314275147965269</v>
      </c>
      <c r="F415" s="304">
        <f t="shared" ca="1" si="184"/>
        <v>19.480489537961542</v>
      </c>
      <c r="G415" s="306">
        <f t="shared" ca="1" si="185"/>
        <v>37.2022532054254</v>
      </c>
      <c r="H415" s="307">
        <f t="shared" ca="1" si="186"/>
        <v>138.26007703533656</v>
      </c>
      <c r="I415" s="304">
        <f t="shared" ca="1" si="187"/>
        <v>143.17770966661601</v>
      </c>
      <c r="J415" s="306">
        <f t="shared" ca="1" si="188"/>
        <v>150.08218919311611</v>
      </c>
      <c r="K415" s="307">
        <f t="shared" ca="1" si="189"/>
        <v>636.54991084028757</v>
      </c>
      <c r="L415" s="304">
        <f t="shared" ca="1" si="174"/>
        <v>654.00340404601593</v>
      </c>
      <c r="M415" s="306">
        <f t="shared" ca="1" si="190"/>
        <v>1.3079473616479895</v>
      </c>
      <c r="N415" s="304">
        <f t="shared" ca="1" si="191"/>
        <v>74.93986364770096</v>
      </c>
      <c r="P415" s="310">
        <f t="shared" ca="1" si="192"/>
        <v>23</v>
      </c>
      <c r="Q415" s="304">
        <f t="shared" ca="1" si="193"/>
        <v>0</v>
      </c>
      <c r="R415" s="306">
        <f t="shared" ca="1" si="194"/>
        <v>0</v>
      </c>
      <c r="S415" s="307">
        <f t="shared" ca="1" si="195"/>
        <v>8.1379999999999981</v>
      </c>
      <c r="T415" s="304">
        <f t="shared" ca="1" si="175"/>
        <v>79.83377999999999</v>
      </c>
      <c r="U415" s="311">
        <f t="shared" ca="1" si="176"/>
        <v>0</v>
      </c>
      <c r="V415" s="306">
        <f t="shared" ca="1" si="177"/>
        <v>1.149427906394398</v>
      </c>
      <c r="W415" s="304">
        <f t="shared" ca="1" si="178"/>
        <v>77.833433937822718</v>
      </c>
      <c r="Y415" s="314" t="str">
        <f t="shared" ca="1" si="196"/>
        <v/>
      </c>
      <c r="Z415" s="315" t="str">
        <f t="shared" ca="1" si="197"/>
        <v/>
      </c>
      <c r="AA415" s="316" t="str">
        <f t="shared" ca="1" si="198"/>
        <v/>
      </c>
      <c r="AC415" s="310" t="e">
        <f t="shared" ca="1" si="199"/>
        <v>#N/A</v>
      </c>
      <c r="AD415" s="323" t="e">
        <f t="shared" ca="1" si="200"/>
        <v>#N/A</v>
      </c>
      <c r="AE415" s="324">
        <f t="shared" ca="1" si="179"/>
        <v>636.54991084028757</v>
      </c>
      <c r="AG415" s="306">
        <f t="shared" ca="1" si="201"/>
        <v>-19.315212395860932</v>
      </c>
      <c r="AH415" s="304">
        <f t="shared" ca="1" si="202"/>
        <v>-9.8376569484583314</v>
      </c>
    </row>
    <row r="416" spans="1:34" x14ac:dyDescent="0.2">
      <c r="A416" s="347">
        <f t="shared" ca="1" si="180"/>
        <v>0.1</v>
      </c>
      <c r="B416" s="304">
        <f t="shared" ca="1" si="181"/>
        <v>5.1999999999999549</v>
      </c>
      <c r="D416" s="306">
        <f t="shared" ca="1" si="182"/>
        <v>-2.4850912451603775</v>
      </c>
      <c r="E416" s="307">
        <f t="shared" ca="1" si="183"/>
        <v>-19.04570153394921</v>
      </c>
      <c r="F416" s="304">
        <f t="shared" ca="1" si="184"/>
        <v>19.207145165720178</v>
      </c>
      <c r="G416" s="306">
        <f t="shared" ca="1" si="185"/>
        <v>36.95374408090936</v>
      </c>
      <c r="H416" s="307">
        <f t="shared" ca="1" si="186"/>
        <v>136.35550688194164</v>
      </c>
      <c r="I416" s="304">
        <f t="shared" ca="1" si="187"/>
        <v>141.27421370734496</v>
      </c>
      <c r="J416" s="306">
        <f t="shared" ca="1" si="188"/>
        <v>153.78998905743285</v>
      </c>
      <c r="K416" s="307">
        <f t="shared" ca="1" si="189"/>
        <v>650.28069003615144</v>
      </c>
      <c r="L416" s="304">
        <f t="shared" ca="1" si="174"/>
        <v>668.21877897001559</v>
      </c>
      <c r="M416" s="306">
        <f t="shared" ca="1" si="190"/>
        <v>1.3061430972587311</v>
      </c>
      <c r="N416" s="304">
        <f t="shared" ca="1" si="191"/>
        <v>74.836486913070701</v>
      </c>
      <c r="P416" s="310">
        <f t="shared" ca="1" si="192"/>
        <v>23</v>
      </c>
      <c r="Q416" s="304">
        <f t="shared" ca="1" si="193"/>
        <v>0</v>
      </c>
      <c r="R416" s="306">
        <f t="shared" ca="1" si="194"/>
        <v>0</v>
      </c>
      <c r="S416" s="307">
        <f t="shared" ca="1" si="195"/>
        <v>8.1379999999999981</v>
      </c>
      <c r="T416" s="304">
        <f t="shared" ca="1" si="175"/>
        <v>79.83377999999999</v>
      </c>
      <c r="U416" s="311">
        <f t="shared" ca="1" si="176"/>
        <v>0</v>
      </c>
      <c r="V416" s="306">
        <f t="shared" ca="1" si="177"/>
        <v>1.1478491024164488</v>
      </c>
      <c r="W416" s="304">
        <f t="shared" ca="1" si="178"/>
        <v>75.673571108989435</v>
      </c>
      <c r="Y416" s="314" t="str">
        <f t="shared" ca="1" si="196"/>
        <v/>
      </c>
      <c r="Z416" s="315" t="str">
        <f t="shared" ca="1" si="197"/>
        <v/>
      </c>
      <c r="AA416" s="316" t="str">
        <f t="shared" ca="1" si="198"/>
        <v/>
      </c>
      <c r="AC416" s="310" t="e">
        <f t="shared" ca="1" si="199"/>
        <v>#N/A</v>
      </c>
      <c r="AD416" s="323" t="e">
        <f t="shared" ca="1" si="200"/>
        <v>#N/A</v>
      </c>
      <c r="AE416" s="324">
        <f t="shared" ca="1" si="179"/>
        <v>650.28069003615144</v>
      </c>
      <c r="AG416" s="306">
        <f t="shared" ca="1" si="201"/>
        <v>-19.037259091262214</v>
      </c>
      <c r="AH416" s="304">
        <f t="shared" ca="1" si="202"/>
        <v>-9.5641968466235845</v>
      </c>
    </row>
    <row r="417" spans="1:34" x14ac:dyDescent="0.2">
      <c r="A417" s="347">
        <f t="shared" ca="1" si="180"/>
        <v>0.1</v>
      </c>
      <c r="B417" s="304">
        <f t="shared" ca="1" si="181"/>
        <v>5.2999999999999545</v>
      </c>
      <c r="D417" s="306">
        <f t="shared" ca="1" si="182"/>
        <v>-2.4323277337364737</v>
      </c>
      <c r="E417" s="307">
        <f t="shared" ca="1" si="183"/>
        <v>-18.785038640481915</v>
      </c>
      <c r="F417" s="304">
        <f t="shared" ca="1" si="184"/>
        <v>18.941855635832045</v>
      </c>
      <c r="G417" s="306">
        <f t="shared" ca="1" si="185"/>
        <v>36.710511307535711</v>
      </c>
      <c r="H417" s="307">
        <f t="shared" ca="1" si="186"/>
        <v>134.47700301789345</v>
      </c>
      <c r="I417" s="304">
        <f t="shared" ca="1" si="187"/>
        <v>139.39772588222246</v>
      </c>
      <c r="J417" s="306">
        <f t="shared" ca="1" si="188"/>
        <v>157.4732018268551</v>
      </c>
      <c r="K417" s="307">
        <f t="shared" ca="1" si="189"/>
        <v>663.8223155311432</v>
      </c>
      <c r="L417" s="304">
        <f t="shared" ca="1" si="174"/>
        <v>682.24473313520718</v>
      </c>
      <c r="M417" s="306">
        <f t="shared" ca="1" si="190"/>
        <v>1.3043022866358744</v>
      </c>
      <c r="N417" s="304">
        <f t="shared" ca="1" si="191"/>
        <v>74.731016233498167</v>
      </c>
      <c r="P417" s="310">
        <f t="shared" ca="1" si="192"/>
        <v>23</v>
      </c>
      <c r="Q417" s="304">
        <f t="shared" ca="1" si="193"/>
        <v>0</v>
      </c>
      <c r="R417" s="306">
        <f t="shared" ca="1" si="194"/>
        <v>0</v>
      </c>
      <c r="S417" s="307">
        <f t="shared" ca="1" si="195"/>
        <v>8.1379999999999981</v>
      </c>
      <c r="T417" s="304">
        <f t="shared" ca="1" si="175"/>
        <v>79.83377999999999</v>
      </c>
      <c r="U417" s="311">
        <f t="shared" ca="1" si="176"/>
        <v>0</v>
      </c>
      <c r="V417" s="306">
        <f t="shared" ca="1" si="177"/>
        <v>1.1462941028906881</v>
      </c>
      <c r="W417" s="304">
        <f t="shared" ca="1" si="178"/>
        <v>73.576829280109507</v>
      </c>
      <c r="Y417" s="314" t="str">
        <f t="shared" ca="1" si="196"/>
        <v/>
      </c>
      <c r="Z417" s="315" t="str">
        <f t="shared" ca="1" si="197"/>
        <v/>
      </c>
      <c r="AA417" s="316" t="str">
        <f t="shared" ca="1" si="198"/>
        <v/>
      </c>
      <c r="AC417" s="310" t="e">
        <f t="shared" ca="1" si="199"/>
        <v>#N/A</v>
      </c>
      <c r="AD417" s="323" t="e">
        <f t="shared" ca="1" si="200"/>
        <v>#N/A</v>
      </c>
      <c r="AE417" s="324">
        <f t="shared" ca="1" si="179"/>
        <v>663.8223155311432</v>
      </c>
      <c r="AG417" s="306">
        <f t="shared" ca="1" si="201"/>
        <v>-18.767240054901276</v>
      </c>
      <c r="AH417" s="304">
        <f t="shared" ca="1" si="202"/>
        <v>-9.2987922227807136</v>
      </c>
    </row>
    <row r="418" spans="1:34" x14ac:dyDescent="0.2">
      <c r="A418" s="347">
        <f t="shared" ca="1" si="180"/>
        <v>0.1</v>
      </c>
      <c r="B418" s="304">
        <f t="shared" ca="1" si="181"/>
        <v>5.3999999999999542</v>
      </c>
      <c r="D418" s="306">
        <f t="shared" ca="1" si="182"/>
        <v>-2.3809930490219666</v>
      </c>
      <c r="E418" s="307">
        <f t="shared" ca="1" si="183"/>
        <v>-18.531992640107521</v>
      </c>
      <c r="F418" s="304">
        <f t="shared" ca="1" si="184"/>
        <v>18.684321746118865</v>
      </c>
      <c r="G418" s="306">
        <f t="shared" ca="1" si="185"/>
        <v>36.472412002633511</v>
      </c>
      <c r="H418" s="307">
        <f t="shared" ca="1" si="186"/>
        <v>132.6238037538827</v>
      </c>
      <c r="I418" s="304">
        <f t="shared" ca="1" si="187"/>
        <v>137.54748329009234</v>
      </c>
      <c r="J418" s="306">
        <f t="shared" ca="1" si="188"/>
        <v>161.13234799236358</v>
      </c>
      <c r="K418" s="307">
        <f t="shared" ca="1" si="189"/>
        <v>677.17735586973197</v>
      </c>
      <c r="L418" s="304">
        <f t="shared" ca="1" si="174"/>
        <v>696.08390648847342</v>
      </c>
      <c r="M418" s="306">
        <f t="shared" ca="1" si="190"/>
        <v>1.3024240454525957</v>
      </c>
      <c r="N418" s="304">
        <f t="shared" ca="1" si="191"/>
        <v>74.623400940788628</v>
      </c>
      <c r="P418" s="310">
        <f t="shared" ca="1" si="192"/>
        <v>23</v>
      </c>
      <c r="Q418" s="304">
        <f t="shared" ca="1" si="193"/>
        <v>0</v>
      </c>
      <c r="R418" s="306">
        <f t="shared" ca="1" si="194"/>
        <v>0</v>
      </c>
      <c r="S418" s="307">
        <f t="shared" ca="1" si="195"/>
        <v>8.1379999999999981</v>
      </c>
      <c r="T418" s="304">
        <f t="shared" ca="1" si="175"/>
        <v>79.83377999999999</v>
      </c>
      <c r="U418" s="311">
        <f t="shared" ca="1" si="176"/>
        <v>0</v>
      </c>
      <c r="V418" s="306">
        <f t="shared" ca="1" si="177"/>
        <v>1.1447625239979931</v>
      </c>
      <c r="W418" s="304">
        <f t="shared" ca="1" si="178"/>
        <v>71.540889094596395</v>
      </c>
      <c r="Y418" s="314" t="str">
        <f t="shared" ca="1" si="196"/>
        <v/>
      </c>
      <c r="Z418" s="315" t="str">
        <f t="shared" ca="1" si="197"/>
        <v/>
      </c>
      <c r="AA418" s="316" t="str">
        <f t="shared" ca="1" si="198"/>
        <v/>
      </c>
      <c r="AC418" s="310" t="e">
        <f t="shared" ca="1" si="199"/>
        <v>#N/A</v>
      </c>
      <c r="AD418" s="323" t="e">
        <f t="shared" ca="1" si="200"/>
        <v>#N/A</v>
      </c>
      <c r="AE418" s="324">
        <f t="shared" ca="1" si="179"/>
        <v>677.17735586973197</v>
      </c>
      <c r="AG418" s="306">
        <f t="shared" ca="1" si="201"/>
        <v>-18.504852113728596</v>
      </c>
      <c r="AH418" s="304">
        <f t="shared" ca="1" si="202"/>
        <v>-9.0411439272683118</v>
      </c>
    </row>
    <row r="419" spans="1:34" x14ac:dyDescent="0.2">
      <c r="A419" s="347">
        <f t="shared" ca="1" si="180"/>
        <v>0.1</v>
      </c>
      <c r="B419" s="304">
        <f t="shared" ca="1" si="181"/>
        <v>5.4999999999999538</v>
      </c>
      <c r="D419" s="306">
        <f t="shared" ca="1" si="182"/>
        <v>-2.3310333354078172</v>
      </c>
      <c r="E419" s="307">
        <f t="shared" ca="1" si="183"/>
        <v>-18.286283597491789</v>
      </c>
      <c r="F419" s="304">
        <f t="shared" ca="1" si="184"/>
        <v>18.434258439619416</v>
      </c>
      <c r="G419" s="306">
        <f t="shared" ca="1" si="185"/>
        <v>36.239308669092729</v>
      </c>
      <c r="H419" s="307">
        <f t="shared" ca="1" si="186"/>
        <v>130.79517539413351</v>
      </c>
      <c r="I419" s="304">
        <f t="shared" ca="1" si="187"/>
        <v>135.72275195852731</v>
      </c>
      <c r="J419" s="306">
        <f t="shared" ca="1" si="188"/>
        <v>164.7679340259499</v>
      </c>
      <c r="K419" s="307">
        <f t="shared" ca="1" si="189"/>
        <v>690.34830482713278</v>
      </c>
      <c r="L419" s="304">
        <f t="shared" ca="1" si="174"/>
        <v>709.73886328767117</v>
      </c>
      <c r="M419" s="306">
        <f t="shared" ca="1" si="190"/>
        <v>1.3005074588282048</v>
      </c>
      <c r="N419" s="304">
        <f t="shared" ca="1" si="191"/>
        <v>74.513588616139813</v>
      </c>
      <c r="P419" s="310">
        <f t="shared" ca="1" si="192"/>
        <v>23</v>
      </c>
      <c r="Q419" s="304">
        <f t="shared" ca="1" si="193"/>
        <v>0</v>
      </c>
      <c r="R419" s="306">
        <f t="shared" ca="1" si="194"/>
        <v>0</v>
      </c>
      <c r="S419" s="307">
        <f t="shared" ca="1" si="195"/>
        <v>8.1379999999999981</v>
      </c>
      <c r="T419" s="304">
        <f t="shared" ca="1" si="175"/>
        <v>79.83377999999999</v>
      </c>
      <c r="U419" s="311">
        <f t="shared" ca="1" si="176"/>
        <v>0</v>
      </c>
      <c r="V419" s="306">
        <f t="shared" ca="1" si="177"/>
        <v>1.1432539935090471</v>
      </c>
      <c r="W419" s="304">
        <f t="shared" ca="1" si="178"/>
        <v>69.563539850209395</v>
      </c>
      <c r="Y419" s="314" t="str">
        <f t="shared" ca="1" si="196"/>
        <v/>
      </c>
      <c r="Z419" s="315" t="str">
        <f t="shared" ca="1" si="197"/>
        <v/>
      </c>
      <c r="AA419" s="316" t="str">
        <f t="shared" ca="1" si="198"/>
        <v/>
      </c>
      <c r="AC419" s="310" t="e">
        <f t="shared" ca="1" si="199"/>
        <v>#N/A</v>
      </c>
      <c r="AD419" s="323" t="e">
        <f t="shared" ca="1" si="200"/>
        <v>#N/A</v>
      </c>
      <c r="AE419" s="324">
        <f t="shared" ca="1" si="179"/>
        <v>690.34830482713278</v>
      </c>
      <c r="AG419" s="306">
        <f t="shared" ca="1" si="201"/>
        <v>-18.249806069721629</v>
      </c>
      <c r="AH419" s="304">
        <f t="shared" ca="1" si="202"/>
        <v>-8.7909669568194158</v>
      </c>
    </row>
    <row r="420" spans="1:34" x14ac:dyDescent="0.2">
      <c r="A420" s="347">
        <f t="shared" ca="1" si="180"/>
        <v>0.1</v>
      </c>
      <c r="B420" s="304">
        <f t="shared" ca="1" si="181"/>
        <v>5.5999999999999535</v>
      </c>
      <c r="D420" s="306">
        <f t="shared" ca="1" si="182"/>
        <v>-2.2823972495844123</v>
      </c>
      <c r="E420" s="307">
        <f t="shared" ca="1" si="183"/>
        <v>-18.047644688655005</v>
      </c>
      <c r="F420" s="304">
        <f t="shared" ca="1" si="184"/>
        <v>18.191394009609262</v>
      </c>
      <c r="G420" s="306">
        <f t="shared" ca="1" si="185"/>
        <v>36.011068944134287</v>
      </c>
      <c r="H420" s="307">
        <f t="shared" ca="1" si="186"/>
        <v>128.99041092526801</v>
      </c>
      <c r="I420" s="304">
        <f t="shared" ca="1" si="187"/>
        <v>133.92282552712473</v>
      </c>
      <c r="J420" s="306">
        <f t="shared" ca="1" si="188"/>
        <v>168.38045290661125</v>
      </c>
      <c r="K420" s="307">
        <f t="shared" ca="1" si="189"/>
        <v>703.33758414310284</v>
      </c>
      <c r="L420" s="304">
        <f t="shared" ca="1" si="174"/>
        <v>723.21209488592751</v>
      </c>
      <c r="M420" s="306">
        <f t="shared" ca="1" si="190"/>
        <v>1.2985515800798624</v>
      </c>
      <c r="N420" s="304">
        <f t="shared" ca="1" si="191"/>
        <v>74.401525018620461</v>
      </c>
      <c r="P420" s="310">
        <f t="shared" ca="1" si="192"/>
        <v>23</v>
      </c>
      <c r="Q420" s="304">
        <f t="shared" ca="1" si="193"/>
        <v>0</v>
      </c>
      <c r="R420" s="306">
        <f t="shared" ca="1" si="194"/>
        <v>0</v>
      </c>
      <c r="S420" s="307">
        <f t="shared" ca="1" si="195"/>
        <v>8.1379999999999981</v>
      </c>
      <c r="T420" s="304">
        <f t="shared" ca="1" si="175"/>
        <v>79.83377999999999</v>
      </c>
      <c r="U420" s="311">
        <f t="shared" ca="1" si="176"/>
        <v>0</v>
      </c>
      <c r="V420" s="306">
        <f t="shared" ca="1" si="177"/>
        <v>1.1417681503454593</v>
      </c>
      <c r="W420" s="304">
        <f t="shared" ca="1" si="178"/>
        <v>67.642673452697153</v>
      </c>
      <c r="Y420" s="314" t="str">
        <f t="shared" ca="1" si="196"/>
        <v/>
      </c>
      <c r="Z420" s="315" t="str">
        <f t="shared" ca="1" si="197"/>
        <v/>
      </c>
      <c r="AA420" s="316" t="str">
        <f t="shared" ca="1" si="198"/>
        <v/>
      </c>
      <c r="AC420" s="310" t="e">
        <f t="shared" ca="1" si="199"/>
        <v>#N/A</v>
      </c>
      <c r="AD420" s="323" t="e">
        <f t="shared" ca="1" si="200"/>
        <v>#N/A</v>
      </c>
      <c r="AE420" s="324">
        <f t="shared" ca="1" si="179"/>
        <v>703.33758414310284</v>
      </c>
      <c r="AG420" s="306">
        <f t="shared" ca="1" si="201"/>
        <v>-18.00182589639352</v>
      </c>
      <c r="AH420" s="304">
        <f t="shared" ca="1" si="202"/>
        <v>-8.5479896596472607</v>
      </c>
    </row>
    <row r="421" spans="1:34" x14ac:dyDescent="0.2">
      <c r="A421" s="347">
        <f t="shared" ca="1" si="180"/>
        <v>0.1</v>
      </c>
      <c r="B421" s="304">
        <f t="shared" ca="1" si="181"/>
        <v>5.6999999999999531</v>
      </c>
      <c r="D421" s="306">
        <f t="shared" ca="1" si="182"/>
        <v>-2.2350358207720964</v>
      </c>
      <c r="E421" s="307">
        <f t="shared" ca="1" si="183"/>
        <v>-17.815821471207574</v>
      </c>
      <c r="F421" s="304">
        <f t="shared" ca="1" si="184"/>
        <v>17.955469356551927</v>
      </c>
      <c r="G421" s="306">
        <f t="shared" ca="1" si="185"/>
        <v>35.78756536205708</v>
      </c>
      <c r="H421" s="307">
        <f t="shared" ca="1" si="186"/>
        <v>127.20882877814725</v>
      </c>
      <c r="I421" s="304">
        <f t="shared" ca="1" si="187"/>
        <v>132.14702400603463</v>
      </c>
      <c r="J421" s="306">
        <f t="shared" ca="1" si="188"/>
        <v>171.97038462192083</v>
      </c>
      <c r="K421" s="307">
        <f t="shared" ca="1" si="189"/>
        <v>716.14754612827358</v>
      </c>
      <c r="L421" s="304">
        <f t="shared" ca="1" si="174"/>
        <v>736.50602238716215</v>
      </c>
      <c r="M421" s="306">
        <f t="shared" ca="1" si="190"/>
        <v>1.2965554294130432</v>
      </c>
      <c r="N421" s="304">
        <f t="shared" ca="1" si="191"/>
        <v>74.287154010139503</v>
      </c>
      <c r="P421" s="310">
        <f t="shared" ca="1" si="192"/>
        <v>23</v>
      </c>
      <c r="Q421" s="304">
        <f t="shared" ca="1" si="193"/>
        <v>0</v>
      </c>
      <c r="R421" s="306">
        <f t="shared" ca="1" si="194"/>
        <v>0</v>
      </c>
      <c r="S421" s="307">
        <f t="shared" ca="1" si="195"/>
        <v>8.1379999999999981</v>
      </c>
      <c r="T421" s="304">
        <f t="shared" ca="1" si="175"/>
        <v>79.83377999999999</v>
      </c>
      <c r="U421" s="311">
        <f t="shared" ca="1" si="176"/>
        <v>0</v>
      </c>
      <c r="V421" s="306">
        <f t="shared" ca="1" si="177"/>
        <v>1.1403046441618829</v>
      </c>
      <c r="W421" s="304">
        <f t="shared" ca="1" si="178"/>
        <v>65.776278760753755</v>
      </c>
      <c r="Y421" s="314" t="str">
        <f t="shared" ca="1" si="196"/>
        <v/>
      </c>
      <c r="Z421" s="315" t="str">
        <f t="shared" ca="1" si="197"/>
        <v/>
      </c>
      <c r="AA421" s="316" t="str">
        <f t="shared" ca="1" si="198"/>
        <v/>
      </c>
      <c r="AC421" s="310" t="e">
        <f t="shared" ca="1" si="199"/>
        <v>#N/A</v>
      </c>
      <c r="AD421" s="323" t="e">
        <f t="shared" ca="1" si="200"/>
        <v>#N/A</v>
      </c>
      <c r="AE421" s="324">
        <f t="shared" ca="1" si="179"/>
        <v>716.14754612827358</v>
      </c>
      <c r="AG421" s="306">
        <f t="shared" ca="1" si="201"/>
        <v>-17.760647986738888</v>
      </c>
      <c r="AH421" s="304">
        <f t="shared" ca="1" si="202"/>
        <v>-8.3119529924670896</v>
      </c>
    </row>
    <row r="422" spans="1:34" x14ac:dyDescent="0.2">
      <c r="A422" s="347">
        <f t="shared" ca="1" si="180"/>
        <v>0.1</v>
      </c>
      <c r="B422" s="304">
        <f t="shared" ca="1" si="181"/>
        <v>5.7999999999999527</v>
      </c>
      <c r="D422" s="306">
        <f t="shared" ca="1" si="182"/>
        <v>-2.188902320014015</v>
      </c>
      <c r="E422" s="307">
        <f t="shared" ca="1" si="183"/>
        <v>-17.590571201805467</v>
      </c>
      <c r="F422" s="304">
        <f t="shared" ca="1" si="184"/>
        <v>17.726237293129937</v>
      </c>
      <c r="G422" s="306">
        <f t="shared" ca="1" si="185"/>
        <v>35.568675130055681</v>
      </c>
      <c r="H422" s="307">
        <f t="shared" ca="1" si="186"/>
        <v>125.44977165796671</v>
      </c>
      <c r="I422" s="304">
        <f t="shared" ca="1" si="187"/>
        <v>130.39469260496543</v>
      </c>
      <c r="J422" s="306">
        <f t="shared" ca="1" si="188"/>
        <v>175.53819664652647</v>
      </c>
      <c r="K422" s="307">
        <f t="shared" ca="1" si="189"/>
        <v>728.78047615007927</v>
      </c>
      <c r="L422" s="304">
        <f t="shared" ca="1" si="174"/>
        <v>749.62299917988821</v>
      </c>
      <c r="M422" s="306">
        <f t="shared" ca="1" si="190"/>
        <v>1.2945179925473722</v>
      </c>
      <c r="N422" s="304">
        <f t="shared" ca="1" si="191"/>
        <v>74.170417476712188</v>
      </c>
      <c r="P422" s="310">
        <f t="shared" ca="1" si="192"/>
        <v>23</v>
      </c>
      <c r="Q422" s="304">
        <f t="shared" ca="1" si="193"/>
        <v>0</v>
      </c>
      <c r="R422" s="306">
        <f t="shared" ca="1" si="194"/>
        <v>0</v>
      </c>
      <c r="S422" s="307">
        <f t="shared" ca="1" si="195"/>
        <v>8.1379999999999981</v>
      </c>
      <c r="T422" s="304">
        <f t="shared" ca="1" si="175"/>
        <v>79.83377999999999</v>
      </c>
      <c r="U422" s="311">
        <f t="shared" ca="1" si="176"/>
        <v>0</v>
      </c>
      <c r="V422" s="306">
        <f t="shared" ca="1" si="177"/>
        <v>1.1388631349479506</v>
      </c>
      <c r="W422" s="304">
        <f t="shared" ca="1" si="178"/>
        <v>63.962436293539838</v>
      </c>
      <c r="Y422" s="314" t="str">
        <f t="shared" ca="1" si="196"/>
        <v/>
      </c>
      <c r="Z422" s="315" t="str">
        <f t="shared" ca="1" si="197"/>
        <v/>
      </c>
      <c r="AA422" s="316" t="str">
        <f t="shared" ca="1" si="198"/>
        <v/>
      </c>
      <c r="AC422" s="310" t="e">
        <f t="shared" ca="1" si="199"/>
        <v>#N/A</v>
      </c>
      <c r="AD422" s="323" t="e">
        <f t="shared" ca="1" si="200"/>
        <v>#N/A</v>
      </c>
      <c r="AE422" s="324">
        <f t="shared" ca="1" si="179"/>
        <v>728.78047615007927</v>
      </c>
      <c r="AG422" s="306">
        <f t="shared" ca="1" si="201"/>
        <v>-17.526020448732744</v>
      </c>
      <c r="AH422" s="304">
        <f t="shared" ca="1" si="202"/>
        <v>-8.0826098256025762</v>
      </c>
    </row>
    <row r="423" spans="1:34" x14ac:dyDescent="0.2">
      <c r="A423" s="347">
        <f t="shared" ca="1" si="180"/>
        <v>0.1</v>
      </c>
      <c r="B423" s="304">
        <f t="shared" ca="1" si="181"/>
        <v>5.8999999999999524</v>
      </c>
      <c r="D423" s="306">
        <f t="shared" ca="1" si="182"/>
        <v>-2.1439521378666031</v>
      </c>
      <c r="E423" s="307">
        <f t="shared" ca="1" si="183"/>
        <v>-17.371662197355896</v>
      </c>
      <c r="F423" s="304">
        <f t="shared" ca="1" si="184"/>
        <v>17.503461893822795</v>
      </c>
      <c r="G423" s="306">
        <f t="shared" ca="1" si="185"/>
        <v>35.354279916269022</v>
      </c>
      <c r="H423" s="307">
        <f t="shared" ca="1" si="186"/>
        <v>123.71260543823112</v>
      </c>
      <c r="I423" s="304">
        <f t="shared" ca="1" si="187"/>
        <v>128.66520062827149</v>
      </c>
      <c r="J423" s="306">
        <f t="shared" ca="1" si="188"/>
        <v>179.08434439884272</v>
      </c>
      <c r="K423" s="307">
        <f t="shared" ca="1" si="189"/>
        <v>741.23859500488913</v>
      </c>
      <c r="L423" s="304">
        <f t="shared" ca="1" si="174"/>
        <v>762.56531335590228</v>
      </c>
      <c r="M423" s="306">
        <f t="shared" ca="1" si="190"/>
        <v>1.2924382192742343</v>
      </c>
      <c r="N423" s="304">
        <f t="shared" ca="1" si="191"/>
        <v>74.051255245817273</v>
      </c>
      <c r="P423" s="310">
        <f t="shared" ca="1" si="192"/>
        <v>23</v>
      </c>
      <c r="Q423" s="304">
        <f t="shared" ca="1" si="193"/>
        <v>0</v>
      </c>
      <c r="R423" s="306">
        <f t="shared" ca="1" si="194"/>
        <v>0</v>
      </c>
      <c r="S423" s="307">
        <f t="shared" ca="1" si="195"/>
        <v>8.1379999999999981</v>
      </c>
      <c r="T423" s="304">
        <f t="shared" ca="1" si="175"/>
        <v>79.83377999999999</v>
      </c>
      <c r="U423" s="311">
        <f t="shared" ca="1" si="176"/>
        <v>0</v>
      </c>
      <c r="V423" s="306">
        <f t="shared" ca="1" si="177"/>
        <v>1.13744329264891</v>
      </c>
      <c r="W423" s="304">
        <f t="shared" ca="1" si="178"/>
        <v>62.199313274383073</v>
      </c>
      <c r="Y423" s="314" t="str">
        <f t="shared" ca="1" si="196"/>
        <v/>
      </c>
      <c r="Z423" s="315" t="str">
        <f t="shared" ca="1" si="197"/>
        <v/>
      </c>
      <c r="AA423" s="316" t="str">
        <f t="shared" ca="1" si="198"/>
        <v/>
      </c>
      <c r="AC423" s="310" t="e">
        <f t="shared" ca="1" si="199"/>
        <v>#N/A</v>
      </c>
      <c r="AD423" s="323" t="e">
        <f t="shared" ca="1" si="200"/>
        <v>#N/A</v>
      </c>
      <c r="AE423" s="324">
        <f t="shared" ca="1" si="179"/>
        <v>741.23859500488913</v>
      </c>
      <c r="AG423" s="306">
        <f t="shared" ca="1" si="201"/>
        <v>-17.297702444814878</v>
      </c>
      <c r="AH423" s="304">
        <f t="shared" ca="1" si="202"/>
        <v>-7.8597242926443665</v>
      </c>
    </row>
    <row r="424" spans="1:34" x14ac:dyDescent="0.2">
      <c r="A424" s="347">
        <f t="shared" ca="1" si="180"/>
        <v>0.1</v>
      </c>
      <c r="B424" s="304">
        <f t="shared" ca="1" si="181"/>
        <v>5.999999999999952</v>
      </c>
      <c r="D424" s="306">
        <f t="shared" ca="1" si="182"/>
        <v>-2.1001426698779158</v>
      </c>
      <c r="E424" s="307">
        <f t="shared" ca="1" si="183"/>
        <v>-17.158873236788537</v>
      </c>
      <c r="F424" s="304">
        <f t="shared" ca="1" si="184"/>
        <v>17.286917885789236</v>
      </c>
      <c r="G424" s="306">
        <f t="shared" ca="1" si="185"/>
        <v>35.14426564928123</v>
      </c>
      <c r="H424" s="307">
        <f t="shared" ca="1" si="186"/>
        <v>121.99671811455227</v>
      </c>
      <c r="I424" s="304">
        <f t="shared" ca="1" si="187"/>
        <v>126.95794043205322</v>
      </c>
      <c r="J424" s="306">
        <f t="shared" ca="1" si="188"/>
        <v>182.60927167712023</v>
      </c>
      <c r="K424" s="307">
        <f t="shared" ca="1" si="189"/>
        <v>753.52406118252827</v>
      </c>
      <c r="L424" s="304">
        <f t="shared" ca="1" si="174"/>
        <v>775.33519002007063</v>
      </c>
      <c r="M424" s="306">
        <f t="shared" ca="1" si="190"/>
        <v>1.2903150219423529</v>
      </c>
      <c r="N424" s="304">
        <f t="shared" ca="1" si="191"/>
        <v>73.929604999627031</v>
      </c>
      <c r="P424" s="310">
        <f t="shared" ca="1" si="192"/>
        <v>23</v>
      </c>
      <c r="Q424" s="304">
        <f t="shared" ca="1" si="193"/>
        <v>0</v>
      </c>
      <c r="R424" s="306">
        <f t="shared" ca="1" si="194"/>
        <v>0</v>
      </c>
      <c r="S424" s="307">
        <f t="shared" ca="1" si="195"/>
        <v>8.1379999999999981</v>
      </c>
      <c r="T424" s="304">
        <f t="shared" ca="1" si="175"/>
        <v>79.83377999999999</v>
      </c>
      <c r="U424" s="311">
        <f t="shared" ca="1" si="176"/>
        <v>0</v>
      </c>
      <c r="V424" s="306">
        <f t="shared" ca="1" si="177"/>
        <v>1.1360447968039216</v>
      </c>
      <c r="W424" s="304">
        <f t="shared" ca="1" si="178"/>
        <v>60.485158986417545</v>
      </c>
      <c r="Y424" s="314" t="str">
        <f t="shared" ca="1" si="196"/>
        <v/>
      </c>
      <c r="Z424" s="315" t="str">
        <f t="shared" ca="1" si="197"/>
        <v/>
      </c>
      <c r="AA424" s="316" t="str">
        <f t="shared" ca="1" si="198"/>
        <v/>
      </c>
      <c r="AC424" s="310">
        <f t="shared" ca="1" si="199"/>
        <v>5.999999999999952</v>
      </c>
      <c r="AD424" s="323">
        <f t="shared" ca="1" si="200"/>
        <v>182.60927167712023</v>
      </c>
      <c r="AE424" s="324">
        <f t="shared" ca="1" si="179"/>
        <v>753.52406118252827</v>
      </c>
      <c r="AG424" s="306">
        <f t="shared" ca="1" si="201"/>
        <v>-17.075463572079951</v>
      </c>
      <c r="AH424" s="304">
        <f t="shared" ca="1" si="202"/>
        <v>-7.643071181418418</v>
      </c>
    </row>
    <row r="425" spans="1:34" x14ac:dyDescent="0.2">
      <c r="A425" s="347">
        <f t="shared" ca="1" si="180"/>
        <v>0.1</v>
      </c>
      <c r="B425" s="304">
        <f t="shared" ca="1" si="181"/>
        <v>6.0999999999999517</v>
      </c>
      <c r="D425" s="306">
        <f t="shared" ca="1" si="182"/>
        <v>-2.057433209293547</v>
      </c>
      <c r="E425" s="307">
        <f t="shared" ca="1" si="183"/>
        <v>-16.951993000466551</v>
      </c>
      <c r="F425" s="304">
        <f t="shared" ca="1" si="184"/>
        <v>17.07639007807478</v>
      </c>
      <c r="G425" s="306">
        <f t="shared" ca="1" si="185"/>
        <v>34.938522328351873</v>
      </c>
      <c r="H425" s="307">
        <f t="shared" ca="1" si="186"/>
        <v>120.30151881450561</v>
      </c>
      <c r="I425" s="304">
        <f t="shared" ca="1" si="187"/>
        <v>125.27232643950376</v>
      </c>
      <c r="J425" s="306">
        <f t="shared" ca="1" si="188"/>
        <v>186.11341107600188</v>
      </c>
      <c r="K425" s="307">
        <f t="shared" ca="1" si="189"/>
        <v>765.63897302898113</v>
      </c>
      <c r="L425" s="304">
        <f t="shared" ca="1" si="174"/>
        <v>787.93479349703659</v>
      </c>
      <c r="M425" s="306">
        <f t="shared" ca="1" si="190"/>
        <v>1.2881472738672886</v>
      </c>
      <c r="N425" s="304">
        <f t="shared" ca="1" si="191"/>
        <v>73.805402183878229</v>
      </c>
      <c r="P425" s="310">
        <f t="shared" ca="1" si="192"/>
        <v>23</v>
      </c>
      <c r="Q425" s="304">
        <f t="shared" ca="1" si="193"/>
        <v>0</v>
      </c>
      <c r="R425" s="306">
        <f t="shared" ca="1" si="194"/>
        <v>0</v>
      </c>
      <c r="S425" s="307">
        <f t="shared" ca="1" si="195"/>
        <v>8.1379999999999981</v>
      </c>
      <c r="T425" s="304">
        <f t="shared" ca="1" si="175"/>
        <v>79.83377999999999</v>
      </c>
      <c r="U425" s="311">
        <f t="shared" ca="1" si="176"/>
        <v>0</v>
      </c>
      <c r="V425" s="306">
        <f t="shared" ca="1" si="177"/>
        <v>1.1346673362010498</v>
      </c>
      <c r="W425" s="304">
        <f t="shared" ca="1" si="178"/>
        <v>58.818300417877062</v>
      </c>
      <c r="Y425" s="314" t="str">
        <f t="shared" ca="1" si="196"/>
        <v/>
      </c>
      <c r="Z425" s="315" t="str">
        <f t="shared" ca="1" si="197"/>
        <v/>
      </c>
      <c r="AA425" s="316" t="str">
        <f t="shared" ca="1" si="198"/>
        <v/>
      </c>
      <c r="AC425" s="310" t="e">
        <f t="shared" ca="1" si="199"/>
        <v>#N/A</v>
      </c>
      <c r="AD425" s="323" t="e">
        <f t="shared" ca="1" si="200"/>
        <v>#N/A</v>
      </c>
      <c r="AE425" s="324">
        <f t="shared" ca="1" si="179"/>
        <v>765.63897302898113</v>
      </c>
      <c r="AG425" s="306">
        <f t="shared" ca="1" si="201"/>
        <v>-16.859083280154241</v>
      </c>
      <c r="AH425" s="304">
        <f t="shared" ca="1" si="202"/>
        <v>-7.4324353632855198</v>
      </c>
    </row>
    <row r="426" spans="1:34" x14ac:dyDescent="0.2">
      <c r="A426" s="347">
        <f t="shared" ca="1" si="180"/>
        <v>0.1</v>
      </c>
      <c r="B426" s="304">
        <f t="shared" ca="1" si="181"/>
        <v>6.1999999999999513</v>
      </c>
      <c r="D426" s="306">
        <f t="shared" ca="1" si="182"/>
        <v>-2.0157848464752526</v>
      </c>
      <c r="E426" s="307">
        <f t="shared" ca="1" si="183"/>
        <v>-16.750819544547614</v>
      </c>
      <c r="F426" s="304">
        <f t="shared" ca="1" si="184"/>
        <v>16.871672826405732</v>
      </c>
      <c r="G426" s="306">
        <f t="shared" ca="1" si="185"/>
        <v>34.736943843704346</v>
      </c>
      <c r="H426" s="307">
        <f t="shared" ca="1" si="186"/>
        <v>118.62643686005084</v>
      </c>
      <c r="I426" s="304">
        <f t="shared" ca="1" si="187"/>
        <v>123.60779421101364</v>
      </c>
      <c r="J426" s="306">
        <f t="shared" ca="1" si="188"/>
        <v>189.5971843846047</v>
      </c>
      <c r="K426" s="307">
        <f t="shared" ca="1" si="189"/>
        <v>777.5853708127089</v>
      </c>
      <c r="L426" s="304">
        <f t="shared" ca="1" si="174"/>
        <v>800.36622944031558</v>
      </c>
      <c r="M426" s="306">
        <f t="shared" ca="1" si="190"/>
        <v>1.2859338076605602</v>
      </c>
      <c r="N426" s="304">
        <f t="shared" ca="1" si="191"/>
        <v>73.678579912137863</v>
      </c>
      <c r="P426" s="310">
        <f t="shared" ca="1" si="192"/>
        <v>23</v>
      </c>
      <c r="Q426" s="304">
        <f t="shared" ca="1" si="193"/>
        <v>0</v>
      </c>
      <c r="R426" s="306">
        <f t="shared" ca="1" si="194"/>
        <v>0</v>
      </c>
      <c r="S426" s="307">
        <f t="shared" ca="1" si="195"/>
        <v>8.1379999999999981</v>
      </c>
      <c r="T426" s="304">
        <f t="shared" ca="1" si="175"/>
        <v>79.83377999999999</v>
      </c>
      <c r="U426" s="311">
        <f t="shared" ca="1" si="176"/>
        <v>0</v>
      </c>
      <c r="V426" s="306">
        <f t="shared" ca="1" si="177"/>
        <v>1.1333106085480316</v>
      </c>
      <c r="W426" s="304">
        <f t="shared" ca="1" si="178"/>
        <v>57.19713817653561</v>
      </c>
      <c r="Y426" s="314" t="str">
        <f t="shared" ca="1" si="196"/>
        <v/>
      </c>
      <c r="Z426" s="315" t="str">
        <f t="shared" ca="1" si="197"/>
        <v/>
      </c>
      <c r="AA426" s="316" t="str">
        <f t="shared" ca="1" si="198"/>
        <v/>
      </c>
      <c r="AC426" s="310" t="e">
        <f t="shared" ca="1" si="199"/>
        <v>#N/A</v>
      </c>
      <c r="AD426" s="323" t="e">
        <f t="shared" ca="1" si="200"/>
        <v>#N/A</v>
      </c>
      <c r="AE426" s="324">
        <f t="shared" ca="1" si="179"/>
        <v>777.5853708127089</v>
      </c>
      <c r="AG426" s="306">
        <f t="shared" ca="1" si="201"/>
        <v>-16.648350323977379</v>
      </c>
      <c r="AH426" s="304">
        <f t="shared" ca="1" si="202"/>
        <v>-7.2276112580335559</v>
      </c>
    </row>
    <row r="427" spans="1:34" x14ac:dyDescent="0.2">
      <c r="A427" s="347">
        <f t="shared" ca="1" si="180"/>
        <v>0.1</v>
      </c>
      <c r="B427" s="304">
        <f t="shared" ca="1" si="181"/>
        <v>6.299999999999951</v>
      </c>
      <c r="D427" s="306">
        <f t="shared" ca="1" si="182"/>
        <v>-1.97516037455853</v>
      </c>
      <c r="E427" s="307">
        <f t="shared" ca="1" si="183"/>
        <v>-16.555159807819621</v>
      </c>
      <c r="F427" s="304">
        <f t="shared" ca="1" si="184"/>
        <v>16.672569531049266</v>
      </c>
      <c r="G427" s="306">
        <f t="shared" ca="1" si="185"/>
        <v>34.53942780624849</v>
      </c>
      <c r="H427" s="307">
        <f t="shared" ca="1" si="186"/>
        <v>116.97092087926889</v>
      </c>
      <c r="I427" s="304">
        <f t="shared" ca="1" si="187"/>
        <v>121.96379956580245</v>
      </c>
      <c r="J427" s="306">
        <f t="shared" ca="1" si="188"/>
        <v>193.06100296710235</v>
      </c>
      <c r="K427" s="307">
        <f t="shared" ca="1" si="189"/>
        <v>789.36523869967493</v>
      </c>
      <c r="L427" s="304">
        <f t="shared" ca="1" si="174"/>
        <v>812.63154684891367</v>
      </c>
      <c r="M427" s="306">
        <f t="shared" ca="1" si="190"/>
        <v>1.2836734134738201</v>
      </c>
      <c r="N427" s="304">
        <f t="shared" ca="1" si="191"/>
        <v>73.549068865201761</v>
      </c>
      <c r="P427" s="310">
        <f t="shared" ca="1" si="192"/>
        <v>23</v>
      </c>
      <c r="Q427" s="304">
        <f t="shared" ca="1" si="193"/>
        <v>0</v>
      </c>
      <c r="R427" s="306">
        <f t="shared" ca="1" si="194"/>
        <v>0</v>
      </c>
      <c r="S427" s="307">
        <f t="shared" ca="1" si="195"/>
        <v>8.1379999999999981</v>
      </c>
      <c r="T427" s="304">
        <f t="shared" ca="1" si="175"/>
        <v>79.83377999999999</v>
      </c>
      <c r="U427" s="311">
        <f t="shared" ca="1" si="176"/>
        <v>0</v>
      </c>
      <c r="V427" s="306">
        <f t="shared" ca="1" si="177"/>
        <v>1.1319743201579748</v>
      </c>
      <c r="W427" s="304">
        <f t="shared" ca="1" si="178"/>
        <v>55.620142654413321</v>
      </c>
      <c r="Y427" s="314" t="str">
        <f t="shared" ca="1" si="196"/>
        <v/>
      </c>
      <c r="Z427" s="315" t="str">
        <f t="shared" ca="1" si="197"/>
        <v/>
      </c>
      <c r="AA427" s="316" t="str">
        <f t="shared" ca="1" si="198"/>
        <v/>
      </c>
      <c r="AC427" s="310" t="e">
        <f t="shared" ca="1" si="199"/>
        <v>#N/A</v>
      </c>
      <c r="AD427" s="323" t="e">
        <f t="shared" ca="1" si="200"/>
        <v>#N/A</v>
      </c>
      <c r="AE427" s="324">
        <f t="shared" ca="1" si="179"/>
        <v>789.36523869967493</v>
      </c>
      <c r="AG427" s="306">
        <f t="shared" ca="1" si="201"/>
        <v>-16.443062248922629</v>
      </c>
      <c r="AH427" s="304">
        <f t="shared" ca="1" si="202"/>
        <v>-7.0284023318426669</v>
      </c>
    </row>
    <row r="428" spans="1:34" x14ac:dyDescent="0.2">
      <c r="A428" s="347">
        <f t="shared" ca="1" si="180"/>
        <v>0.1</v>
      </c>
      <c r="B428" s="304">
        <f t="shared" ca="1" si="181"/>
        <v>6.3999999999999506</v>
      </c>
      <c r="D428" s="306">
        <f t="shared" ca="1" si="182"/>
        <v>-1.9355242009131508</v>
      </c>
      <c r="E428" s="307">
        <f t="shared" ca="1" si="183"/>
        <v>-16.364829148732003</v>
      </c>
      <c r="F428" s="304">
        <f t="shared" ca="1" si="184"/>
        <v>16.47889216541904</v>
      </c>
      <c r="G428" s="306">
        <f t="shared" ca="1" si="185"/>
        <v>34.345875386157175</v>
      </c>
      <c r="H428" s="307">
        <f t="shared" ca="1" si="186"/>
        <v>115.33443796439569</v>
      </c>
      <c r="I428" s="304">
        <f t="shared" ca="1" si="187"/>
        <v>120.33981775208269</v>
      </c>
      <c r="J428" s="306">
        <f t="shared" ca="1" si="188"/>
        <v>196.50526812672263</v>
      </c>
      <c r="K428" s="307">
        <f t="shared" ca="1" si="189"/>
        <v>800.98050664185814</v>
      </c>
      <c r="L428" s="304">
        <f t="shared" ca="1" si="174"/>
        <v>824.73273999629896</v>
      </c>
      <c r="M428" s="306">
        <f t="shared" ca="1" si="190"/>
        <v>1.2813648371532338</v>
      </c>
      <c r="N428" s="304">
        <f t="shared" ca="1" si="191"/>
        <v>73.416797185348315</v>
      </c>
      <c r="P428" s="310">
        <f t="shared" ca="1" si="192"/>
        <v>23</v>
      </c>
      <c r="Q428" s="304">
        <f t="shared" ca="1" si="193"/>
        <v>0</v>
      </c>
      <c r="R428" s="306">
        <f t="shared" ca="1" si="194"/>
        <v>0</v>
      </c>
      <c r="S428" s="307">
        <f t="shared" ca="1" si="195"/>
        <v>8.1379999999999981</v>
      </c>
      <c r="T428" s="304">
        <f t="shared" ca="1" si="175"/>
        <v>79.83377999999999</v>
      </c>
      <c r="U428" s="311">
        <f t="shared" ca="1" si="176"/>
        <v>0</v>
      </c>
      <c r="V428" s="306">
        <f t="shared" ca="1" si="177"/>
        <v>1.1306581856491837</v>
      </c>
      <c r="W428" s="304">
        <f t="shared" ca="1" si="178"/>
        <v>54.08585042534596</v>
      </c>
      <c r="Y428" s="314" t="str">
        <f t="shared" ca="1" si="196"/>
        <v/>
      </c>
      <c r="Z428" s="315" t="str">
        <f t="shared" ca="1" si="197"/>
        <v/>
      </c>
      <c r="AA428" s="316" t="str">
        <f t="shared" ca="1" si="198"/>
        <v/>
      </c>
      <c r="AC428" s="310" t="e">
        <f t="shared" ca="1" si="199"/>
        <v>#N/A</v>
      </c>
      <c r="AD428" s="323" t="e">
        <f t="shared" ca="1" si="200"/>
        <v>#N/A</v>
      </c>
      <c r="AE428" s="324">
        <f t="shared" ca="1" si="179"/>
        <v>800.98050664185814</v>
      </c>
      <c r="AG428" s="306">
        <f t="shared" ca="1" si="201"/>
        <v>-16.243024905885619</v>
      </c>
      <c r="AH428" s="304">
        <f t="shared" ca="1" si="202"/>
        <v>-6.8346206260031135</v>
      </c>
    </row>
    <row r="429" spans="1:34" x14ac:dyDescent="0.2">
      <c r="A429" s="347">
        <f t="shared" ca="1" si="180"/>
        <v>0.1</v>
      </c>
      <c r="B429" s="304">
        <f t="shared" ca="1" si="181"/>
        <v>6.4999999999999503</v>
      </c>
      <c r="D429" s="306">
        <f t="shared" ca="1" si="182"/>
        <v>-1.8968422640048241</v>
      </c>
      <c r="E429" s="307">
        <f t="shared" ca="1" si="183"/>
        <v>-16.179650910521914</v>
      </c>
      <c r="F429" s="304">
        <f t="shared" ca="1" si="184"/>
        <v>16.290460833287302</v>
      </c>
      <c r="G429" s="306">
        <f t="shared" ca="1" si="185"/>
        <v>34.156191159756695</v>
      </c>
      <c r="H429" s="307">
        <f t="shared" ca="1" si="186"/>
        <v>113.71647287334349</v>
      </c>
      <c r="I429" s="304">
        <f t="shared" ca="1" si="187"/>
        <v>118.73534266298181</v>
      </c>
      <c r="J429" s="306">
        <f t="shared" ca="1" si="188"/>
        <v>199.93037145401831</v>
      </c>
      <c r="K429" s="307">
        <f t="shared" ca="1" si="189"/>
        <v>812.43305218374508</v>
      </c>
      <c r="L429" s="304">
        <f t="shared" ca="1" si="174"/>
        <v>836.67175027625831</v>
      </c>
      <c r="M429" s="306">
        <f t="shared" ca="1" si="190"/>
        <v>1.2790067782989052</v>
      </c>
      <c r="N429" s="304">
        <f t="shared" ca="1" si="191"/>
        <v>73.281690365151832</v>
      </c>
      <c r="P429" s="310">
        <f t="shared" ca="1" si="192"/>
        <v>23</v>
      </c>
      <c r="Q429" s="304">
        <f t="shared" ca="1" si="193"/>
        <v>0</v>
      </c>
      <c r="R429" s="306">
        <f t="shared" ca="1" si="194"/>
        <v>0</v>
      </c>
      <c r="S429" s="307">
        <f t="shared" ca="1" si="195"/>
        <v>8.1379999999999981</v>
      </c>
      <c r="T429" s="304">
        <f t="shared" ca="1" si="175"/>
        <v>79.83377999999999</v>
      </c>
      <c r="U429" s="311">
        <f t="shared" ca="1" si="176"/>
        <v>0</v>
      </c>
      <c r="V429" s="306">
        <f t="shared" ca="1" si="177"/>
        <v>1.1293619276583657</v>
      </c>
      <c r="W429" s="304">
        <f t="shared" ca="1" si="178"/>
        <v>52.592860859370624</v>
      </c>
      <c r="Y429" s="314" t="str">
        <f t="shared" ca="1" si="196"/>
        <v/>
      </c>
      <c r="Z429" s="315" t="str">
        <f t="shared" ca="1" si="197"/>
        <v/>
      </c>
      <c r="AA429" s="316" t="str">
        <f t="shared" ca="1" si="198"/>
        <v/>
      </c>
      <c r="AC429" s="310" t="e">
        <f t="shared" ca="1" si="199"/>
        <v>#N/A</v>
      </c>
      <c r="AD429" s="323" t="e">
        <f t="shared" ca="1" si="200"/>
        <v>#N/A</v>
      </c>
      <c r="AE429" s="324">
        <f t="shared" ca="1" si="179"/>
        <v>812.43305218374508</v>
      </c>
      <c r="AG429" s="306">
        <f t="shared" ca="1" si="201"/>
        <v>-16.048051994149304</v>
      </c>
      <c r="AH429" s="304">
        <f t="shared" ca="1" si="202"/>
        <v>-6.6460863142474773</v>
      </c>
    </row>
    <row r="430" spans="1:34" x14ac:dyDescent="0.2">
      <c r="A430" s="347">
        <f t="shared" ca="1" si="180"/>
        <v>0.1</v>
      </c>
      <c r="B430" s="304">
        <f t="shared" ca="1" si="181"/>
        <v>6.5999999999999499</v>
      </c>
      <c r="D430" s="306">
        <f t="shared" ca="1" si="182"/>
        <v>-1.8590819552876867</v>
      </c>
      <c r="E430" s="307">
        <f t="shared" ca="1" si="183"/>
        <v>-15.99945601249822</v>
      </c>
      <c r="F430" s="304">
        <f t="shared" ca="1" si="184"/>
        <v>16.107103352631153</v>
      </c>
      <c r="G430" s="306">
        <f t="shared" ca="1" si="185"/>
        <v>33.970282964227927</v>
      </c>
      <c r="H430" s="307">
        <f t="shared" ca="1" si="186"/>
        <v>112.11652727209366</v>
      </c>
      <c r="I430" s="304">
        <f t="shared" ca="1" si="187"/>
        <v>117.14988609565029</v>
      </c>
      <c r="J430" s="306">
        <f t="shared" ca="1" si="188"/>
        <v>203.33669516021754</v>
      </c>
      <c r="K430" s="307">
        <f t="shared" ca="1" si="189"/>
        <v>823.72470219101695</v>
      </c>
      <c r="L430" s="304">
        <f t="shared" ca="1" si="174"/>
        <v>848.45046796990971</v>
      </c>
      <c r="M430" s="306">
        <f t="shared" ca="1" si="190"/>
        <v>1.2765978882238702</v>
      </c>
      <c r="N430" s="304">
        <f t="shared" ca="1" si="191"/>
        <v>73.143671130541378</v>
      </c>
      <c r="P430" s="310">
        <f t="shared" ca="1" si="192"/>
        <v>23</v>
      </c>
      <c r="Q430" s="304">
        <f t="shared" ca="1" si="193"/>
        <v>0</v>
      </c>
      <c r="R430" s="306">
        <f t="shared" ca="1" si="194"/>
        <v>0</v>
      </c>
      <c r="S430" s="307">
        <f t="shared" ca="1" si="195"/>
        <v>8.1379999999999981</v>
      </c>
      <c r="T430" s="304">
        <f t="shared" ca="1" si="175"/>
        <v>79.83377999999999</v>
      </c>
      <c r="U430" s="311">
        <f t="shared" ca="1" si="176"/>
        <v>0</v>
      </c>
      <c r="V430" s="306">
        <f t="shared" ca="1" si="177"/>
        <v>1.1280852765665095</v>
      </c>
      <c r="W430" s="304">
        <f t="shared" ca="1" si="178"/>
        <v>51.139832939116346</v>
      </c>
      <c r="Y430" s="314" t="str">
        <f t="shared" ca="1" si="196"/>
        <v/>
      </c>
      <c r="Z430" s="315" t="str">
        <f t="shared" ca="1" si="197"/>
        <v/>
      </c>
      <c r="AA430" s="316" t="str">
        <f t="shared" ca="1" si="198"/>
        <v/>
      </c>
      <c r="AC430" s="310" t="e">
        <f t="shared" ca="1" si="199"/>
        <v>#N/A</v>
      </c>
      <c r="AD430" s="323" t="e">
        <f t="shared" ca="1" si="200"/>
        <v>#N/A</v>
      </c>
      <c r="AE430" s="324">
        <f t="shared" ca="1" si="179"/>
        <v>823.72470219101695</v>
      </c>
      <c r="AG430" s="306">
        <f t="shared" ca="1" si="201"/>
        <v>-15.857964629995546</v>
      </c>
      <c r="AH430" s="304">
        <f t="shared" ca="1" si="202"/>
        <v>-6.4626272867253176</v>
      </c>
    </row>
    <row r="431" spans="1:34" x14ac:dyDescent="0.2">
      <c r="A431" s="347">
        <f t="shared" ca="1" si="180"/>
        <v>0.1</v>
      </c>
      <c r="B431" s="304">
        <f t="shared" ca="1" si="181"/>
        <v>6.6999999999999496</v>
      </c>
      <c r="D431" s="306">
        <f t="shared" ca="1" si="182"/>
        <v>-1.8222120457858861</v>
      </c>
      <c r="E431" s="307">
        <f t="shared" ca="1" si="183"/>
        <v>-15.824082565695054</v>
      </c>
      <c r="F431" s="304">
        <f t="shared" ca="1" si="184"/>
        <v>15.928654864292255</v>
      </c>
      <c r="G431" s="306">
        <f t="shared" ca="1" si="185"/>
        <v>33.788061759649338</v>
      </c>
      <c r="H431" s="307">
        <f t="shared" ca="1" si="186"/>
        <v>110.53411901552415</v>
      </c>
      <c r="I431" s="304">
        <f t="shared" ca="1" si="187"/>
        <v>115.58297705117279</v>
      </c>
      <c r="J431" s="306">
        <f t="shared" ca="1" si="188"/>
        <v>206.7246123964114</v>
      </c>
      <c r="K431" s="307">
        <f t="shared" ca="1" si="189"/>
        <v>834.85723450539786</v>
      </c>
      <c r="L431" s="304">
        <f t="shared" ca="1" si="174"/>
        <v>860.07073393788221</v>
      </c>
      <c r="M431" s="306">
        <f t="shared" ca="1" si="190"/>
        <v>1.2741367678068274</v>
      </c>
      <c r="N431" s="304">
        <f t="shared" ca="1" si="191"/>
        <v>73.002659317771347</v>
      </c>
      <c r="P431" s="310">
        <f t="shared" ca="1" si="192"/>
        <v>23</v>
      </c>
      <c r="Q431" s="304">
        <f t="shared" ca="1" si="193"/>
        <v>0</v>
      </c>
      <c r="R431" s="306">
        <f t="shared" ca="1" si="194"/>
        <v>0</v>
      </c>
      <c r="S431" s="307">
        <f t="shared" ca="1" si="195"/>
        <v>8.1379999999999981</v>
      </c>
      <c r="T431" s="304">
        <f t="shared" ca="1" si="175"/>
        <v>79.83377999999999</v>
      </c>
      <c r="U431" s="311">
        <f t="shared" ca="1" si="176"/>
        <v>0</v>
      </c>
      <c r="V431" s="306">
        <f t="shared" ca="1" si="177"/>
        <v>1.1268279702367838</v>
      </c>
      <c r="W431" s="304">
        <f t="shared" ca="1" si="178"/>
        <v>49.725482264520579</v>
      </c>
      <c r="Y431" s="314" t="str">
        <f t="shared" ca="1" si="196"/>
        <v/>
      </c>
      <c r="Z431" s="315" t="str">
        <f t="shared" ca="1" si="197"/>
        <v/>
      </c>
      <c r="AA431" s="316" t="str">
        <f t="shared" ca="1" si="198"/>
        <v/>
      </c>
      <c r="AC431" s="310" t="e">
        <f t="shared" ca="1" si="199"/>
        <v>#N/A</v>
      </c>
      <c r="AD431" s="323" t="e">
        <f t="shared" ca="1" si="200"/>
        <v>#N/A</v>
      </c>
      <c r="AE431" s="324">
        <f t="shared" ca="1" si="179"/>
        <v>834.85723450539786</v>
      </c>
      <c r="AG431" s="306">
        <f t="shared" ca="1" si="201"/>
        <v>-15.672590939181063</v>
      </c>
      <c r="AH431" s="304">
        <f t="shared" ca="1" si="202"/>
        <v>-6.2840787588002405</v>
      </c>
    </row>
    <row r="432" spans="1:34" x14ac:dyDescent="0.2">
      <c r="A432" s="347">
        <f t="shared" ca="1" si="180"/>
        <v>0.1</v>
      </c>
      <c r="B432" s="304">
        <f t="shared" ca="1" si="181"/>
        <v>6.7999999999999492</v>
      </c>
      <c r="D432" s="306">
        <f t="shared" ca="1" si="182"/>
        <v>-1.7862026170488816</v>
      </c>
      <c r="E432" s="307">
        <f t="shared" ca="1" si="183"/>
        <v>-15.653375511243615</v>
      </c>
      <c r="F432" s="304">
        <f t="shared" ca="1" si="184"/>
        <v>15.754957463768461</v>
      </c>
      <c r="G432" s="306">
        <f t="shared" ca="1" si="185"/>
        <v>33.609441497944452</v>
      </c>
      <c r="H432" s="307">
        <f t="shared" ca="1" si="186"/>
        <v>108.9687814643998</v>
      </c>
      <c r="I432" s="304">
        <f t="shared" ca="1" si="187"/>
        <v>114.03416107307437</v>
      </c>
      <c r="J432" s="306">
        <f t="shared" ca="1" si="188"/>
        <v>210.09448755929108</v>
      </c>
      <c r="K432" s="307">
        <f t="shared" ca="1" si="189"/>
        <v>845.83237952939407</v>
      </c>
      <c r="L432" s="304">
        <f t="shared" ca="1" si="174"/>
        <v>871.53434124144417</v>
      </c>
      <c r="M432" s="306">
        <f t="shared" ca="1" si="190"/>
        <v>1.271621965232413</v>
      </c>
      <c r="N432" s="304">
        <f t="shared" ca="1" si="191"/>
        <v>72.858571743948772</v>
      </c>
      <c r="P432" s="310">
        <f t="shared" ca="1" si="192"/>
        <v>23</v>
      </c>
      <c r="Q432" s="304">
        <f t="shared" ca="1" si="193"/>
        <v>0</v>
      </c>
      <c r="R432" s="306">
        <f t="shared" ca="1" si="194"/>
        <v>0</v>
      </c>
      <c r="S432" s="307">
        <f t="shared" ca="1" si="195"/>
        <v>8.1379999999999981</v>
      </c>
      <c r="T432" s="304">
        <f t="shared" ca="1" si="175"/>
        <v>79.83377999999999</v>
      </c>
      <c r="U432" s="311">
        <f t="shared" ca="1" si="176"/>
        <v>0</v>
      </c>
      <c r="V432" s="306">
        <f t="shared" ca="1" si="177"/>
        <v>1.1255897537638264</v>
      </c>
      <c r="W432" s="304">
        <f t="shared" ca="1" si="178"/>
        <v>48.348578233228437</v>
      </c>
      <c r="Y432" s="314" t="str">
        <f t="shared" ca="1" si="196"/>
        <v/>
      </c>
      <c r="Z432" s="315" t="str">
        <f t="shared" ca="1" si="197"/>
        <v/>
      </c>
      <c r="AA432" s="316" t="str">
        <f t="shared" ca="1" si="198"/>
        <v/>
      </c>
      <c r="AC432" s="310" t="e">
        <f t="shared" ca="1" si="199"/>
        <v>#N/A</v>
      </c>
      <c r="AD432" s="323" t="e">
        <f t="shared" ca="1" si="200"/>
        <v>#N/A</v>
      </c>
      <c r="AE432" s="324">
        <f t="shared" ca="1" si="179"/>
        <v>845.83237952939407</v>
      </c>
      <c r="AG432" s="306">
        <f t="shared" ca="1" si="201"/>
        <v>-15.491765671529908</v>
      </c>
      <c r="AH432" s="304">
        <f t="shared" ca="1" si="202"/>
        <v>-6.1102829029885219</v>
      </c>
    </row>
    <row r="433" spans="1:34" x14ac:dyDescent="0.2">
      <c r="A433" s="347">
        <f t="shared" ca="1" si="180"/>
        <v>0.1</v>
      </c>
      <c r="B433" s="304">
        <f t="shared" ca="1" si="181"/>
        <v>6.8999999999999488</v>
      </c>
      <c r="D433" s="306">
        <f t="shared" ca="1" si="182"/>
        <v>-1.7510249961890612</v>
      </c>
      <c r="E433" s="307">
        <f t="shared" ca="1" si="183"/>
        <v>-15.487186279935566</v>
      </c>
      <c r="F433" s="304">
        <f t="shared" ca="1" si="184"/>
        <v>15.585859854583044</v>
      </c>
      <c r="G433" s="306">
        <f t="shared" ca="1" si="185"/>
        <v>33.434338998325543</v>
      </c>
      <c r="H433" s="307">
        <f t="shared" ca="1" si="186"/>
        <v>107.42006283640625</v>
      </c>
      <c r="I433" s="304">
        <f t="shared" ca="1" si="187"/>
        <v>112.50299962237636</v>
      </c>
      <c r="J433" s="306">
        <f t="shared" ca="1" si="188"/>
        <v>213.44667658410458</v>
      </c>
      <c r="K433" s="307">
        <f t="shared" ca="1" si="189"/>
        <v>856.65182174443441</v>
      </c>
      <c r="L433" s="304">
        <f t="shared" ca="1" si="174"/>
        <v>882.84303669613757</v>
      </c>
      <c r="M433" s="306">
        <f t="shared" ca="1" si="190"/>
        <v>1.2690519736124322</v>
      </c>
      <c r="N433" s="304">
        <f t="shared" ca="1" si="191"/>
        <v>72.711322070739882</v>
      </c>
      <c r="P433" s="310">
        <f t="shared" ca="1" si="192"/>
        <v>23</v>
      </c>
      <c r="Q433" s="304">
        <f t="shared" ca="1" si="193"/>
        <v>0</v>
      </c>
      <c r="R433" s="306">
        <f t="shared" ca="1" si="194"/>
        <v>0</v>
      </c>
      <c r="S433" s="307">
        <f t="shared" ca="1" si="195"/>
        <v>8.1379999999999981</v>
      </c>
      <c r="T433" s="304">
        <f t="shared" ca="1" si="175"/>
        <v>79.83377999999999</v>
      </c>
      <c r="U433" s="311">
        <f t="shared" ca="1" si="176"/>
        <v>0</v>
      </c>
      <c r="V433" s="306">
        <f t="shared" ca="1" si="177"/>
        <v>1.1243703792338458</v>
      </c>
      <c r="W433" s="304">
        <f t="shared" ca="1" si="178"/>
        <v>47.007941384981898</v>
      </c>
      <c r="Y433" s="314" t="str">
        <f t="shared" ca="1" si="196"/>
        <v/>
      </c>
      <c r="Z433" s="315" t="str">
        <f t="shared" ca="1" si="197"/>
        <v/>
      </c>
      <c r="AA433" s="316" t="str">
        <f t="shared" ca="1" si="198"/>
        <v/>
      </c>
      <c r="AC433" s="310" t="e">
        <f t="shared" ca="1" si="199"/>
        <v>#N/A</v>
      </c>
      <c r="AD433" s="323" t="e">
        <f t="shared" ca="1" si="200"/>
        <v>#N/A</v>
      </c>
      <c r="AE433" s="324">
        <f t="shared" ca="1" si="179"/>
        <v>856.65182174443441</v>
      </c>
      <c r="AG433" s="306">
        <f t="shared" ca="1" si="201"/>
        <v>-15.315329836016824</v>
      </c>
      <c r="AH433" s="304">
        <f t="shared" ca="1" si="202"/>
        <v>-5.9410885024856785</v>
      </c>
    </row>
    <row r="434" spans="1:34" x14ac:dyDescent="0.2">
      <c r="A434" s="347">
        <f t="shared" ca="1" si="180"/>
        <v>0.1</v>
      </c>
      <c r="B434" s="304">
        <f t="shared" ca="1" si="181"/>
        <v>6.9999999999999485</v>
      </c>
      <c r="D434" s="306">
        <f t="shared" ca="1" si="182"/>
        <v>-1.7166516947323889</v>
      </c>
      <c r="E434" s="307">
        <f t="shared" ca="1" si="183"/>
        <v>-15.325372471566189</v>
      </c>
      <c r="F434" s="304">
        <f t="shared" ca="1" si="184"/>
        <v>15.421217021793913</v>
      </c>
      <c r="G434" s="306">
        <f t="shared" ca="1" si="185"/>
        <v>33.262673828852307</v>
      </c>
      <c r="H434" s="307">
        <f t="shared" ca="1" si="186"/>
        <v>105.88752558924962</v>
      </c>
      <c r="I434" s="304">
        <f t="shared" ca="1" si="187"/>
        <v>110.98906948730856</v>
      </c>
      <c r="J434" s="306">
        <f t="shared" ca="1" si="188"/>
        <v>216.78152722546346</v>
      </c>
      <c r="K434" s="307">
        <f t="shared" ca="1" si="189"/>
        <v>867.31720116571717</v>
      </c>
      <c r="L434" s="304">
        <f t="shared" ca="1" si="174"/>
        <v>893.99852236127185</v>
      </c>
      <c r="M434" s="306">
        <f t="shared" ca="1" si="190"/>
        <v>1.2664252284810387</v>
      </c>
      <c r="N434" s="304">
        <f t="shared" ca="1" si="191"/>
        <v>72.560820660854489</v>
      </c>
      <c r="P434" s="310">
        <f t="shared" ca="1" si="192"/>
        <v>23</v>
      </c>
      <c r="Q434" s="304">
        <f t="shared" ca="1" si="193"/>
        <v>0</v>
      </c>
      <c r="R434" s="306">
        <f t="shared" ca="1" si="194"/>
        <v>0</v>
      </c>
      <c r="S434" s="307">
        <f t="shared" ca="1" si="195"/>
        <v>8.1379999999999981</v>
      </c>
      <c r="T434" s="304">
        <f t="shared" ca="1" si="175"/>
        <v>79.83377999999999</v>
      </c>
      <c r="U434" s="311">
        <f t="shared" ca="1" si="176"/>
        <v>0</v>
      </c>
      <c r="V434" s="306">
        <f t="shared" ca="1" si="177"/>
        <v>1.123169605494984</v>
      </c>
      <c r="W434" s="304">
        <f t="shared" ca="1" si="178"/>
        <v>45.702440899176288</v>
      </c>
      <c r="Y434" s="314" t="str">
        <f t="shared" ca="1" si="196"/>
        <v/>
      </c>
      <c r="Z434" s="315" t="str">
        <f t="shared" ca="1" si="197"/>
        <v/>
      </c>
      <c r="AA434" s="316" t="str">
        <f t="shared" ca="1" si="198"/>
        <v/>
      </c>
      <c r="AC434" s="310">
        <f t="shared" ca="1" si="199"/>
        <v>6.9999999999999485</v>
      </c>
      <c r="AD434" s="323">
        <f t="shared" ca="1" si="200"/>
        <v>216.78152722546346</v>
      </c>
      <c r="AE434" s="324">
        <f t="shared" ca="1" si="179"/>
        <v>867.31720116571717</v>
      </c>
      <c r="AG434" s="306">
        <f t="shared" ca="1" si="201"/>
        <v>-15.143130354827047</v>
      </c>
      <c r="AH434" s="304">
        <f t="shared" ca="1" si="202"/>
        <v>-5.7763506248441763</v>
      </c>
    </row>
    <row r="435" spans="1:34" x14ac:dyDescent="0.2">
      <c r="A435" s="347">
        <f t="shared" ca="1" si="180"/>
        <v>0.1</v>
      </c>
      <c r="B435" s="304">
        <f t="shared" ca="1" si="181"/>
        <v>7.0999999999999481</v>
      </c>
      <c r="D435" s="306">
        <f t="shared" ca="1" si="182"/>
        <v>-1.6830563510330123</v>
      </c>
      <c r="E435" s="307">
        <f t="shared" ca="1" si="183"/>
        <v>-15.167797552750326</v>
      </c>
      <c r="F435" s="304">
        <f t="shared" ca="1" si="184"/>
        <v>15.260889924312124</v>
      </c>
      <c r="G435" s="306">
        <f t="shared" ca="1" si="185"/>
        <v>33.094368193749006</v>
      </c>
      <c r="H435" s="307">
        <f t="shared" ca="1" si="186"/>
        <v>104.37074583397458</v>
      </c>
      <c r="I435" s="304">
        <f t="shared" ca="1" si="187"/>
        <v>109.49196222592573</v>
      </c>
      <c r="J435" s="306">
        <f t="shared" ca="1" si="188"/>
        <v>220.09937932659352</v>
      </c>
      <c r="K435" s="307">
        <f t="shared" ca="1" si="189"/>
        <v>877.83011473687839</v>
      </c>
      <c r="L435" s="304">
        <f t="shared" ca="1" si="174"/>
        <v>905.0024569684399</v>
      </c>
      <c r="M435" s="306">
        <f t="shared" ca="1" si="190"/>
        <v>1.263740105156413</v>
      </c>
      <c r="N435" s="304">
        <f t="shared" ca="1" si="191"/>
        <v>72.406974426881305</v>
      </c>
      <c r="P435" s="310">
        <f t="shared" ca="1" si="192"/>
        <v>23</v>
      </c>
      <c r="Q435" s="304">
        <f t="shared" ca="1" si="193"/>
        <v>0</v>
      </c>
      <c r="R435" s="306">
        <f t="shared" ca="1" si="194"/>
        <v>0</v>
      </c>
      <c r="S435" s="307">
        <f t="shared" ca="1" si="195"/>
        <v>8.1379999999999981</v>
      </c>
      <c r="T435" s="304">
        <f t="shared" ca="1" si="175"/>
        <v>79.83377999999999</v>
      </c>
      <c r="U435" s="311">
        <f t="shared" ca="1" si="176"/>
        <v>0</v>
      </c>
      <c r="V435" s="306">
        <f t="shared" ca="1" si="177"/>
        <v>1.1219871979374305</v>
      </c>
      <c r="W435" s="304">
        <f t="shared" ca="1" si="178"/>
        <v>44.430992235561575</v>
      </c>
      <c r="Y435" s="314" t="str">
        <f t="shared" ca="1" si="196"/>
        <v/>
      </c>
      <c r="Z435" s="315" t="str">
        <f t="shared" ca="1" si="197"/>
        <v/>
      </c>
      <c r="AA435" s="316" t="str">
        <f t="shared" ca="1" si="198"/>
        <v/>
      </c>
      <c r="AC435" s="310" t="e">
        <f t="shared" ca="1" si="199"/>
        <v>#N/A</v>
      </c>
      <c r="AD435" s="323" t="e">
        <f t="shared" ca="1" si="200"/>
        <v>#N/A</v>
      </c>
      <c r="AE435" s="324">
        <f t="shared" ca="1" si="179"/>
        <v>877.83011473687839</v>
      </c>
      <c r="AG435" s="306">
        <f t="shared" ca="1" si="201"/>
        <v>-14.975019734978966</v>
      </c>
      <c r="AH435" s="304">
        <f t="shared" ca="1" si="202"/>
        <v>-5.6159303144723882</v>
      </c>
    </row>
    <row r="436" spans="1:34" x14ac:dyDescent="0.2">
      <c r="A436" s="347">
        <f t="shared" ca="1" si="180"/>
        <v>0.1</v>
      </c>
      <c r="B436" s="304">
        <f t="shared" ca="1" si="181"/>
        <v>7.1999999999999478</v>
      </c>
      <c r="D436" s="306">
        <f t="shared" ca="1" si="182"/>
        <v>-1.6502136760213528</v>
      </c>
      <c r="E436" s="307">
        <f t="shared" ca="1" si="183"/>
        <v>-15.01433057200064</v>
      </c>
      <c r="F436" s="304">
        <f t="shared" ca="1" si="184"/>
        <v>15.1047452047971</v>
      </c>
      <c r="G436" s="306">
        <f t="shared" ca="1" si="185"/>
        <v>32.929346826146869</v>
      </c>
      <c r="H436" s="307">
        <f t="shared" ca="1" si="186"/>
        <v>102.86931277677452</v>
      </c>
      <c r="I436" s="304">
        <f t="shared" ca="1" si="187"/>
        <v>108.01128364000928</v>
      </c>
      <c r="J436" s="306">
        <f t="shared" ca="1" si="188"/>
        <v>223.40056507758831</v>
      </c>
      <c r="K436" s="307">
        <f t="shared" ca="1" si="189"/>
        <v>888.1921176674158</v>
      </c>
      <c r="L436" s="304">
        <f t="shared" ca="1" si="174"/>
        <v>915.8564572920335</v>
      </c>
      <c r="M436" s="306">
        <f t="shared" ca="1" si="190"/>
        <v>1.2609949159610081</v>
      </c>
      <c r="N436" s="304">
        <f t="shared" ca="1" si="191"/>
        <v>72.249686672019692</v>
      </c>
      <c r="P436" s="310">
        <f t="shared" ca="1" si="192"/>
        <v>23</v>
      </c>
      <c r="Q436" s="304">
        <f t="shared" ca="1" si="193"/>
        <v>0</v>
      </c>
      <c r="R436" s="306">
        <f t="shared" ca="1" si="194"/>
        <v>0</v>
      </c>
      <c r="S436" s="307">
        <f t="shared" ca="1" si="195"/>
        <v>8.1379999999999981</v>
      </c>
      <c r="T436" s="304">
        <f t="shared" ca="1" si="175"/>
        <v>79.83377999999999</v>
      </c>
      <c r="U436" s="311">
        <f t="shared" ca="1" si="176"/>
        <v>0</v>
      </c>
      <c r="V436" s="306">
        <f t="shared" ca="1" si="177"/>
        <v>1.1208229282827868</v>
      </c>
      <c r="W436" s="304">
        <f t="shared" ca="1" si="178"/>
        <v>43.192554908798783</v>
      </c>
      <c r="Y436" s="314" t="str">
        <f t="shared" ca="1" si="196"/>
        <v/>
      </c>
      <c r="Z436" s="315" t="str">
        <f t="shared" ca="1" si="197"/>
        <v/>
      </c>
      <c r="AA436" s="316" t="str">
        <f t="shared" ca="1" si="198"/>
        <v/>
      </c>
      <c r="AC436" s="310" t="e">
        <f t="shared" ca="1" si="199"/>
        <v>#N/A</v>
      </c>
      <c r="AD436" s="323" t="e">
        <f t="shared" ca="1" si="200"/>
        <v>#N/A</v>
      </c>
      <c r="AE436" s="324">
        <f t="shared" ca="1" si="179"/>
        <v>888.1921176674158</v>
      </c>
      <c r="AG436" s="306">
        <f t="shared" ca="1" si="201"/>
        <v>-14.81085575618793</v>
      </c>
      <c r="AH436" s="304">
        <f t="shared" ca="1" si="202"/>
        <v>-5.4596943027232223</v>
      </c>
    </row>
    <row r="437" spans="1:34" x14ac:dyDescent="0.2">
      <c r="A437" s="347">
        <f t="shared" ca="1" si="180"/>
        <v>0.1</v>
      </c>
      <c r="B437" s="304">
        <f t="shared" ca="1" si="181"/>
        <v>7.2999999999999474</v>
      </c>
      <c r="D437" s="306">
        <f t="shared" ca="1" si="182"/>
        <v>-1.6180994020722979</v>
      </c>
      <c r="E437" s="307">
        <f t="shared" ca="1" si="183"/>
        <v>-14.864845890946089</v>
      </c>
      <c r="F437" s="304">
        <f t="shared" ca="1" si="184"/>
        <v>14.952654915986109</v>
      </c>
      <c r="G437" s="306">
        <f t="shared" ca="1" si="185"/>
        <v>32.767536885939641</v>
      </c>
      <c r="H437" s="307">
        <f t="shared" ca="1" si="186"/>
        <v>101.38282818767991</v>
      </c>
      <c r="I437" s="304">
        <f t="shared" ca="1" si="187"/>
        <v>106.54665327875878</v>
      </c>
      <c r="J437" s="306">
        <f t="shared" ca="1" si="188"/>
        <v>226.68540926319264</v>
      </c>
      <c r="K437" s="307">
        <f t="shared" ca="1" si="189"/>
        <v>898.40472471563851</v>
      </c>
      <c r="L437" s="304">
        <f t="shared" ca="1" si="174"/>
        <v>926.56209946457625</v>
      </c>
      <c r="M437" s="306">
        <f t="shared" ca="1" si="190"/>
        <v>1.2581879072919346</v>
      </c>
      <c r="N437" s="304">
        <f t="shared" ca="1" si="191"/>
        <v>72.088856922225148</v>
      </c>
      <c r="P437" s="310">
        <f t="shared" ca="1" si="192"/>
        <v>23</v>
      </c>
      <c r="Q437" s="304">
        <f t="shared" ca="1" si="193"/>
        <v>0</v>
      </c>
      <c r="R437" s="306">
        <f t="shared" ca="1" si="194"/>
        <v>0</v>
      </c>
      <c r="S437" s="307">
        <f t="shared" ca="1" si="195"/>
        <v>8.1379999999999981</v>
      </c>
      <c r="T437" s="304">
        <f t="shared" ca="1" si="175"/>
        <v>79.83377999999999</v>
      </c>
      <c r="U437" s="311">
        <f t="shared" ca="1" si="176"/>
        <v>0</v>
      </c>
      <c r="V437" s="306">
        <f t="shared" ca="1" si="177"/>
        <v>1.1196765743822459</v>
      </c>
      <c r="W437" s="304">
        <f t="shared" ca="1" si="178"/>
        <v>41.986130388258516</v>
      </c>
      <c r="Y437" s="314" t="str">
        <f t="shared" ca="1" si="196"/>
        <v/>
      </c>
      <c r="Z437" s="315" t="str">
        <f t="shared" ca="1" si="197"/>
        <v/>
      </c>
      <c r="AA437" s="316" t="str">
        <f t="shared" ca="1" si="198"/>
        <v/>
      </c>
      <c r="AC437" s="310" t="e">
        <f t="shared" ca="1" si="199"/>
        <v>#N/A</v>
      </c>
      <c r="AD437" s="323" t="e">
        <f t="shared" ca="1" si="200"/>
        <v>#N/A</v>
      </c>
      <c r="AE437" s="324">
        <f t="shared" ca="1" si="179"/>
        <v>898.40472471563851</v>
      </c>
      <c r="AG437" s="306">
        <f t="shared" ca="1" si="201"/>
        <v>-14.650501173732449</v>
      </c>
      <c r="AH437" s="304">
        <f t="shared" ca="1" si="202"/>
        <v>-5.3075147344309155</v>
      </c>
    </row>
    <row r="438" spans="1:34" x14ac:dyDescent="0.2">
      <c r="A438" s="347">
        <f t="shared" ca="1" si="180"/>
        <v>0.1</v>
      </c>
      <c r="B438" s="304">
        <f t="shared" ca="1" si="181"/>
        <v>7.3999999999999471</v>
      </c>
      <c r="D438" s="306">
        <f t="shared" ca="1" si="182"/>
        <v>-1.5866902347958498</v>
      </c>
      <c r="E438" s="307">
        <f t="shared" ca="1" si="183"/>
        <v>-14.719222930650076</v>
      </c>
      <c r="F438" s="304">
        <f t="shared" ca="1" si="184"/>
        <v>14.804496262398512</v>
      </c>
      <c r="G438" s="306">
        <f t="shared" ca="1" si="185"/>
        <v>32.608867862460059</v>
      </c>
      <c r="H438" s="307">
        <f t="shared" ca="1" si="186"/>
        <v>99.910905894614899</v>
      </c>
      <c r="I438" s="304">
        <f t="shared" ca="1" si="187"/>
        <v>105.09770397089545</v>
      </c>
      <c r="J438" s="306">
        <f t="shared" ca="1" si="188"/>
        <v>229.95422950061263</v>
      </c>
      <c r="K438" s="307">
        <f t="shared" ca="1" si="189"/>
        <v>908.46941141975321</v>
      </c>
      <c r="L438" s="304">
        <f t="shared" ca="1" si="174"/>
        <v>937.12092023952448</v>
      </c>
      <c r="M438" s="306">
        <f t="shared" ca="1" si="190"/>
        <v>1.2553172565325144</v>
      </c>
      <c r="N438" s="304">
        <f t="shared" ca="1" si="191"/>
        <v>71.92438074925434</v>
      </c>
      <c r="P438" s="310">
        <f t="shared" ca="1" si="192"/>
        <v>23</v>
      </c>
      <c r="Q438" s="304">
        <f t="shared" ca="1" si="193"/>
        <v>0</v>
      </c>
      <c r="R438" s="306">
        <f t="shared" ca="1" si="194"/>
        <v>0</v>
      </c>
      <c r="S438" s="307">
        <f t="shared" ca="1" si="195"/>
        <v>8.1379999999999981</v>
      </c>
      <c r="T438" s="304">
        <f t="shared" ca="1" si="175"/>
        <v>79.83377999999999</v>
      </c>
      <c r="U438" s="311">
        <f t="shared" ca="1" si="176"/>
        <v>0</v>
      </c>
      <c r="V438" s="306">
        <f t="shared" ca="1" si="177"/>
        <v>1.1185479200231303</v>
      </c>
      <c r="W438" s="304">
        <f t="shared" ca="1" si="178"/>
        <v>40.810760115067154</v>
      </c>
      <c r="Y438" s="314" t="str">
        <f t="shared" ca="1" si="196"/>
        <v/>
      </c>
      <c r="Z438" s="315" t="str">
        <f t="shared" ca="1" si="197"/>
        <v/>
      </c>
      <c r="AA438" s="316" t="str">
        <f t="shared" ca="1" si="198"/>
        <v/>
      </c>
      <c r="AC438" s="310" t="e">
        <f t="shared" ca="1" si="199"/>
        <v>#N/A</v>
      </c>
      <c r="AD438" s="323" t="e">
        <f t="shared" ca="1" si="200"/>
        <v>#N/A</v>
      </c>
      <c r="AE438" s="324">
        <f t="shared" ca="1" si="179"/>
        <v>908.46941141975321</v>
      </c>
      <c r="AG438" s="306">
        <f t="shared" ca="1" si="201"/>
        <v>-14.493823435159506</v>
      </c>
      <c r="AH438" s="304">
        <f t="shared" ca="1" si="202"/>
        <v>-5.1592689098376168</v>
      </c>
    </row>
    <row r="439" spans="1:34" x14ac:dyDescent="0.2">
      <c r="A439" s="347">
        <f t="shared" ca="1" si="180"/>
        <v>0.1</v>
      </c>
      <c r="B439" s="304">
        <f t="shared" ca="1" si="181"/>
        <v>7.4999999999999467</v>
      </c>
      <c r="D439" s="306">
        <f t="shared" ca="1" si="182"/>
        <v>-1.5559638075670339</v>
      </c>
      <c r="E439" s="307">
        <f t="shared" ca="1" si="183"/>
        <v>-14.577345932062318</v>
      </c>
      <c r="F439" s="304">
        <f t="shared" ca="1" si="184"/>
        <v>14.660151356431227</v>
      </c>
      <c r="G439" s="306">
        <f t="shared" ca="1" si="185"/>
        <v>32.453271481703354</v>
      </c>
      <c r="H439" s="307">
        <f t="shared" ca="1" si="186"/>
        <v>98.453171301408673</v>
      </c>
      <c r="I439" s="304">
        <f t="shared" ca="1" si="187"/>
        <v>103.66408138390877</v>
      </c>
      <c r="J439" s="306">
        <f t="shared" ca="1" si="188"/>
        <v>233.2073364678208</v>
      </c>
      <c r="K439" s="307">
        <f t="shared" ca="1" si="189"/>
        <v>918.38761527955444</v>
      </c>
      <c r="L439" s="304">
        <f t="shared" ca="1" si="174"/>
        <v>947.53441820404726</v>
      </c>
      <c r="M439" s="306">
        <f t="shared" ca="1" si="190"/>
        <v>1.2523810687954573</v>
      </c>
      <c r="N439" s="304">
        <f t="shared" ca="1" si="191"/>
        <v>71.756149584062911</v>
      </c>
      <c r="P439" s="310">
        <f t="shared" ca="1" si="192"/>
        <v>23</v>
      </c>
      <c r="Q439" s="304">
        <f t="shared" ca="1" si="193"/>
        <v>0</v>
      </c>
      <c r="R439" s="306">
        <f t="shared" ca="1" si="194"/>
        <v>0</v>
      </c>
      <c r="S439" s="307">
        <f t="shared" ca="1" si="195"/>
        <v>8.1379999999999981</v>
      </c>
      <c r="T439" s="304">
        <f t="shared" ca="1" si="175"/>
        <v>79.83377999999999</v>
      </c>
      <c r="U439" s="311">
        <f t="shared" ca="1" si="176"/>
        <v>0</v>
      </c>
      <c r="V439" s="306">
        <f t="shared" ca="1" si="177"/>
        <v>1.1174367547434017</v>
      </c>
      <c r="W439" s="304">
        <f t="shared" ca="1" si="178"/>
        <v>39.665523628979081</v>
      </c>
      <c r="Y439" s="314" t="str">
        <f t="shared" ca="1" si="196"/>
        <v/>
      </c>
      <c r="Z439" s="315" t="str">
        <f t="shared" ca="1" si="197"/>
        <v/>
      </c>
      <c r="AA439" s="316" t="str">
        <f t="shared" ca="1" si="198"/>
        <v/>
      </c>
      <c r="AC439" s="310" t="e">
        <f t="shared" ca="1" si="199"/>
        <v>#N/A</v>
      </c>
      <c r="AD439" s="323" t="e">
        <f t="shared" ca="1" si="200"/>
        <v>#N/A</v>
      </c>
      <c r="AE439" s="324">
        <f t="shared" ca="1" si="179"/>
        <v>918.38761527955444</v>
      </c>
      <c r="AG439" s="306">
        <f t="shared" ca="1" si="201"/>
        <v>-14.340694409733523</v>
      </c>
      <c r="AH439" s="304">
        <f t="shared" ca="1" si="202"/>
        <v>-5.0148390409273977</v>
      </c>
    </row>
    <row r="440" spans="1:34" x14ac:dyDescent="0.2">
      <c r="A440" s="347">
        <f t="shared" ca="1" si="180"/>
        <v>0.1</v>
      </c>
      <c r="B440" s="304">
        <f t="shared" ca="1" si="181"/>
        <v>7.5999999999999464</v>
      </c>
      <c r="D440" s="306">
        <f t="shared" ca="1" si="182"/>
        <v>-1.5258986386252735</v>
      </c>
      <c r="E440" s="307">
        <f t="shared" ca="1" si="183"/>
        <v>-14.439103729707416</v>
      </c>
      <c r="F440" s="304">
        <f t="shared" ca="1" si="184"/>
        <v>14.519506987932099</v>
      </c>
      <c r="G440" s="306">
        <f t="shared" ca="1" si="185"/>
        <v>32.300681617840823</v>
      </c>
      <c r="H440" s="307">
        <f t="shared" ca="1" si="186"/>
        <v>97.009260928437925</v>
      </c>
      <c r="I440" s="304">
        <f t="shared" ca="1" si="187"/>
        <v>102.24544360928203</v>
      </c>
      <c r="J440" s="306">
        <f t="shared" ca="1" si="188"/>
        <v>236.44503412279801</v>
      </c>
      <c r="K440" s="307">
        <f t="shared" ca="1" si="189"/>
        <v>928.16073689104678</v>
      </c>
      <c r="L440" s="304">
        <f t="shared" ca="1" si="174"/>
        <v>957.80405494415299</v>
      </c>
      <c r="M440" s="306">
        <f t="shared" ca="1" si="190"/>
        <v>1.2493773734875169</v>
      </c>
      <c r="N440" s="304">
        <f t="shared" ca="1" si="191"/>
        <v>71.584050519974667</v>
      </c>
      <c r="P440" s="310">
        <f t="shared" ca="1" si="192"/>
        <v>23</v>
      </c>
      <c r="Q440" s="304">
        <f t="shared" ca="1" si="193"/>
        <v>0</v>
      </c>
      <c r="R440" s="306">
        <f t="shared" ca="1" si="194"/>
        <v>0</v>
      </c>
      <c r="S440" s="307">
        <f t="shared" ca="1" si="195"/>
        <v>8.1379999999999981</v>
      </c>
      <c r="T440" s="304">
        <f t="shared" ca="1" si="175"/>
        <v>79.83377999999999</v>
      </c>
      <c r="U440" s="311">
        <f t="shared" ca="1" si="176"/>
        <v>0</v>
      </c>
      <c r="V440" s="306">
        <f t="shared" ca="1" si="177"/>
        <v>1.1163428736537468</v>
      </c>
      <c r="W440" s="304">
        <f t="shared" ca="1" si="178"/>
        <v>38.549536798178657</v>
      </c>
      <c r="Y440" s="314" t="str">
        <f t="shared" ca="1" si="196"/>
        <v/>
      </c>
      <c r="Z440" s="315" t="str">
        <f t="shared" ca="1" si="197"/>
        <v/>
      </c>
      <c r="AA440" s="316" t="str">
        <f t="shared" ca="1" si="198"/>
        <v/>
      </c>
      <c r="AC440" s="310" t="e">
        <f t="shared" ca="1" si="199"/>
        <v>#N/A</v>
      </c>
      <c r="AD440" s="323" t="e">
        <f t="shared" ca="1" si="200"/>
        <v>#N/A</v>
      </c>
      <c r="AE440" s="324">
        <f t="shared" ca="1" si="179"/>
        <v>928.16073689104678</v>
      </c>
      <c r="AG440" s="306">
        <f t="shared" ca="1" si="201"/>
        <v>-14.190990129594795</v>
      </c>
      <c r="AH440" s="304">
        <f t="shared" ca="1" si="202"/>
        <v>-4.8741120212557254</v>
      </c>
    </row>
    <row r="441" spans="1:34" x14ac:dyDescent="0.2">
      <c r="A441" s="347">
        <f t="shared" ca="1" si="180"/>
        <v>0.1</v>
      </c>
      <c r="B441" s="304">
        <f t="shared" ca="1" si="181"/>
        <v>7.699999999999946</v>
      </c>
      <c r="D441" s="306">
        <f t="shared" ca="1" si="182"/>
        <v>-1.4964740905856937</v>
      </c>
      <c r="E441" s="307">
        <f t="shared" ca="1" si="183"/>
        <v>-14.304389537776528</v>
      </c>
      <c r="F441" s="304">
        <f t="shared" ca="1" si="184"/>
        <v>14.382454406402436</v>
      </c>
      <c r="G441" s="306">
        <f t="shared" ca="1" si="185"/>
        <v>32.151034208782256</v>
      </c>
      <c r="H441" s="307">
        <f t="shared" ca="1" si="186"/>
        <v>95.578821974660272</v>
      </c>
      <c r="I441" s="304">
        <f t="shared" ca="1" si="187"/>
        <v>100.84146077263105</v>
      </c>
      <c r="J441" s="306">
        <f t="shared" ca="1" si="188"/>
        <v>239.66761991412915</v>
      </c>
      <c r="K441" s="307">
        <f t="shared" ca="1" si="189"/>
        <v>937.7901410362017</v>
      </c>
      <c r="L441" s="304">
        <f t="shared" ca="1" si="174"/>
        <v>967.93125616440477</v>
      </c>
      <c r="M441" s="306">
        <f t="shared" ca="1" si="190"/>
        <v>1.2463041206848247</v>
      </c>
      <c r="N441" s="304">
        <f t="shared" ca="1" si="191"/>
        <v>71.407966105003652</v>
      </c>
      <c r="P441" s="310">
        <f t="shared" ca="1" si="192"/>
        <v>23</v>
      </c>
      <c r="Q441" s="304">
        <f t="shared" ca="1" si="193"/>
        <v>0</v>
      </c>
      <c r="R441" s="306">
        <f t="shared" ca="1" si="194"/>
        <v>0</v>
      </c>
      <c r="S441" s="307">
        <f t="shared" ca="1" si="195"/>
        <v>8.1379999999999981</v>
      </c>
      <c r="T441" s="304">
        <f t="shared" ca="1" si="175"/>
        <v>79.83377999999999</v>
      </c>
      <c r="U441" s="311">
        <f t="shared" ca="1" si="176"/>
        <v>0</v>
      </c>
      <c r="V441" s="306">
        <f t="shared" ca="1" si="177"/>
        <v>1.1152660772668825</v>
      </c>
      <c r="W441" s="304">
        <f t="shared" ca="1" si="178"/>
        <v>37.461950145601165</v>
      </c>
      <c r="Y441" s="314" t="str">
        <f t="shared" ca="1" si="196"/>
        <v/>
      </c>
      <c r="Z441" s="315" t="str">
        <f t="shared" ca="1" si="197"/>
        <v/>
      </c>
      <c r="AA441" s="316" t="str">
        <f t="shared" ca="1" si="198"/>
        <v/>
      </c>
      <c r="AC441" s="310" t="e">
        <f t="shared" ca="1" si="199"/>
        <v>#N/A</v>
      </c>
      <c r="AD441" s="323" t="e">
        <f t="shared" ca="1" si="200"/>
        <v>#N/A</v>
      </c>
      <c r="AE441" s="324">
        <f t="shared" ca="1" si="179"/>
        <v>937.7901410362017</v>
      </c>
      <c r="AG441" s="306">
        <f t="shared" ca="1" si="201"/>
        <v>-14.044590541648104</v>
      </c>
      <c r="AH441" s="304">
        <f t="shared" ca="1" si="202"/>
        <v>-4.736979208426968</v>
      </c>
    </row>
    <row r="442" spans="1:34" x14ac:dyDescent="0.2">
      <c r="A442" s="347">
        <f t="shared" ca="1" si="180"/>
        <v>0.1</v>
      </c>
      <c r="B442" s="304">
        <f t="shared" ca="1" si="181"/>
        <v>7.7999999999999456</v>
      </c>
      <c r="D442" s="306">
        <f t="shared" ca="1" si="182"/>
        <v>-1.4676703322162539</v>
      </c>
      <c r="E442" s="307">
        <f t="shared" ca="1" si="183"/>
        <v>-14.17310074784686</v>
      </c>
      <c r="F442" s="304">
        <f t="shared" ca="1" si="184"/>
        <v>14.248889115039283</v>
      </c>
      <c r="G442" s="306">
        <f t="shared" ca="1" si="185"/>
        <v>32.004267175560628</v>
      </c>
      <c r="H442" s="307">
        <f t="shared" ca="1" si="186"/>
        <v>94.161511899875592</v>
      </c>
      <c r="I442" s="304">
        <f t="shared" ca="1" si="187"/>
        <v>99.451814667783111</v>
      </c>
      <c r="J442" s="306">
        <f t="shared" ca="1" si="188"/>
        <v>242.87538498334629</v>
      </c>
      <c r="K442" s="307">
        <f t="shared" ca="1" si="189"/>
        <v>947.27715772992849</v>
      </c>
      <c r="L442" s="304">
        <f t="shared" ca="1" si="174"/>
        <v>977.91741276434004</v>
      </c>
      <c r="M442" s="306">
        <f t="shared" ca="1" si="190"/>
        <v>1.2431591773074233</v>
      </c>
      <c r="N442" s="304">
        <f t="shared" ca="1" si="191"/>
        <v>71.227774122670937</v>
      </c>
      <c r="P442" s="310">
        <f t="shared" ca="1" si="192"/>
        <v>23</v>
      </c>
      <c r="Q442" s="304">
        <f t="shared" ca="1" si="193"/>
        <v>0</v>
      </c>
      <c r="R442" s="306">
        <f t="shared" ca="1" si="194"/>
        <v>0</v>
      </c>
      <c r="S442" s="307">
        <f t="shared" ca="1" si="195"/>
        <v>8.1379999999999981</v>
      </c>
      <c r="T442" s="304">
        <f t="shared" ca="1" si="175"/>
        <v>79.83377999999999</v>
      </c>
      <c r="U442" s="311">
        <f t="shared" ca="1" si="176"/>
        <v>0</v>
      </c>
      <c r="V442" s="306">
        <f t="shared" ca="1" si="177"/>
        <v>1.1142061713337337</v>
      </c>
      <c r="W442" s="304">
        <f t="shared" ca="1" si="178"/>
        <v>36.401947265808573</v>
      </c>
      <c r="Y442" s="314" t="str">
        <f t="shared" ca="1" si="196"/>
        <v/>
      </c>
      <c r="Z442" s="315" t="str">
        <f t="shared" ca="1" si="197"/>
        <v/>
      </c>
      <c r="AA442" s="316" t="str">
        <f t="shared" ca="1" si="198"/>
        <v/>
      </c>
      <c r="AC442" s="310" t="e">
        <f t="shared" ca="1" si="199"/>
        <v>#N/A</v>
      </c>
      <c r="AD442" s="323" t="e">
        <f t="shared" ca="1" si="200"/>
        <v>#N/A</v>
      </c>
      <c r="AE442" s="324">
        <f t="shared" ca="1" si="179"/>
        <v>947.27715772992849</v>
      </c>
      <c r="AG442" s="306">
        <f t="shared" ca="1" si="201"/>
        <v>-13.901379269251375</v>
      </c>
      <c r="AH442" s="304">
        <f t="shared" ca="1" si="202"/>
        <v>-4.6033362184321911</v>
      </c>
    </row>
    <row r="443" spans="1:34" x14ac:dyDescent="0.2">
      <c r="A443" s="347">
        <f t="shared" ca="1" si="180"/>
        <v>0.1</v>
      </c>
      <c r="B443" s="304">
        <f t="shared" ca="1" si="181"/>
        <v>7.8999999999999453</v>
      </c>
      <c r="D443" s="306">
        <f t="shared" ca="1" si="182"/>
        <v>-1.4394683023450681</v>
      </c>
      <c r="E443" s="307">
        <f t="shared" ca="1" si="183"/>
        <v>-14.045138737507571</v>
      </c>
      <c r="F443" s="304">
        <f t="shared" ca="1" si="184"/>
        <v>14.118710675882976</v>
      </c>
      <c r="G443" s="306">
        <f t="shared" ca="1" si="185"/>
        <v>31.860320345326119</v>
      </c>
      <c r="H443" s="307">
        <f t="shared" ca="1" si="186"/>
        <v>92.756998026124833</v>
      </c>
      <c r="I443" s="304">
        <f t="shared" ca="1" si="187"/>
        <v>98.076198413913488</v>
      </c>
      <c r="J443" s="306">
        <f t="shared" ca="1" si="188"/>
        <v>246.06861435939064</v>
      </c>
      <c r="K443" s="307">
        <f t="shared" ca="1" si="189"/>
        <v>956.62308322622846</v>
      </c>
      <c r="L443" s="304">
        <f t="shared" ca="1" si="174"/>
        <v>987.76388187360146</v>
      </c>
      <c r="M443" s="306">
        <f t="shared" ca="1" si="190"/>
        <v>1.2399403230807888</v>
      </c>
      <c r="N443" s="304">
        <f t="shared" ca="1" si="191"/>
        <v>71.043347360616934</v>
      </c>
      <c r="P443" s="310">
        <f t="shared" ca="1" si="192"/>
        <v>23</v>
      </c>
      <c r="Q443" s="304">
        <f t="shared" ca="1" si="193"/>
        <v>0</v>
      </c>
      <c r="R443" s="306">
        <f t="shared" ca="1" si="194"/>
        <v>0</v>
      </c>
      <c r="S443" s="307">
        <f t="shared" ca="1" si="195"/>
        <v>8.1379999999999981</v>
      </c>
      <c r="T443" s="304">
        <f t="shared" ca="1" si="175"/>
        <v>79.83377999999999</v>
      </c>
      <c r="U443" s="311">
        <f t="shared" ca="1" si="176"/>
        <v>0</v>
      </c>
      <c r="V443" s="306">
        <f t="shared" ca="1" si="177"/>
        <v>1.1131629666861649</v>
      </c>
      <c r="W443" s="304">
        <f t="shared" ca="1" si="178"/>
        <v>35.368743326869676</v>
      </c>
      <c r="Y443" s="314" t="str">
        <f t="shared" ca="1" si="196"/>
        <v/>
      </c>
      <c r="Z443" s="315" t="str">
        <f t="shared" ca="1" si="197"/>
        <v/>
      </c>
      <c r="AA443" s="316" t="str">
        <f t="shared" ca="1" si="198"/>
        <v/>
      </c>
      <c r="AC443" s="310" t="e">
        <f t="shared" ca="1" si="199"/>
        <v>#N/A</v>
      </c>
      <c r="AD443" s="323" t="e">
        <f t="shared" ca="1" si="200"/>
        <v>#N/A</v>
      </c>
      <c r="AE443" s="324">
        <f t="shared" ca="1" si="179"/>
        <v>956.62308322622846</v>
      </c>
      <c r="AG443" s="306">
        <f t="shared" ca="1" si="201"/>
        <v>-13.761243382817526</v>
      </c>
      <c r="AH443" s="304">
        <f t="shared" ca="1" si="202"/>
        <v>-4.4730827311143502</v>
      </c>
    </row>
    <row r="444" spans="1:34" x14ac:dyDescent="0.2">
      <c r="A444" s="347">
        <f t="shared" ca="1" si="180"/>
        <v>0.1</v>
      </c>
      <c r="B444" s="304">
        <f t="shared" ca="1" si="181"/>
        <v>7.9999999999999449</v>
      </c>
      <c r="D444" s="306">
        <f t="shared" ca="1" si="182"/>
        <v>-1.4118496757720569</v>
      </c>
      <c r="E444" s="307">
        <f t="shared" ca="1" si="183"/>
        <v>-13.920408689220391</v>
      </c>
      <c r="F444" s="304">
        <f t="shared" ca="1" si="184"/>
        <v>13.991822525386041</v>
      </c>
      <c r="G444" s="306">
        <f t="shared" ca="1" si="185"/>
        <v>31.719135377748913</v>
      </c>
      <c r="H444" s="307">
        <f t="shared" ca="1" si="186"/>
        <v>91.364957157202795</v>
      </c>
      <c r="I444" s="304">
        <f t="shared" ca="1" si="187"/>
        <v>96.714316134941797</v>
      </c>
      <c r="J444" s="306">
        <f t="shared" ca="1" si="188"/>
        <v>249.2475871455444</v>
      </c>
      <c r="K444" s="307">
        <f t="shared" ca="1" si="189"/>
        <v>965.82918098539483</v>
      </c>
      <c r="L444" s="304">
        <f t="shared" ca="1" si="174"/>
        <v>997.47198784767602</v>
      </c>
      <c r="M444" s="306">
        <f t="shared" ca="1" si="190"/>
        <v>1.2366452462713635</v>
      </c>
      <c r="N444" s="304">
        <f t="shared" ca="1" si="191"/>
        <v>70.854553366265435</v>
      </c>
      <c r="P444" s="310">
        <f t="shared" ca="1" si="192"/>
        <v>23</v>
      </c>
      <c r="Q444" s="304">
        <f t="shared" ca="1" si="193"/>
        <v>0</v>
      </c>
      <c r="R444" s="306">
        <f t="shared" ca="1" si="194"/>
        <v>0</v>
      </c>
      <c r="S444" s="307">
        <f t="shared" ca="1" si="195"/>
        <v>8.1379999999999981</v>
      </c>
      <c r="T444" s="304">
        <f t="shared" ca="1" si="175"/>
        <v>79.83377999999999</v>
      </c>
      <c r="U444" s="311">
        <f t="shared" ca="1" si="176"/>
        <v>0</v>
      </c>
      <c r="V444" s="306">
        <f t="shared" ca="1" si="177"/>
        <v>1.1121362790859579</v>
      </c>
      <c r="W444" s="304">
        <f t="shared" ca="1" si="178"/>
        <v>34.361583652074657</v>
      </c>
      <c r="Y444" s="314" t="str">
        <f t="shared" ca="1" si="196"/>
        <v/>
      </c>
      <c r="Z444" s="315" t="str">
        <f t="shared" ca="1" si="197"/>
        <v/>
      </c>
      <c r="AA444" s="316" t="str">
        <f t="shared" ca="1" si="198"/>
        <v/>
      </c>
      <c r="AC444" s="310">
        <f t="shared" ca="1" si="199"/>
        <v>7.9999999999999449</v>
      </c>
      <c r="AD444" s="323">
        <f t="shared" ca="1" si="200"/>
        <v>249.2475871455444</v>
      </c>
      <c r="AE444" s="324">
        <f t="shared" ca="1" si="179"/>
        <v>965.82918098539483</v>
      </c>
      <c r="AG444" s="306">
        <f t="shared" ca="1" si="201"/>
        <v>-13.624073178481302</v>
      </c>
      <c r="AH444" s="304">
        <f t="shared" ca="1" si="202"/>
        <v>-4.3461223060788505</v>
      </c>
    </row>
    <row r="445" spans="1:34" x14ac:dyDescent="0.2">
      <c r="A445" s="347">
        <f t="shared" ca="1" si="180"/>
        <v>0.1</v>
      </c>
      <c r="B445" s="304">
        <f t="shared" ca="1" si="181"/>
        <v>8.0999999999999446</v>
      </c>
      <c r="D445" s="306">
        <f t="shared" ca="1" si="182"/>
        <v>-1.3847968310680447</v>
      </c>
      <c r="E445" s="307">
        <f t="shared" ca="1" si="183"/>
        <v>-13.798819418789005</v>
      </c>
      <c r="F445" s="304">
        <f t="shared" ca="1" si="184"/>
        <v>13.868131799766132</v>
      </c>
      <c r="G445" s="306">
        <f t="shared" ca="1" si="185"/>
        <v>31.580655694642108</v>
      </c>
      <c r="H445" s="307">
        <f t="shared" ca="1" si="186"/>
        <v>89.985075215323889</v>
      </c>
      <c r="I445" s="304">
        <f t="shared" ca="1" si="187"/>
        <v>95.365882660472593</v>
      </c>
      <c r="J445" s="306">
        <f t="shared" ca="1" si="188"/>
        <v>252.41257669916396</v>
      </c>
      <c r="K445" s="307">
        <f t="shared" ca="1" si="189"/>
        <v>974.89668260402118</v>
      </c>
      <c r="L445" s="304">
        <f t="shared" ca="1" si="174"/>
        <v>1007.0430232260372</v>
      </c>
      <c r="M445" s="306">
        <f t="shared" ca="1" si="190"/>
        <v>1.2332715391823021</v>
      </c>
      <c r="N445" s="304">
        <f t="shared" ca="1" si="191"/>
        <v>70.661254188748856</v>
      </c>
      <c r="P445" s="310">
        <f t="shared" ca="1" si="192"/>
        <v>23</v>
      </c>
      <c r="Q445" s="304">
        <f t="shared" ca="1" si="193"/>
        <v>0</v>
      </c>
      <c r="R445" s="306">
        <f t="shared" ca="1" si="194"/>
        <v>0</v>
      </c>
      <c r="S445" s="307">
        <f t="shared" ca="1" si="195"/>
        <v>8.1379999999999981</v>
      </c>
      <c r="T445" s="304">
        <f t="shared" ca="1" si="175"/>
        <v>79.83377999999999</v>
      </c>
      <c r="U445" s="311">
        <f t="shared" ca="1" si="176"/>
        <v>0</v>
      </c>
      <c r="V445" s="306">
        <f t="shared" ca="1" si="177"/>
        <v>1.1111259290797462</v>
      </c>
      <c r="W445" s="304">
        <f t="shared" ca="1" si="178"/>
        <v>33.379742376666968</v>
      </c>
      <c r="Y445" s="314" t="str">
        <f t="shared" ca="1" si="196"/>
        <v/>
      </c>
      <c r="Z445" s="315" t="str">
        <f t="shared" ca="1" si="197"/>
        <v/>
      </c>
      <c r="AA445" s="316" t="str">
        <f t="shared" ca="1" si="198"/>
        <v/>
      </c>
      <c r="AC445" s="310" t="e">
        <f t="shared" ca="1" si="199"/>
        <v>#N/A</v>
      </c>
      <c r="AD445" s="323" t="e">
        <f t="shared" ca="1" si="200"/>
        <v>#N/A</v>
      </c>
      <c r="AE445" s="324">
        <f t="shared" ca="1" si="179"/>
        <v>974.89668260402118</v>
      </c>
      <c r="AG445" s="306">
        <f t="shared" ca="1" si="201"/>
        <v>-13.489761964016036</v>
      </c>
      <c r="AH445" s="304">
        <f t="shared" ca="1" si="202"/>
        <v>-4.2223622084141885</v>
      </c>
    </row>
    <row r="446" spans="1:34" x14ac:dyDescent="0.2">
      <c r="A446" s="347">
        <f t="shared" ca="1" si="180"/>
        <v>0.1</v>
      </c>
      <c r="B446" s="304">
        <f t="shared" ca="1" si="181"/>
        <v>8.1999999999999442</v>
      </c>
      <c r="D446" s="306">
        <f t="shared" ca="1" si="182"/>
        <v>-1.3582928201528188</v>
      </c>
      <c r="E446" s="307">
        <f t="shared" ca="1" si="183"/>
        <v>-13.680283212853695</v>
      </c>
      <c r="F446" s="304">
        <f t="shared" ca="1" si="184"/>
        <v>13.747549169548924</v>
      </c>
      <c r="G446" s="306">
        <f t="shared" ca="1" si="185"/>
        <v>31.444826412626824</v>
      </c>
      <c r="H446" s="307">
        <f t="shared" ca="1" si="186"/>
        <v>88.617046894038523</v>
      </c>
      <c r="I446" s="304">
        <f t="shared" ca="1" si="187"/>
        <v>94.030623247644471</v>
      </c>
      <c r="J446" s="306">
        <f t="shared" ca="1" si="188"/>
        <v>255.56385080452742</v>
      </c>
      <c r="K446" s="307">
        <f t="shared" ca="1" si="189"/>
        <v>983.82678870948928</v>
      </c>
      <c r="L446" s="304">
        <f t="shared" ca="1" si="174"/>
        <v>1016.4782496543961</v>
      </c>
      <c r="M446" s="306">
        <f t="shared" ca="1" si="190"/>
        <v>1.2298166933947774</v>
      </c>
      <c r="N446" s="304">
        <f t="shared" ca="1" si="191"/>
        <v>70.463306106255132</v>
      </c>
      <c r="P446" s="310">
        <f t="shared" ca="1" si="192"/>
        <v>23</v>
      </c>
      <c r="Q446" s="304">
        <f t="shared" ca="1" si="193"/>
        <v>0</v>
      </c>
      <c r="R446" s="306">
        <f t="shared" ca="1" si="194"/>
        <v>0</v>
      </c>
      <c r="S446" s="307">
        <f t="shared" ca="1" si="195"/>
        <v>8.1379999999999981</v>
      </c>
      <c r="T446" s="304">
        <f t="shared" ca="1" si="175"/>
        <v>79.83377999999999</v>
      </c>
      <c r="U446" s="311">
        <f t="shared" ca="1" si="176"/>
        <v>0</v>
      </c>
      <c r="V446" s="306">
        <f t="shared" ca="1" si="177"/>
        <v>1.1101317418596324</v>
      </c>
      <c r="W446" s="304">
        <f t="shared" ca="1" si="178"/>
        <v>32.422521175101011</v>
      </c>
      <c r="Y446" s="314" t="str">
        <f t="shared" ca="1" si="196"/>
        <v/>
      </c>
      <c r="Z446" s="315" t="str">
        <f t="shared" ca="1" si="197"/>
        <v/>
      </c>
      <c r="AA446" s="316" t="str">
        <f t="shared" ca="1" si="198"/>
        <v/>
      </c>
      <c r="AC446" s="310" t="e">
        <f t="shared" ca="1" si="199"/>
        <v>#N/A</v>
      </c>
      <c r="AD446" s="323" t="e">
        <f t="shared" ca="1" si="200"/>
        <v>#N/A</v>
      </c>
      <c r="AE446" s="324">
        <f t="shared" ca="1" si="179"/>
        <v>983.82678870948928</v>
      </c>
      <c r="AG446" s="306">
        <f t="shared" ca="1" si="201"/>
        <v>-13.358205851214109</v>
      </c>
      <c r="AH446" s="304">
        <f t="shared" ca="1" si="202"/>
        <v>-4.1017132436307415</v>
      </c>
    </row>
    <row r="447" spans="1:34" x14ac:dyDescent="0.2">
      <c r="A447" s="347">
        <f t="shared" ca="1" si="180"/>
        <v>0.1</v>
      </c>
      <c r="B447" s="304">
        <f t="shared" ca="1" si="181"/>
        <v>8.2999999999999439</v>
      </c>
      <c r="D447" s="306">
        <f t="shared" ca="1" si="182"/>
        <v>-1.332321339551398</v>
      </c>
      <c r="E447" s="307">
        <f t="shared" ca="1" si="183"/>
        <v>-13.564715674866765</v>
      </c>
      <c r="F447" s="304">
        <f t="shared" ca="1" si="184"/>
        <v>13.629988682746591</v>
      </c>
      <c r="G447" s="306">
        <f t="shared" ca="1" si="185"/>
        <v>31.311594278671684</v>
      </c>
      <c r="H447" s="307">
        <f t="shared" ca="1" si="186"/>
        <v>87.260575326551844</v>
      </c>
      <c r="I447" s="304">
        <f t="shared" ca="1" si="187"/>
        <v>92.708273323328442</v>
      </c>
      <c r="J447" s="306">
        <f t="shared" ca="1" si="188"/>
        <v>258.70167183909234</v>
      </c>
      <c r="K447" s="307">
        <f t="shared" ca="1" si="189"/>
        <v>992.62066982051874</v>
      </c>
      <c r="L447" s="304">
        <f t="shared" ca="1" si="174"/>
        <v>1025.7788987726724</v>
      </c>
      <c r="M447" s="306">
        <f t="shared" ca="1" si="190"/>
        <v>1.2262780947392737</v>
      </c>
      <c r="N447" s="304">
        <f t="shared" ca="1" si="191"/>
        <v>70.260559337904098</v>
      </c>
      <c r="P447" s="310">
        <f t="shared" ca="1" si="192"/>
        <v>23</v>
      </c>
      <c r="Q447" s="304">
        <f t="shared" ca="1" si="193"/>
        <v>0</v>
      </c>
      <c r="R447" s="306">
        <f t="shared" ca="1" si="194"/>
        <v>0</v>
      </c>
      <c r="S447" s="307">
        <f t="shared" ca="1" si="195"/>
        <v>8.1379999999999981</v>
      </c>
      <c r="T447" s="304">
        <f t="shared" ca="1" si="175"/>
        <v>79.83377999999999</v>
      </c>
      <c r="U447" s="311">
        <f t="shared" ca="1" si="176"/>
        <v>0</v>
      </c>
      <c r="V447" s="306">
        <f t="shared" ca="1" si="177"/>
        <v>1.109153547129232</v>
      </c>
      <c r="W447" s="304">
        <f t="shared" ca="1" si="178"/>
        <v>31.489248054635574</v>
      </c>
      <c r="Y447" s="314" t="str">
        <f t="shared" ca="1" si="196"/>
        <v/>
      </c>
      <c r="Z447" s="315" t="str">
        <f t="shared" ca="1" si="197"/>
        <v/>
      </c>
      <c r="AA447" s="316" t="str">
        <f t="shared" ca="1" si="198"/>
        <v/>
      </c>
      <c r="AC447" s="310" t="e">
        <f t="shared" ca="1" si="199"/>
        <v>#N/A</v>
      </c>
      <c r="AD447" s="323" t="e">
        <f t="shared" ca="1" si="200"/>
        <v>#N/A</v>
      </c>
      <c r="AE447" s="324">
        <f t="shared" ca="1" si="179"/>
        <v>992.62066982051874</v>
      </c>
      <c r="AG447" s="306">
        <f t="shared" ca="1" si="201"/>
        <v>-13.229303553969178</v>
      </c>
      <c r="AH447" s="304">
        <f t="shared" ca="1" si="202"/>
        <v>-3.9840896012657923</v>
      </c>
    </row>
    <row r="448" spans="1:34" x14ac:dyDescent="0.2">
      <c r="A448" s="347">
        <f t="shared" ca="1" si="180"/>
        <v>0.1</v>
      </c>
      <c r="B448" s="304">
        <f t="shared" ca="1" si="181"/>
        <v>8.3999999999999435</v>
      </c>
      <c r="D448" s="306">
        <f t="shared" ca="1" si="182"/>
        <v>-1.3068667032350108</v>
      </c>
      <c r="E448" s="307">
        <f t="shared" ca="1" si="183"/>
        <v>-13.452035579040434</v>
      </c>
      <c r="F448" s="304">
        <f t="shared" ca="1" si="184"/>
        <v>13.515367616154363</v>
      </c>
      <c r="G448" s="306">
        <f t="shared" ca="1" si="185"/>
        <v>31.180907608348182</v>
      </c>
      <c r="H448" s="307">
        <f t="shared" ca="1" si="186"/>
        <v>85.915371768647802</v>
      </c>
      <c r="I448" s="304">
        <f t="shared" ca="1" si="187"/>
        <v>91.398578246192145</v>
      </c>
      <c r="J448" s="306">
        <f t="shared" ca="1" si="188"/>
        <v>261.82629693344336</v>
      </c>
      <c r="K448" s="307">
        <f t="shared" ca="1" si="189"/>
        <v>1001.2794671752787</v>
      </c>
      <c r="L448" s="304">
        <f t="shared" ca="1" si="174"/>
        <v>1034.946173070218</v>
      </c>
      <c r="M448" s="306">
        <f t="shared" ca="1" si="190"/>
        <v>1.2226530179803468</v>
      </c>
      <c r="N448" s="304">
        <f t="shared" ca="1" si="191"/>
        <v>70.05285773920663</v>
      </c>
      <c r="P448" s="310">
        <f t="shared" ca="1" si="192"/>
        <v>23</v>
      </c>
      <c r="Q448" s="304">
        <f t="shared" ca="1" si="193"/>
        <v>0</v>
      </c>
      <c r="R448" s="306">
        <f t="shared" ca="1" si="194"/>
        <v>0</v>
      </c>
      <c r="S448" s="307">
        <f t="shared" ca="1" si="195"/>
        <v>8.1379999999999981</v>
      </c>
      <c r="T448" s="304">
        <f t="shared" ca="1" si="175"/>
        <v>79.83377999999999</v>
      </c>
      <c r="U448" s="311">
        <f t="shared" ca="1" si="176"/>
        <v>0</v>
      </c>
      <c r="V448" s="306">
        <f t="shared" ca="1" si="177"/>
        <v>1.1081911789748979</v>
      </c>
      <c r="W448" s="304">
        <f t="shared" ca="1" si="178"/>
        <v>30.579276211352365</v>
      </c>
      <c r="Y448" s="314" t="str">
        <f t="shared" ca="1" si="196"/>
        <v/>
      </c>
      <c r="Z448" s="315" t="str">
        <f t="shared" ca="1" si="197"/>
        <v/>
      </c>
      <c r="AA448" s="316" t="str">
        <f t="shared" ca="1" si="198"/>
        <v/>
      </c>
      <c r="AC448" s="310" t="e">
        <f t="shared" ca="1" si="199"/>
        <v>#N/A</v>
      </c>
      <c r="AD448" s="323" t="e">
        <f t="shared" ca="1" si="200"/>
        <v>#N/A</v>
      </c>
      <c r="AE448" s="324">
        <f t="shared" ca="1" si="179"/>
        <v>1001.2794671752787</v>
      </c>
      <c r="AG448" s="306">
        <f t="shared" ca="1" si="201"/>
        <v>-13.102956191318057</v>
      </c>
      <c r="AH448" s="304">
        <f t="shared" ca="1" si="202"/>
        <v>-3.8694087066399092</v>
      </c>
    </row>
    <row r="449" spans="1:34" x14ac:dyDescent="0.2">
      <c r="A449" s="347">
        <f t="shared" ca="1" si="180"/>
        <v>0.1</v>
      </c>
      <c r="B449" s="304">
        <f t="shared" ca="1" si="181"/>
        <v>8.4999999999999432</v>
      </c>
      <c r="D449" s="306">
        <f t="shared" ca="1" si="182"/>
        <v>-1.2819138169599971</v>
      </c>
      <c r="E449" s="307">
        <f t="shared" ca="1" si="183"/>
        <v>-13.342164731792392</v>
      </c>
      <c r="F449" s="304">
        <f t="shared" ca="1" si="184"/>
        <v>13.403606334281745</v>
      </c>
      <c r="G449" s="306">
        <f t="shared" ca="1" si="185"/>
        <v>31.052716226652183</v>
      </c>
      <c r="H449" s="307">
        <f t="shared" ca="1" si="186"/>
        <v>84.581155295468562</v>
      </c>
      <c r="I449" s="304">
        <f t="shared" ca="1" si="187"/>
        <v>90.101293088219094</v>
      </c>
      <c r="J449" s="306">
        <f t="shared" ca="1" si="188"/>
        <v>264.93797812519335</v>
      </c>
      <c r="K449" s="307">
        <f t="shared" ca="1" si="189"/>
        <v>1009.8042935284845</v>
      </c>
      <c r="L449" s="304">
        <f t="shared" ca="1" si="174"/>
        <v>1043.981246709742</v>
      </c>
      <c r="M449" s="306">
        <f t="shared" ca="1" si="190"/>
        <v>1.2189386211973168</v>
      </c>
      <c r="N449" s="304">
        <f t="shared" ca="1" si="191"/>
        <v>69.840038480102038</v>
      </c>
      <c r="P449" s="310">
        <f t="shared" ca="1" si="192"/>
        <v>23</v>
      </c>
      <c r="Q449" s="304">
        <f t="shared" ca="1" si="193"/>
        <v>0</v>
      </c>
      <c r="R449" s="306">
        <f t="shared" ca="1" si="194"/>
        <v>0</v>
      </c>
      <c r="S449" s="307">
        <f t="shared" ca="1" si="195"/>
        <v>8.1379999999999981</v>
      </c>
      <c r="T449" s="304">
        <f t="shared" ca="1" si="175"/>
        <v>79.83377999999999</v>
      </c>
      <c r="U449" s="311">
        <f t="shared" ca="1" si="176"/>
        <v>0</v>
      </c>
      <c r="V449" s="306">
        <f t="shared" ca="1" si="177"/>
        <v>1.1072444757418878</v>
      </c>
      <c r="W449" s="304">
        <f t="shared" ca="1" si="178"/>
        <v>29.691982944946808</v>
      </c>
      <c r="Y449" s="314" t="str">
        <f t="shared" ca="1" si="196"/>
        <v/>
      </c>
      <c r="Z449" s="315" t="str">
        <f t="shared" ca="1" si="197"/>
        <v/>
      </c>
      <c r="AA449" s="316" t="str">
        <f t="shared" ca="1" si="198"/>
        <v/>
      </c>
      <c r="AC449" s="310" t="e">
        <f t="shared" ca="1" si="199"/>
        <v>#N/A</v>
      </c>
      <c r="AD449" s="323" t="e">
        <f t="shared" ca="1" si="200"/>
        <v>#N/A</v>
      </c>
      <c r="AE449" s="324">
        <f t="shared" ca="1" si="179"/>
        <v>1009.8042935284845</v>
      </c>
      <c r="AG449" s="306">
        <f t="shared" ca="1" si="201"/>
        <v>-12.979067094716012</v>
      </c>
      <c r="AH449" s="304">
        <f t="shared" ca="1" si="202"/>
        <v>-3.7575910802841448</v>
      </c>
    </row>
    <row r="450" spans="1:34" x14ac:dyDescent="0.2">
      <c r="A450" s="347">
        <f t="shared" ca="1" si="180"/>
        <v>0.1</v>
      </c>
      <c r="B450" s="304">
        <f t="shared" ca="1" si="181"/>
        <v>8.5999999999999428</v>
      </c>
      <c r="D450" s="306">
        <f t="shared" ca="1" si="182"/>
        <v>-1.2574481540240841</v>
      </c>
      <c r="E450" s="307">
        <f t="shared" ca="1" si="183"/>
        <v>-13.235027840244999</v>
      </c>
      <c r="F450" s="304">
        <f t="shared" ca="1" si="184"/>
        <v>13.294628155466357</v>
      </c>
      <c r="G450" s="306">
        <f t="shared" ca="1" si="185"/>
        <v>30.926971411249774</v>
      </c>
      <c r="H450" s="307">
        <f t="shared" ca="1" si="186"/>
        <v>83.257652511444064</v>
      </c>
      <c r="I450" s="304">
        <f t="shared" ca="1" si="187"/>
        <v>88.816182435345809</v>
      </c>
      <c r="J450" s="306">
        <f t="shared" ca="1" si="188"/>
        <v>268.03696250708845</v>
      </c>
      <c r="K450" s="307">
        <f t="shared" ca="1" si="189"/>
        <v>1018.1962339188302</v>
      </c>
      <c r="L450" s="304">
        <f t="shared" ca="1" si="174"/>
        <v>1052.8852663213195</v>
      </c>
      <c r="M450" s="306">
        <f t="shared" ca="1" si="190"/>
        <v>1.2151319398423051</v>
      </c>
      <c r="N450" s="304">
        <f t="shared" ca="1" si="191"/>
        <v>69.621931704508725</v>
      </c>
      <c r="P450" s="310">
        <f t="shared" ca="1" si="192"/>
        <v>23</v>
      </c>
      <c r="Q450" s="304">
        <f t="shared" ca="1" si="193"/>
        <v>0</v>
      </c>
      <c r="R450" s="306">
        <f t="shared" ca="1" si="194"/>
        <v>0</v>
      </c>
      <c r="S450" s="307">
        <f t="shared" ca="1" si="195"/>
        <v>8.1379999999999981</v>
      </c>
      <c r="T450" s="304">
        <f t="shared" ca="1" si="175"/>
        <v>79.83377999999999</v>
      </c>
      <c r="U450" s="311">
        <f t="shared" ca="1" si="176"/>
        <v>0</v>
      </c>
      <c r="V450" s="306">
        <f t="shared" ca="1" si="177"/>
        <v>1.1063132799152662</v>
      </c>
      <c r="W450" s="304">
        <f t="shared" ca="1" si="178"/>
        <v>28.826768628879151</v>
      </c>
      <c r="Y450" s="314" t="str">
        <f t="shared" ca="1" si="196"/>
        <v/>
      </c>
      <c r="Z450" s="315" t="str">
        <f t="shared" ca="1" si="197"/>
        <v/>
      </c>
      <c r="AA450" s="316" t="str">
        <f t="shared" ca="1" si="198"/>
        <v/>
      </c>
      <c r="AC450" s="310" t="e">
        <f t="shared" ca="1" si="199"/>
        <v>#N/A</v>
      </c>
      <c r="AD450" s="323" t="e">
        <f t="shared" ca="1" si="200"/>
        <v>#N/A</v>
      </c>
      <c r="AE450" s="324">
        <f t="shared" ca="1" si="179"/>
        <v>1018.1962339188302</v>
      </c>
      <c r="AG450" s="306">
        <f t="shared" ca="1" si="201"/>
        <v>-12.85754161883081</v>
      </c>
      <c r="AH450" s="304">
        <f t="shared" ca="1" si="202"/>
        <v>-3.6485602045891885</v>
      </c>
    </row>
    <row r="451" spans="1:34" x14ac:dyDescent="0.2">
      <c r="A451" s="347">
        <f t="shared" ca="1" si="180"/>
        <v>0.1</v>
      </c>
      <c r="B451" s="304">
        <f t="shared" ca="1" si="181"/>
        <v>8.6999999999999424</v>
      </c>
      <c r="D451" s="306">
        <f t="shared" ca="1" si="182"/>
        <v>-1.2334557323654236</v>
      </c>
      <c r="E451" s="307">
        <f t="shared" ca="1" si="183"/>
        <v>-13.130552387362886</v>
      </c>
      <c r="F451" s="304">
        <f t="shared" ca="1" si="184"/>
        <v>13.188359224747645</v>
      </c>
      <c r="G451" s="306">
        <f t="shared" ca="1" si="185"/>
        <v>30.803625838013232</v>
      </c>
      <c r="H451" s="307">
        <f t="shared" ca="1" si="186"/>
        <v>81.944597272707782</v>
      </c>
      <c r="I451" s="304">
        <f t="shared" ca="1" si="187"/>
        <v>87.543020206950729</v>
      </c>
      <c r="J451" s="306">
        <f t="shared" ca="1" si="188"/>
        <v>271.12349236955157</v>
      </c>
      <c r="K451" s="307">
        <f t="shared" ca="1" si="189"/>
        <v>1026.4563464080379</v>
      </c>
      <c r="L451" s="304">
        <f t="shared" ca="1" si="174"/>
        <v>1061.6593517677882</v>
      </c>
      <c r="M451" s="306">
        <f t="shared" ca="1" si="190"/>
        <v>1.2112298804559234</v>
      </c>
      <c r="N451" s="304">
        <f t="shared" ca="1" si="191"/>
        <v>69.39836017025965</v>
      </c>
      <c r="P451" s="310">
        <f t="shared" ca="1" si="192"/>
        <v>23</v>
      </c>
      <c r="Q451" s="304">
        <f t="shared" ca="1" si="193"/>
        <v>0</v>
      </c>
      <c r="R451" s="306">
        <f t="shared" ca="1" si="194"/>
        <v>0</v>
      </c>
      <c r="S451" s="307">
        <f t="shared" ca="1" si="195"/>
        <v>8.1379999999999981</v>
      </c>
      <c r="T451" s="304">
        <f t="shared" ca="1" si="175"/>
        <v>79.83377999999999</v>
      </c>
      <c r="U451" s="311">
        <f t="shared" ca="1" si="176"/>
        <v>0</v>
      </c>
      <c r="V451" s="306">
        <f t="shared" ca="1" si="177"/>
        <v>1.1053974380053202</v>
      </c>
      <c r="W451" s="304">
        <f t="shared" ca="1" si="178"/>
        <v>27.983055732694872</v>
      </c>
      <c r="Y451" s="314" t="str">
        <f t="shared" ca="1" si="196"/>
        <v/>
      </c>
      <c r="Z451" s="315" t="str">
        <f t="shared" ca="1" si="197"/>
        <v/>
      </c>
      <c r="AA451" s="316" t="str">
        <f t="shared" ca="1" si="198"/>
        <v/>
      </c>
      <c r="AC451" s="310" t="e">
        <f t="shared" ca="1" si="199"/>
        <v>#N/A</v>
      </c>
      <c r="AD451" s="323" t="e">
        <f t="shared" ca="1" si="200"/>
        <v>#N/A</v>
      </c>
      <c r="AE451" s="324">
        <f t="shared" ca="1" si="179"/>
        <v>1026.4563464080379</v>
      </c>
      <c r="AG451" s="306">
        <f t="shared" ca="1" si="201"/>
        <v>-12.738286955148775</v>
      </c>
      <c r="AH451" s="304">
        <f t="shared" ca="1" si="202"/>
        <v>-3.5422423972572079</v>
      </c>
    </row>
    <row r="452" spans="1:34" x14ac:dyDescent="0.2">
      <c r="A452" s="347">
        <f t="shared" ca="1" si="180"/>
        <v>0.1</v>
      </c>
      <c r="B452" s="304">
        <f t="shared" ca="1" si="181"/>
        <v>8.7999999999999421</v>
      </c>
      <c r="D452" s="306">
        <f t="shared" ca="1" si="182"/>
        <v>-1.2099230929351659</v>
      </c>
      <c r="E452" s="307">
        <f t="shared" ca="1" si="183"/>
        <v>-13.028668513340049</v>
      </c>
      <c r="F452" s="304">
        <f t="shared" ca="1" si="184"/>
        <v>13.084728393104545</v>
      </c>
      <c r="G452" s="306">
        <f t="shared" ca="1" si="185"/>
        <v>30.682633528719716</v>
      </c>
      <c r="H452" s="307">
        <f t="shared" ca="1" si="186"/>
        <v>80.641730421373779</v>
      </c>
      <c r="I452" s="304">
        <f t="shared" ca="1" si="187"/>
        <v>86.281589494000613</v>
      </c>
      <c r="J452" s="306">
        <f t="shared" ca="1" si="188"/>
        <v>274.19780533788821</v>
      </c>
      <c r="K452" s="307">
        <f t="shared" ca="1" si="189"/>
        <v>1034.5856627927419</v>
      </c>
      <c r="L452" s="304">
        <f t="shared" ref="L452:L515" ca="1" si="203">SQRT(pos_x^2+pos_z^2)</f>
        <v>1070.3045968827805</v>
      </c>
      <c r="M452" s="306">
        <f t="shared" ca="1" si="190"/>
        <v>1.2072292140197707</v>
      </c>
      <c r="N452" s="304">
        <f t="shared" ca="1" si="191"/>
        <v>69.169138868228458</v>
      </c>
      <c r="P452" s="310">
        <f t="shared" ca="1" si="192"/>
        <v>23</v>
      </c>
      <c r="Q452" s="304">
        <f t="shared" ca="1" si="193"/>
        <v>0</v>
      </c>
      <c r="R452" s="306">
        <f t="shared" ca="1" si="194"/>
        <v>0</v>
      </c>
      <c r="S452" s="307">
        <f t="shared" ca="1" si="195"/>
        <v>8.1379999999999981</v>
      </c>
      <c r="T452" s="304">
        <f t="shared" ref="T452:T515" ca="1" si="204">m*g</f>
        <v>79.83377999999999</v>
      </c>
      <c r="U452" s="311">
        <f t="shared" ref="U452:U515" ca="1" si="205">IF(pos_xz&lt;L_rampe,Poids*COS(Beta),0)</f>
        <v>0</v>
      </c>
      <c r="V452" s="306">
        <f t="shared" ref="V452:V515" ca="1" si="206">Rho_moyen*(20000-Alt_rampe-pos_z)/(20000+Alt_rampe+pos_z)</f>
        <v>1.1044968004373001</v>
      </c>
      <c r="W452" s="304">
        <f t="shared" ref="W452:W515" ca="1" si="207">1/2*Rho*Sref*Cx*vit_xz^2</f>
        <v>27.160287893530668</v>
      </c>
      <c r="Y452" s="314" t="str">
        <f t="shared" ca="1" si="196"/>
        <v/>
      </c>
      <c r="Z452" s="315" t="str">
        <f t="shared" ca="1" si="197"/>
        <v/>
      </c>
      <c r="AA452" s="316" t="str">
        <f t="shared" ca="1" si="198"/>
        <v/>
      </c>
      <c r="AC452" s="310" t="e">
        <f t="shared" ca="1" si="199"/>
        <v>#N/A</v>
      </c>
      <c r="AD452" s="323" t="e">
        <f t="shared" ca="1" si="200"/>
        <v>#N/A</v>
      </c>
      <c r="AE452" s="324">
        <f t="shared" ref="AE452:AE515" ca="1" si="208">IF(t&lt;T_para, pos_z, NA())</f>
        <v>1034.5856627927419</v>
      </c>
      <c r="AG452" s="306">
        <f t="shared" ca="1" si="201"/>
        <v>-12.621211947689677</v>
      </c>
      <c r="AH452" s="304">
        <f t="shared" ca="1" si="202"/>
        <v>-3.4385666911642763</v>
      </c>
    </row>
    <row r="453" spans="1:34" x14ac:dyDescent="0.2">
      <c r="A453" s="347">
        <f t="shared" ref="A453:A516" ca="1" si="209">IF(B452+0.01&lt;=T_ini+ROUNDUP(Temps_fin_propu,0), 0.01, IF(K452&gt;0, 0.1, 0.0001))</f>
        <v>0.1</v>
      </c>
      <c r="B453" s="304">
        <f t="shared" ref="B453:B516" ca="1" si="210">B452+pas</f>
        <v>8.8999999999999417</v>
      </c>
      <c r="D453" s="306">
        <f t="shared" ref="D453:D516" ca="1" si="211">IF(AND(L452&lt;L_rampe,Poussee&lt;Poids*SIN(M452)),0,(-W452+Poussee)/m*COS(M452)-U452/m*SIN(M452))</f>
        <v>-1.1868372792795561</v>
      </c>
      <c r="E453" s="307">
        <f t="shared" ref="E453:E516" ca="1" si="212">IF(AND(L452&lt;L_rampe,Poussee&lt;Poids*SIN(M452)),0,(-W452+Poussee)/m*SIN(M452)+U452/m*COS(M452)-Poids/m)</f>
        <v>-12.929308902872142</v>
      </c>
      <c r="F453" s="304">
        <f t="shared" ref="F453:F516" ca="1" si="213">SQRT(acc_x^2+acc_z^2)</f>
        <v>12.983667102686226</v>
      </c>
      <c r="G453" s="306">
        <f t="shared" ref="G453:G516" ca="1" si="214">G452+acc_x*pas</f>
        <v>30.563949800791761</v>
      </c>
      <c r="H453" s="307">
        <f t="shared" ref="H453:H516" ca="1" si="215">H452+acc_z*pas</f>
        <v>79.34879953108657</v>
      </c>
      <c r="I453" s="304">
        <f t="shared" ref="I453:I516" ca="1" si="216">SQRT(vit_x^2+vit_z^2)</f>
        <v>85.031682415731865</v>
      </c>
      <c r="J453" s="306">
        <f t="shared" ref="J453:J516" ca="1" si="217">J452+0.5*(vit_x+G452)*pas*(K452&gt;=0)</f>
        <v>277.2601345043638</v>
      </c>
      <c r="K453" s="307">
        <f t="shared" ref="K453:K516" ca="1" si="218">K452+0.5*(vit_z+H452)*pas</f>
        <v>1042.585189290365</v>
      </c>
      <c r="L453" s="304">
        <f t="shared" ca="1" si="203"/>
        <v>1078.8220701825692</v>
      </c>
      <c r="M453" s="306">
        <f t="shared" ref="M453:M516" ca="1" si="219">IF(AND(L452&gt;L_rampe,G453&gt;0),ATAN2(G453,H453),$M$4)</f>
        <v>1.2031265689237023</v>
      </c>
      <c r="N453" s="304">
        <f t="shared" ref="N453:N516" ca="1" si="220">DEGREES(Beta)</f>
        <v>68.934074619383694</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8.1379999999999981</v>
      </c>
      <c r="T453" s="304">
        <f t="shared" ca="1" si="204"/>
        <v>79.83377999999999</v>
      </c>
      <c r="U453" s="311">
        <f t="shared" ca="1" si="205"/>
        <v>0</v>
      </c>
      <c r="V453" s="306">
        <f t="shared" ca="1" si="206"/>
        <v>1.1036112214452898</v>
      </c>
      <c r="W453" s="304">
        <f t="shared" ca="1" si="207"/>
        <v>26.357929034013193</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f t="shared" ca="1" si="208"/>
        <v>1042.585189290365</v>
      </c>
      <c r="AG453" s="306">
        <f t="shared" ref="AG453:AG516" ca="1" si="230">IF(AND(L452&lt;L_rampe,Poussee&lt;Poids*SIN(M452)),0,(-W452+Poussee)/m-Poids*SIN(M452)/m)</f>
        <v>-12.506226910127456</v>
      </c>
      <c r="AH453" s="304">
        <f t="shared" ref="AH453:AH516" ca="1" si="231">IF(AND(L452&lt;L_rampe,Poussee&lt;Poids*SIN(M452)), g*SIN(M452), (-W452+Poussee)/m)</f>
        <v>-3.3374647202667331</v>
      </c>
    </row>
    <row r="454" spans="1:34" x14ac:dyDescent="0.2">
      <c r="A454" s="347">
        <f t="shared" ca="1" si="209"/>
        <v>0.1</v>
      </c>
      <c r="B454" s="304">
        <f t="shared" ca="1" si="210"/>
        <v>8.9999999999999414</v>
      </c>
      <c r="D454" s="306">
        <f t="shared" ca="1" si="211"/>
        <v>-1.1641858182723146</v>
      </c>
      <c r="E454" s="307">
        <f t="shared" ca="1" si="212"/>
        <v>-12.832408677972339</v>
      </c>
      <c r="F454" s="304">
        <f t="shared" ca="1" si="213"/>
        <v>12.885109277688185</v>
      </c>
      <c r="G454" s="306">
        <f t="shared" ca="1" si="214"/>
        <v>30.447531218964528</v>
      </c>
      <c r="H454" s="307">
        <f t="shared" ca="1" si="215"/>
        <v>78.065558663289337</v>
      </c>
      <c r="I454" s="304">
        <f t="shared" ca="1" si="216"/>
        <v>83.79309999481633</v>
      </c>
      <c r="J454" s="306">
        <f t="shared" ca="1" si="217"/>
        <v>280.3107085553516</v>
      </c>
      <c r="K454" s="307">
        <f t="shared" ca="1" si="218"/>
        <v>1050.4559072000839</v>
      </c>
      <c r="L454" s="304">
        <f t="shared" ca="1" si="203"/>
        <v>1087.2128155528496</v>
      </c>
      <c r="M454" s="306">
        <f t="shared" ca="1" si="219"/>
        <v>1.1989184235245978</v>
      </c>
      <c r="N454" s="304">
        <f t="shared" ca="1" si="220"/>
        <v>68.692965648437607</v>
      </c>
      <c r="P454" s="310">
        <f t="shared" ca="1" si="221"/>
        <v>23</v>
      </c>
      <c r="Q454" s="304">
        <f t="shared" ca="1" si="222"/>
        <v>0</v>
      </c>
      <c r="R454" s="306">
        <f t="shared" ca="1" si="223"/>
        <v>0</v>
      </c>
      <c r="S454" s="307">
        <f t="shared" ca="1" si="224"/>
        <v>8.1379999999999981</v>
      </c>
      <c r="T454" s="304">
        <f t="shared" ca="1" si="204"/>
        <v>79.83377999999999</v>
      </c>
      <c r="U454" s="311">
        <f t="shared" ca="1" si="205"/>
        <v>0</v>
      </c>
      <c r="V454" s="306">
        <f t="shared" ca="1" si="206"/>
        <v>1.102740558970035</v>
      </c>
      <c r="W454" s="304">
        <f t="shared" ca="1" si="207"/>
        <v>25.575462523936167</v>
      </c>
      <c r="Y454" s="314" t="str">
        <f t="shared" ca="1" si="225"/>
        <v/>
      </c>
      <c r="Z454" s="315" t="str">
        <f t="shared" ca="1" si="226"/>
        <v/>
      </c>
      <c r="AA454" s="316" t="str">
        <f t="shared" ca="1" si="227"/>
        <v/>
      </c>
      <c r="AC454" s="310">
        <f t="shared" ca="1" si="228"/>
        <v>8.9999999999999414</v>
      </c>
      <c r="AD454" s="323">
        <f t="shared" ca="1" si="229"/>
        <v>280.3107085553516</v>
      </c>
      <c r="AE454" s="324">
        <f t="shared" ca="1" si="208"/>
        <v>1050.4559072000839</v>
      </c>
      <c r="AG454" s="306">
        <f t="shared" ca="1" si="230"/>
        <v>-12.393243443609705</v>
      </c>
      <c r="AH454" s="304">
        <f t="shared" ca="1" si="231"/>
        <v>-3.2388706112083065</v>
      </c>
    </row>
    <row r="455" spans="1:34" x14ac:dyDescent="0.2">
      <c r="A455" s="347">
        <f t="shared" ca="1" si="209"/>
        <v>0.1</v>
      </c>
      <c r="B455" s="304">
        <f t="shared" ca="1" si="210"/>
        <v>9.099999999999941</v>
      </c>
      <c r="D455" s="306">
        <f t="shared" ca="1" si="211"/>
        <v>-1.1419567019426469</v>
      </c>
      <c r="E455" s="307">
        <f t="shared" ca="1" si="212"/>
        <v>-12.737905296010133</v>
      </c>
      <c r="F455" s="304">
        <f t="shared" ca="1" si="213"/>
        <v>12.788991220547253</v>
      </c>
      <c r="G455" s="306">
        <f t="shared" ca="1" si="214"/>
        <v>30.333335548770265</v>
      </c>
      <c r="H455" s="307">
        <f t="shared" ca="1" si="215"/>
        <v>76.791768133688322</v>
      </c>
      <c r="I455" s="304">
        <f t="shared" ca="1" si="216"/>
        <v>82.565652051034149</v>
      </c>
      <c r="J455" s="306">
        <f t="shared" ca="1" si="217"/>
        <v>283.34975189373836</v>
      </c>
      <c r="K455" s="307">
        <f t="shared" ca="1" si="218"/>
        <v>1058.1987735399327</v>
      </c>
      <c r="L455" s="304">
        <f t="shared" ca="1" si="203"/>
        <v>1095.4778529115324</v>
      </c>
      <c r="M455" s="306">
        <f t="shared" ca="1" si="219"/>
        <v>1.1946010982720905</v>
      </c>
      <c r="N455" s="304">
        <f t="shared" ca="1" si="220"/>
        <v>68.445601132683692</v>
      </c>
      <c r="P455" s="310">
        <f t="shared" ca="1" si="221"/>
        <v>23</v>
      </c>
      <c r="Q455" s="304">
        <f t="shared" ca="1" si="222"/>
        <v>0</v>
      </c>
      <c r="R455" s="306">
        <f t="shared" ca="1" si="223"/>
        <v>0</v>
      </c>
      <c r="S455" s="307">
        <f t="shared" ca="1" si="224"/>
        <v>8.1379999999999981</v>
      </c>
      <c r="T455" s="304">
        <f t="shared" ca="1" si="204"/>
        <v>79.83377999999999</v>
      </c>
      <c r="U455" s="311">
        <f t="shared" ca="1" si="205"/>
        <v>0</v>
      </c>
      <c r="V455" s="306">
        <f t="shared" ca="1" si="206"/>
        <v>1.1018846745605575</v>
      </c>
      <c r="W455" s="304">
        <f t="shared" ca="1" si="207"/>
        <v>24.81239038326633</v>
      </c>
      <c r="Y455" s="314" t="str">
        <f t="shared" ca="1" si="225"/>
        <v/>
      </c>
      <c r="Z455" s="315" t="str">
        <f t="shared" ca="1" si="226"/>
        <v/>
      </c>
      <c r="AA455" s="316" t="str">
        <f t="shared" ca="1" si="227"/>
        <v/>
      </c>
      <c r="AC455" s="310" t="e">
        <f t="shared" ca="1" si="228"/>
        <v>#N/A</v>
      </c>
      <c r="AD455" s="323" t="e">
        <f t="shared" ca="1" si="229"/>
        <v>#N/A</v>
      </c>
      <c r="AE455" s="324">
        <f t="shared" ca="1" si="208"/>
        <v>1058.1987735399327</v>
      </c>
      <c r="AG455" s="306">
        <f t="shared" ca="1" si="230"/>
        <v>-12.282174254561227</v>
      </c>
      <c r="AH455" s="304">
        <f t="shared" ca="1" si="231"/>
        <v>-3.1427208803067304</v>
      </c>
    </row>
    <row r="456" spans="1:34" x14ac:dyDescent="0.2">
      <c r="A456" s="347">
        <f t="shared" ca="1" si="209"/>
        <v>0.1</v>
      </c>
      <c r="B456" s="304">
        <f t="shared" ca="1" si="210"/>
        <v>9.1999999999999407</v>
      </c>
      <c r="D456" s="306">
        <f t="shared" ca="1" si="211"/>
        <v>-1.1201383703484793</v>
      </c>
      <c r="E456" s="307">
        <f t="shared" ca="1" si="212"/>
        <v>-12.645738452671921</v>
      </c>
      <c r="F456" s="304">
        <f t="shared" ca="1" si="213"/>
        <v>12.695251513149008</v>
      </c>
      <c r="G456" s="306">
        <f t="shared" ca="1" si="214"/>
        <v>30.221321711735417</v>
      </c>
      <c r="H456" s="307">
        <f t="shared" ca="1" si="215"/>
        <v>75.527194288421128</v>
      </c>
      <c r="I456" s="304">
        <f t="shared" ca="1" si="216"/>
        <v>81.349157113550504</v>
      </c>
      <c r="J456" s="306">
        <f t="shared" ca="1" si="217"/>
        <v>286.37748475676364</v>
      </c>
      <c r="K456" s="307">
        <f t="shared" ca="1" si="218"/>
        <v>1065.8147216610382</v>
      </c>
      <c r="L456" s="304">
        <f t="shared" ca="1" si="203"/>
        <v>1103.6181788485576</v>
      </c>
      <c r="M456" s="306">
        <f t="shared" ca="1" si="219"/>
        <v>1.1901707473754217</v>
      </c>
      <c r="N456" s="304">
        <f t="shared" ca="1" si="220"/>
        <v>68.191760724542561</v>
      </c>
      <c r="P456" s="310">
        <f t="shared" ca="1" si="221"/>
        <v>23</v>
      </c>
      <c r="Q456" s="304">
        <f t="shared" ca="1" si="222"/>
        <v>0</v>
      </c>
      <c r="R456" s="306">
        <f t="shared" ca="1" si="223"/>
        <v>0</v>
      </c>
      <c r="S456" s="307">
        <f t="shared" ca="1" si="224"/>
        <v>8.1379999999999981</v>
      </c>
      <c r="T456" s="304">
        <f t="shared" ca="1" si="204"/>
        <v>79.83377999999999</v>
      </c>
      <c r="U456" s="311">
        <f t="shared" ca="1" si="205"/>
        <v>0</v>
      </c>
      <c r="V456" s="306">
        <f t="shared" ca="1" si="206"/>
        <v>1.1010434332793921</v>
      </c>
      <c r="W456" s="304">
        <f t="shared" ca="1" si="207"/>
        <v>24.068232524182864</v>
      </c>
      <c r="Y456" s="314" t="str">
        <f t="shared" ca="1" si="225"/>
        <v/>
      </c>
      <c r="Z456" s="315" t="str">
        <f t="shared" ca="1" si="226"/>
        <v/>
      </c>
      <c r="AA456" s="316" t="str">
        <f t="shared" ca="1" si="227"/>
        <v/>
      </c>
      <c r="AC456" s="310" t="e">
        <f t="shared" ca="1" si="228"/>
        <v>#N/A</v>
      </c>
      <c r="AD456" s="323" t="e">
        <f t="shared" ca="1" si="229"/>
        <v>#N/A</v>
      </c>
      <c r="AE456" s="324">
        <f t="shared" ca="1" si="208"/>
        <v>1065.8147216610382</v>
      </c>
      <c r="AG456" s="306">
        <f t="shared" ca="1" si="230"/>
        <v>-12.172932971745279</v>
      </c>
      <c r="AH456" s="304">
        <f t="shared" ca="1" si="231"/>
        <v>-3.0489543356188666</v>
      </c>
    </row>
    <row r="457" spans="1:34" x14ac:dyDescent="0.2">
      <c r="A457" s="347">
        <f t="shared" ca="1" si="209"/>
        <v>0.1</v>
      </c>
      <c r="B457" s="304">
        <f t="shared" ca="1" si="210"/>
        <v>9.2999999999999403</v>
      </c>
      <c r="D457" s="306">
        <f t="shared" ca="1" si="211"/>
        <v>-1.0987196954486089</v>
      </c>
      <c r="E457" s="307">
        <f t="shared" ca="1" si="212"/>
        <v>-12.555849989560128</v>
      </c>
      <c r="F457" s="304">
        <f t="shared" ca="1" si="213"/>
        <v>12.603830922759309</v>
      </c>
      <c r="G457" s="306">
        <f t="shared" ca="1" si="214"/>
        <v>30.111449742190555</v>
      </c>
      <c r="H457" s="307">
        <f t="shared" ca="1" si="215"/>
        <v>74.271609289465118</v>
      </c>
      <c r="I457" s="304">
        <f t="shared" ca="1" si="216"/>
        <v>80.143442351969313</v>
      </c>
      <c r="J457" s="306">
        <f t="shared" ca="1" si="217"/>
        <v>289.39412332945994</v>
      </c>
      <c r="K457" s="307">
        <f t="shared" ca="1" si="218"/>
        <v>1073.3046618399326</v>
      </c>
      <c r="L457" s="304">
        <f t="shared" ca="1" si="203"/>
        <v>1111.6347672437016</v>
      </c>
      <c r="M457" s="306">
        <f t="shared" ca="1" si="219"/>
        <v>1.1856233499842848</v>
      </c>
      <c r="N457" s="304">
        <f t="shared" ca="1" si="220"/>
        <v>67.931214046261616</v>
      </c>
      <c r="P457" s="310">
        <f t="shared" ca="1" si="221"/>
        <v>23</v>
      </c>
      <c r="Q457" s="304">
        <f t="shared" ca="1" si="222"/>
        <v>0</v>
      </c>
      <c r="R457" s="306">
        <f t="shared" ca="1" si="223"/>
        <v>0</v>
      </c>
      <c r="S457" s="307">
        <f t="shared" ca="1" si="224"/>
        <v>8.1379999999999981</v>
      </c>
      <c r="T457" s="304">
        <f t="shared" ca="1" si="204"/>
        <v>79.83377999999999</v>
      </c>
      <c r="U457" s="311">
        <f t="shared" ca="1" si="205"/>
        <v>0</v>
      </c>
      <c r="V457" s="306">
        <f t="shared" ca="1" si="206"/>
        <v>1.100216703611296</v>
      </c>
      <c r="W457" s="304">
        <f t="shared" ca="1" si="207"/>
        <v>23.342526029997877</v>
      </c>
      <c r="Y457" s="314" t="str">
        <f t="shared" ca="1" si="225"/>
        <v/>
      </c>
      <c r="Z457" s="315" t="str">
        <f t="shared" ca="1" si="226"/>
        <v/>
      </c>
      <c r="AA457" s="316" t="str">
        <f t="shared" ca="1" si="227"/>
        <v/>
      </c>
      <c r="AC457" s="310" t="e">
        <f t="shared" ca="1" si="228"/>
        <v>#N/A</v>
      </c>
      <c r="AD457" s="323" t="e">
        <f t="shared" ca="1" si="229"/>
        <v>#N/A</v>
      </c>
      <c r="AE457" s="324">
        <f t="shared" ca="1" si="208"/>
        <v>1073.3046618399326</v>
      </c>
      <c r="AG457" s="306">
        <f t="shared" ca="1" si="230"/>
        <v>-12.065433961840743</v>
      </c>
      <c r="AH457" s="304">
        <f t="shared" ca="1" si="231"/>
        <v>-2.9575119838022697</v>
      </c>
    </row>
    <row r="458" spans="1:34" x14ac:dyDescent="0.2">
      <c r="A458" s="347">
        <f t="shared" ca="1" si="209"/>
        <v>0.1</v>
      </c>
      <c r="B458" s="304">
        <f t="shared" ca="1" si="210"/>
        <v>9.39999999999994</v>
      </c>
      <c r="D458" s="306">
        <f t="shared" ca="1" si="211"/>
        <v>-1.0776899659312646</v>
      </c>
      <c r="E458" s="307">
        <f t="shared" ca="1" si="212"/>
        <v>-12.468183806164392</v>
      </c>
      <c r="F458" s="304">
        <f t="shared" ca="1" si="213"/>
        <v>12.514672312408699</v>
      </c>
      <c r="G458" s="306">
        <f t="shared" ca="1" si="214"/>
        <v>30.003680745597428</v>
      </c>
      <c r="H458" s="307">
        <f t="shared" ca="1" si="215"/>
        <v>73.024790908848672</v>
      </c>
      <c r="I458" s="304">
        <f t="shared" ca="1" si="216"/>
        <v>78.948343526414803</v>
      </c>
      <c r="J458" s="306">
        <f t="shared" ca="1" si="217"/>
        <v>292.39987985384937</v>
      </c>
      <c r="K458" s="307">
        <f t="shared" ca="1" si="218"/>
        <v>1080.6694818498484</v>
      </c>
      <c r="L458" s="304">
        <f t="shared" ca="1" si="203"/>
        <v>1119.5285698632997</v>
      </c>
      <c r="M458" s="306">
        <f t="shared" ca="1" si="219"/>
        <v>1.1809547008551964</v>
      </c>
      <c r="N458" s="304">
        <f t="shared" ca="1" si="220"/>
        <v>67.663720155137426</v>
      </c>
      <c r="P458" s="310">
        <f t="shared" ca="1" si="221"/>
        <v>23</v>
      </c>
      <c r="Q458" s="304">
        <f t="shared" ca="1" si="222"/>
        <v>0</v>
      </c>
      <c r="R458" s="306">
        <f t="shared" ca="1" si="223"/>
        <v>0</v>
      </c>
      <c r="S458" s="307">
        <f t="shared" ca="1" si="224"/>
        <v>8.1379999999999981</v>
      </c>
      <c r="T458" s="304">
        <f t="shared" ca="1" si="204"/>
        <v>79.83377999999999</v>
      </c>
      <c r="U458" s="311">
        <f t="shared" ca="1" si="205"/>
        <v>0</v>
      </c>
      <c r="V458" s="306">
        <f t="shared" ca="1" si="206"/>
        <v>1.0994043573752861</v>
      </c>
      <c r="W458" s="304">
        <f t="shared" ca="1" si="207"/>
        <v>22.63482446893892</v>
      </c>
      <c r="Y458" s="314" t="str">
        <f t="shared" ca="1" si="225"/>
        <v/>
      </c>
      <c r="Z458" s="315" t="str">
        <f t="shared" ca="1" si="226"/>
        <v/>
      </c>
      <c r="AA458" s="316" t="str">
        <f t="shared" ca="1" si="227"/>
        <v/>
      </c>
      <c r="AC458" s="310" t="e">
        <f t="shared" ca="1" si="228"/>
        <v>#N/A</v>
      </c>
      <c r="AD458" s="323" t="e">
        <f t="shared" ca="1" si="229"/>
        <v>#N/A</v>
      </c>
      <c r="AE458" s="324">
        <f t="shared" ca="1" si="208"/>
        <v>1080.6694818498484</v>
      </c>
      <c r="AG458" s="306">
        <f t="shared" ca="1" si="230"/>
        <v>-11.959592142774088</v>
      </c>
      <c r="AH458" s="304">
        <f t="shared" ca="1" si="231"/>
        <v>-2.8683369415087099</v>
      </c>
    </row>
    <row r="459" spans="1:34" x14ac:dyDescent="0.2">
      <c r="A459" s="347">
        <f t="shared" ca="1" si="209"/>
        <v>0.1</v>
      </c>
      <c r="B459" s="304">
        <f t="shared" ca="1" si="210"/>
        <v>9.4999999999999396</v>
      </c>
      <c r="D459" s="306">
        <f t="shared" ca="1" si="211"/>
        <v>-1.0570388729602995</v>
      </c>
      <c r="E459" s="307">
        <f t="shared" ca="1" si="212"/>
        <v>-12.382685775953586</v>
      </c>
      <c r="F459" s="304">
        <f t="shared" ca="1" si="213"/>
        <v>12.427720555474059</v>
      </c>
      <c r="G459" s="306">
        <f t="shared" ca="1" si="214"/>
        <v>29.897976858301398</v>
      </c>
      <c r="H459" s="307">
        <f t="shared" ca="1" si="215"/>
        <v>71.786522331253309</v>
      </c>
      <c r="I459" s="304">
        <f t="shared" ca="1" si="216"/>
        <v>77.763704956972418</v>
      </c>
      <c r="J459" s="306">
        <f t="shared" ca="1" si="217"/>
        <v>295.39496273404433</v>
      </c>
      <c r="K459" s="307">
        <f t="shared" ca="1" si="218"/>
        <v>1087.9100475118535</v>
      </c>
      <c r="L459" s="304">
        <f t="shared" ca="1" si="203"/>
        <v>1127.3005169367618</v>
      </c>
      <c r="M459" s="306">
        <f t="shared" ca="1" si="219"/>
        <v>1.1761604004736541</v>
      </c>
      <c r="N459" s="304">
        <f t="shared" ca="1" si="220"/>
        <v>67.389026977557094</v>
      </c>
      <c r="P459" s="310">
        <f t="shared" ca="1" si="221"/>
        <v>23</v>
      </c>
      <c r="Q459" s="304">
        <f t="shared" ca="1" si="222"/>
        <v>0</v>
      </c>
      <c r="R459" s="306">
        <f t="shared" ca="1" si="223"/>
        <v>0</v>
      </c>
      <c r="S459" s="307">
        <f t="shared" ca="1" si="224"/>
        <v>8.1379999999999981</v>
      </c>
      <c r="T459" s="304">
        <f t="shared" ca="1" si="204"/>
        <v>79.83377999999999</v>
      </c>
      <c r="U459" s="311">
        <f t="shared" ca="1" si="205"/>
        <v>0</v>
      </c>
      <c r="V459" s="306">
        <f t="shared" ca="1" si="206"/>
        <v>1.0986062696398629</v>
      </c>
      <c r="W459" s="304">
        <f t="shared" ca="1" si="207"/>
        <v>21.944697240898204</v>
      </c>
      <c r="Y459" s="314" t="str">
        <f t="shared" ca="1" si="225"/>
        <v/>
      </c>
      <c r="Z459" s="315" t="str">
        <f t="shared" ca="1" si="226"/>
        <v/>
      </c>
      <c r="AA459" s="316" t="str">
        <f t="shared" ca="1" si="227"/>
        <v/>
      </c>
      <c r="AC459" s="310" t="e">
        <f t="shared" ca="1" si="228"/>
        <v>#N/A</v>
      </c>
      <c r="AD459" s="323" t="e">
        <f t="shared" ca="1" si="229"/>
        <v>#N/A</v>
      </c>
      <c r="AE459" s="324">
        <f t="shared" ca="1" si="208"/>
        <v>1087.9100475118535</v>
      </c>
      <c r="AG459" s="306">
        <f t="shared" ca="1" si="230"/>
        <v>-11.855322794021841</v>
      </c>
      <c r="AH459" s="304">
        <f t="shared" ca="1" si="231"/>
        <v>-2.7813743510615536</v>
      </c>
    </row>
    <row r="460" spans="1:34" x14ac:dyDescent="0.2">
      <c r="A460" s="347">
        <f t="shared" ca="1" si="209"/>
        <v>0.1</v>
      </c>
      <c r="B460" s="304">
        <f t="shared" ca="1" si="210"/>
        <v>9.5999999999999392</v>
      </c>
      <c r="D460" s="306">
        <f t="shared" ca="1" si="211"/>
        <v>-1.0367564968036576</v>
      </c>
      <c r="E460" s="307">
        <f t="shared" ca="1" si="212"/>
        <v>-12.299303666351692</v>
      </c>
      <c r="F460" s="304">
        <f t="shared" ca="1" si="213"/>
        <v>12.342922454216293</v>
      </c>
      <c r="G460" s="306">
        <f t="shared" ca="1" si="214"/>
        <v>29.794301208621032</v>
      </c>
      <c r="H460" s="307">
        <f t="shared" ca="1" si="215"/>
        <v>70.556591964618136</v>
      </c>
      <c r="I460" s="304">
        <f t="shared" ca="1" si="216"/>
        <v>76.589379512904102</v>
      </c>
      <c r="J460" s="306">
        <f t="shared" ca="1" si="217"/>
        <v>298.37957663739047</v>
      </c>
      <c r="K460" s="307">
        <f t="shared" ca="1" si="218"/>
        <v>1095.0272032266471</v>
      </c>
      <c r="L460" s="304">
        <f t="shared" ca="1" si="203"/>
        <v>1134.9515177137221</v>
      </c>
      <c r="M460" s="306">
        <f t="shared" ca="1" si="219"/>
        <v>1.171235844601066</v>
      </c>
      <c r="N460" s="304">
        <f t="shared" ca="1" si="220"/>
        <v>67.106870710081424</v>
      </c>
      <c r="P460" s="310">
        <f t="shared" ca="1" si="221"/>
        <v>23</v>
      </c>
      <c r="Q460" s="304">
        <f t="shared" ca="1" si="222"/>
        <v>0</v>
      </c>
      <c r="R460" s="306">
        <f t="shared" ca="1" si="223"/>
        <v>0</v>
      </c>
      <c r="S460" s="307">
        <f t="shared" ca="1" si="224"/>
        <v>8.1379999999999981</v>
      </c>
      <c r="T460" s="304">
        <f t="shared" ca="1" si="204"/>
        <v>79.83377999999999</v>
      </c>
      <c r="U460" s="311">
        <f t="shared" ca="1" si="205"/>
        <v>0</v>
      </c>
      <c r="V460" s="306">
        <f t="shared" ca="1" si="206"/>
        <v>1.0978223186412897</v>
      </c>
      <c r="W460" s="304">
        <f t="shared" ca="1" si="207"/>
        <v>21.271728955369205</v>
      </c>
      <c r="Y460" s="314" t="str">
        <f t="shared" ca="1" si="225"/>
        <v/>
      </c>
      <c r="Z460" s="315" t="str">
        <f t="shared" ca="1" si="226"/>
        <v/>
      </c>
      <c r="AA460" s="316" t="str">
        <f t="shared" ca="1" si="227"/>
        <v/>
      </c>
      <c r="AC460" s="310" t="e">
        <f t="shared" ca="1" si="228"/>
        <v>#N/A</v>
      </c>
      <c r="AD460" s="323" t="e">
        <f t="shared" ca="1" si="229"/>
        <v>#N/A</v>
      </c>
      <c r="AE460" s="324">
        <f t="shared" ca="1" si="208"/>
        <v>1095.0272032266471</v>
      </c>
      <c r="AG460" s="306">
        <f t="shared" ca="1" si="230"/>
        <v>-11.752541363072071</v>
      </c>
      <c r="AH460" s="304">
        <f t="shared" ca="1" si="231"/>
        <v>-2.6965713001841003</v>
      </c>
    </row>
    <row r="461" spans="1:34" x14ac:dyDescent="0.2">
      <c r="A461" s="347">
        <f t="shared" ca="1" si="209"/>
        <v>0.1</v>
      </c>
      <c r="B461" s="304">
        <f t="shared" ca="1" si="210"/>
        <v>9.6999999999999389</v>
      </c>
      <c r="D461" s="306">
        <f t="shared" ca="1" si="211"/>
        <v>-1.0168332943121767</v>
      </c>
      <c r="E461" s="307">
        <f t="shared" ca="1" si="212"/>
        <v>-12.217987062373638</v>
      </c>
      <c r="F461" s="304">
        <f t="shared" ca="1" si="213"/>
        <v>12.260226662046318</v>
      </c>
      <c r="G461" s="306">
        <f t="shared" ca="1" si="214"/>
        <v>29.692617879189815</v>
      </c>
      <c r="H461" s="307">
        <f t="shared" ca="1" si="215"/>
        <v>69.33479325838077</v>
      </c>
      <c r="I461" s="304">
        <f t="shared" ca="1" si="216"/>
        <v>75.425228622139329</v>
      </c>
      <c r="J461" s="306">
        <f t="shared" ca="1" si="217"/>
        <v>301.35392259178099</v>
      </c>
      <c r="K461" s="307">
        <f t="shared" ca="1" si="218"/>
        <v>1102.0217724877971</v>
      </c>
      <c r="L461" s="304">
        <f t="shared" ca="1" si="203"/>
        <v>1142.4824610026183</v>
      </c>
      <c r="M461" s="306">
        <f t="shared" ca="1" si="219"/>
        <v>1.1661762132142477</v>
      </c>
      <c r="N461" s="304">
        <f t="shared" ca="1" si="220"/>
        <v>66.816975185724814</v>
      </c>
      <c r="P461" s="310">
        <f t="shared" ca="1" si="221"/>
        <v>23</v>
      </c>
      <c r="Q461" s="304">
        <f t="shared" ca="1" si="222"/>
        <v>0</v>
      </c>
      <c r="R461" s="306">
        <f t="shared" ca="1" si="223"/>
        <v>0</v>
      </c>
      <c r="S461" s="307">
        <f t="shared" ca="1" si="224"/>
        <v>8.1379999999999981</v>
      </c>
      <c r="T461" s="304">
        <f t="shared" ca="1" si="204"/>
        <v>79.83377999999999</v>
      </c>
      <c r="U461" s="311">
        <f t="shared" ca="1" si="205"/>
        <v>0</v>
      </c>
      <c r="V461" s="306">
        <f t="shared" ca="1" si="206"/>
        <v>1.0970523857048038</v>
      </c>
      <c r="W461" s="304">
        <f t="shared" ca="1" si="207"/>
        <v>20.615518838898879</v>
      </c>
      <c r="Y461" s="314" t="str">
        <f t="shared" ca="1" si="225"/>
        <v/>
      </c>
      <c r="Z461" s="315" t="str">
        <f t="shared" ca="1" si="226"/>
        <v/>
      </c>
      <c r="AA461" s="316" t="str">
        <f t="shared" ca="1" si="227"/>
        <v/>
      </c>
      <c r="AC461" s="310" t="e">
        <f t="shared" ca="1" si="228"/>
        <v>#N/A</v>
      </c>
      <c r="AD461" s="323" t="e">
        <f t="shared" ca="1" si="229"/>
        <v>#N/A</v>
      </c>
      <c r="AE461" s="324">
        <f t="shared" ca="1" si="208"/>
        <v>1102.0217724877971</v>
      </c>
      <c r="AG461" s="306">
        <f t="shared" ca="1" si="230"/>
        <v>-11.651163267202392</v>
      </c>
      <c r="AH461" s="304">
        <f t="shared" ca="1" si="231"/>
        <v>-2.6138767455602374</v>
      </c>
    </row>
    <row r="462" spans="1:34" x14ac:dyDescent="0.2">
      <c r="A462" s="347">
        <f t="shared" ca="1" si="209"/>
        <v>0.1</v>
      </c>
      <c r="B462" s="304">
        <f t="shared" ca="1" si="210"/>
        <v>9.7999999999999385</v>
      </c>
      <c r="D462" s="306">
        <f t="shared" ca="1" si="211"/>
        <v>-0.99726008721997528</v>
      </c>
      <c r="E462" s="307">
        <f t="shared" ca="1" si="212"/>
        <v>-12.138687293709195</v>
      </c>
      <c r="F462" s="304">
        <f t="shared" ca="1" si="213"/>
        <v>12.179583609303688</v>
      </c>
      <c r="G462" s="306">
        <f t="shared" ca="1" si="214"/>
        <v>29.592891870467817</v>
      </c>
      <c r="H462" s="307">
        <f t="shared" ca="1" si="215"/>
        <v>68.120924529009855</v>
      </c>
      <c r="I462" s="304">
        <f t="shared" ca="1" si="216"/>
        <v>74.271122301633866</v>
      </c>
      <c r="J462" s="306">
        <f t="shared" ca="1" si="217"/>
        <v>304.31819807926388</v>
      </c>
      <c r="K462" s="307">
        <f t="shared" ca="1" si="218"/>
        <v>1108.8945583771665</v>
      </c>
      <c r="L462" s="304">
        <f t="shared" ca="1" si="203"/>
        <v>1149.8942156914702</v>
      </c>
      <c r="M462" s="306">
        <f t="shared" ca="1" si="219"/>
        <v>1.1609764588041849</v>
      </c>
      <c r="N462" s="304">
        <f t="shared" ca="1" si="220"/>
        <v>66.519051203523674</v>
      </c>
      <c r="P462" s="310">
        <f t="shared" ca="1" si="221"/>
        <v>23</v>
      </c>
      <c r="Q462" s="304">
        <f t="shared" ca="1" si="222"/>
        <v>0</v>
      </c>
      <c r="R462" s="306">
        <f t="shared" ca="1" si="223"/>
        <v>0</v>
      </c>
      <c r="S462" s="307">
        <f t="shared" ca="1" si="224"/>
        <v>8.1379999999999981</v>
      </c>
      <c r="T462" s="304">
        <f t="shared" ca="1" si="204"/>
        <v>79.83377999999999</v>
      </c>
      <c r="U462" s="311">
        <f t="shared" ca="1" si="205"/>
        <v>0</v>
      </c>
      <c r="V462" s="306">
        <f t="shared" ca="1" si="206"/>
        <v>1.0962963551686373</v>
      </c>
      <c r="W462" s="304">
        <f t="shared" ca="1" si="207"/>
        <v>19.975680170484289</v>
      </c>
      <c r="Y462" s="314" t="str">
        <f t="shared" ca="1" si="225"/>
        <v/>
      </c>
      <c r="Z462" s="315" t="str">
        <f t="shared" ca="1" si="226"/>
        <v/>
      </c>
      <c r="AA462" s="316" t="str">
        <f t="shared" ca="1" si="227"/>
        <v/>
      </c>
      <c r="AC462" s="310" t="e">
        <f t="shared" ca="1" si="228"/>
        <v>#N/A</v>
      </c>
      <c r="AD462" s="323" t="e">
        <f t="shared" ca="1" si="229"/>
        <v>#N/A</v>
      </c>
      <c r="AE462" s="324">
        <f t="shared" ca="1" si="208"/>
        <v>1108.8945583771665</v>
      </c>
      <c r="AG462" s="306">
        <f t="shared" ca="1" si="230"/>
        <v>-11.55110368969723</v>
      </c>
      <c r="AH462" s="304">
        <f t="shared" ca="1" si="231"/>
        <v>-2.5332414400219814</v>
      </c>
    </row>
    <row r="463" spans="1:34" x14ac:dyDescent="0.2">
      <c r="A463" s="347">
        <f t="shared" ca="1" si="209"/>
        <v>0.1</v>
      </c>
      <c r="B463" s="304">
        <f t="shared" ca="1" si="210"/>
        <v>9.8999999999999382</v>
      </c>
      <c r="D463" s="306">
        <f t="shared" ca="1" si="211"/>
        <v>-0.97802805124079106</v>
      </c>
      <c r="E463" s="307">
        <f t="shared" ca="1" si="212"/>
        <v>-12.061357365054141</v>
      </c>
      <c r="F463" s="304">
        <f t="shared" ca="1" si="213"/>
        <v>12.100945432343691</v>
      </c>
      <c r="G463" s="306">
        <f t="shared" ca="1" si="214"/>
        <v>29.495089065343738</v>
      </c>
      <c r="H463" s="307">
        <f t="shared" ca="1" si="215"/>
        <v>66.914788792504439</v>
      </c>
      <c r="I463" s="304">
        <f t="shared" ca="1" si="216"/>
        <v>73.126939209282085</v>
      </c>
      <c r="J463" s="306">
        <f t="shared" ca="1" si="217"/>
        <v>307.27259712605445</v>
      </c>
      <c r="K463" s="307">
        <f t="shared" ca="1" si="218"/>
        <v>1115.6463440432422</v>
      </c>
      <c r="L463" s="304">
        <f t="shared" ca="1" si="203"/>
        <v>1157.1876312515801</v>
      </c>
      <c r="M463" s="306">
        <f t="shared" ca="1" si="219"/>
        <v>1.1556312939997966</v>
      </c>
      <c r="N463" s="304">
        <f t="shared" ca="1" si="220"/>
        <v>66.212795819430355</v>
      </c>
      <c r="P463" s="310">
        <f t="shared" ca="1" si="221"/>
        <v>23</v>
      </c>
      <c r="Q463" s="304">
        <f t="shared" ca="1" si="222"/>
        <v>0</v>
      </c>
      <c r="R463" s="306">
        <f t="shared" ca="1" si="223"/>
        <v>0</v>
      </c>
      <c r="S463" s="307">
        <f t="shared" ca="1" si="224"/>
        <v>8.1379999999999981</v>
      </c>
      <c r="T463" s="304">
        <f t="shared" ca="1" si="204"/>
        <v>79.83377999999999</v>
      </c>
      <c r="U463" s="311">
        <f t="shared" ca="1" si="205"/>
        <v>0</v>
      </c>
      <c r="V463" s="306">
        <f t="shared" ca="1" si="206"/>
        <v>1.0955541143107363</v>
      </c>
      <c r="W463" s="304">
        <f t="shared" ca="1" si="207"/>
        <v>19.351839743436166</v>
      </c>
      <c r="Y463" s="314" t="str">
        <f t="shared" ca="1" si="225"/>
        <v/>
      </c>
      <c r="Z463" s="315" t="str">
        <f t="shared" ca="1" si="226"/>
        <v/>
      </c>
      <c r="AA463" s="316" t="str">
        <f t="shared" ca="1" si="227"/>
        <v/>
      </c>
      <c r="AC463" s="310" t="e">
        <f t="shared" ca="1" si="228"/>
        <v>#N/A</v>
      </c>
      <c r="AD463" s="323" t="e">
        <f t="shared" ca="1" si="229"/>
        <v>#N/A</v>
      </c>
      <c r="AE463" s="324">
        <f t="shared" ca="1" si="208"/>
        <v>1115.6463440432422</v>
      </c>
      <c r="AG463" s="306">
        <f t="shared" ca="1" si="230"/>
        <v>-11.452277369588259</v>
      </c>
      <c r="AH463" s="304">
        <f t="shared" ca="1" si="231"/>
        <v>-2.4546178631708395</v>
      </c>
    </row>
    <row r="464" spans="1:34" x14ac:dyDescent="0.2">
      <c r="A464" s="347">
        <f t="shared" ca="1" si="209"/>
        <v>0.1</v>
      </c>
      <c r="B464" s="304">
        <f t="shared" ca="1" si="210"/>
        <v>9.9999999999999378</v>
      </c>
      <c r="D464" s="306">
        <f t="shared" ca="1" si="211"/>
        <v>-0.95912870593764665</v>
      </c>
      <c r="E464" s="307">
        <f t="shared" ca="1" si="212"/>
        <v>-11.985951889497974</v>
      </c>
      <c r="F464" s="304">
        <f t="shared" ca="1" si="213"/>
        <v>12.024265905738847</v>
      </c>
      <c r="G464" s="306">
        <f t="shared" ca="1" si="214"/>
        <v>29.399176194749973</v>
      </c>
      <c r="H464" s="307">
        <f t="shared" ca="1" si="215"/>
        <v>65.716193603554643</v>
      </c>
      <c r="I464" s="304">
        <f t="shared" ca="1" si="216"/>
        <v>71.992566718167708</v>
      </c>
      <c r="J464" s="306">
        <f t="shared" ca="1" si="217"/>
        <v>310.21731038905915</v>
      </c>
      <c r="K464" s="307">
        <f t="shared" ca="1" si="218"/>
        <v>1122.2778931630451</v>
      </c>
      <c r="L464" s="304">
        <f t="shared" ca="1" si="203"/>
        <v>1164.3635382248558</v>
      </c>
      <c r="M464" s="306">
        <f t="shared" ca="1" si="219"/>
        <v>1.150135178481666</v>
      </c>
      <c r="N464" s="304">
        <f t="shared" ca="1" si="220"/>
        <v>65.897891596525128</v>
      </c>
      <c r="P464" s="310">
        <f t="shared" ca="1" si="221"/>
        <v>23</v>
      </c>
      <c r="Q464" s="304">
        <f t="shared" ca="1" si="222"/>
        <v>0</v>
      </c>
      <c r="R464" s="306">
        <f t="shared" ca="1" si="223"/>
        <v>0</v>
      </c>
      <c r="S464" s="307">
        <f t="shared" ca="1" si="224"/>
        <v>8.1379999999999981</v>
      </c>
      <c r="T464" s="304">
        <f t="shared" ca="1" si="204"/>
        <v>79.83377999999999</v>
      </c>
      <c r="U464" s="311">
        <f t="shared" ca="1" si="205"/>
        <v>0</v>
      </c>
      <c r="V464" s="306">
        <f t="shared" ca="1" si="206"/>
        <v>1.0948255532780649</v>
      </c>
      <c r="W464" s="304">
        <f t="shared" ca="1" si="207"/>
        <v>18.743637352319464</v>
      </c>
      <c r="Y464" s="314" t="str">
        <f t="shared" ca="1" si="225"/>
        <v/>
      </c>
      <c r="Z464" s="315" t="str">
        <f t="shared" ca="1" si="226"/>
        <v/>
      </c>
      <c r="AA464" s="316" t="str">
        <f t="shared" ca="1" si="227"/>
        <v/>
      </c>
      <c r="AC464" s="310">
        <f t="shared" ca="1" si="228"/>
        <v>9.9999999999999378</v>
      </c>
      <c r="AD464" s="323">
        <f t="shared" ca="1" si="229"/>
        <v>310.21731038905915</v>
      </c>
      <c r="AE464" s="324">
        <f t="shared" ca="1" si="208"/>
        <v>1122.2778931630451</v>
      </c>
      <c r="AG464" s="306">
        <f t="shared" ca="1" si="230"/>
        <v>-11.354598383959722</v>
      </c>
      <c r="AH464" s="304">
        <f t="shared" ca="1" si="231"/>
        <v>-2.3779601552514342</v>
      </c>
    </row>
    <row r="465" spans="1:34" x14ac:dyDescent="0.2">
      <c r="A465" s="347">
        <f t="shared" ca="1" si="209"/>
        <v>0.1</v>
      </c>
      <c r="B465" s="304">
        <f t="shared" ca="1" si="210"/>
        <v>10.099999999999937</v>
      </c>
      <c r="D465" s="306">
        <f t="shared" ca="1" si="211"/>
        <v>-0.94055390534615313</v>
      </c>
      <c r="E465" s="307">
        <f t="shared" ca="1" si="212"/>
        <v>-11.912427024786668</v>
      </c>
      <c r="F465" s="304">
        <f t="shared" ca="1" si="213"/>
        <v>11.949500377410331</v>
      </c>
      <c r="G465" s="306">
        <f t="shared" ca="1" si="214"/>
        <v>29.305120804215356</v>
      </c>
      <c r="H465" s="307">
        <f t="shared" ca="1" si="215"/>
        <v>64.524950901075982</v>
      </c>
      <c r="I465" s="304">
        <f t="shared" ca="1" si="216"/>
        <v>70.867901014041067</v>
      </c>
      <c r="J465" s="306">
        <f t="shared" ca="1" si="217"/>
        <v>313.15252523900745</v>
      </c>
      <c r="K465" s="307">
        <f t="shared" ca="1" si="218"/>
        <v>1128.7899503882766</v>
      </c>
      <c r="L465" s="304">
        <f t="shared" ca="1" si="203"/>
        <v>1171.4227486954208</v>
      </c>
      <c r="M465" s="306">
        <f t="shared" ca="1" si="219"/>
        <v>1.1444823051501851</v>
      </c>
      <c r="N465" s="304">
        <f t="shared" ca="1" si="220"/>
        <v>65.574005812509213</v>
      </c>
      <c r="P465" s="310">
        <f t="shared" ca="1" si="221"/>
        <v>23</v>
      </c>
      <c r="Q465" s="304">
        <f t="shared" ca="1" si="222"/>
        <v>0</v>
      </c>
      <c r="R465" s="306">
        <f t="shared" ca="1" si="223"/>
        <v>0</v>
      </c>
      <c r="S465" s="307">
        <f t="shared" ca="1" si="224"/>
        <v>8.1379999999999981</v>
      </c>
      <c r="T465" s="304">
        <f t="shared" ca="1" si="204"/>
        <v>79.83377999999999</v>
      </c>
      <c r="U465" s="311">
        <f t="shared" ca="1" si="205"/>
        <v>0</v>
      </c>
      <c r="V465" s="306">
        <f t="shared" ca="1" si="206"/>
        <v>1.0941105650183978</v>
      </c>
      <c r="W465" s="304">
        <f t="shared" ca="1" si="207"/>
        <v>18.150725303662874</v>
      </c>
      <c r="Y465" s="314" t="str">
        <f t="shared" ca="1" si="225"/>
        <v/>
      </c>
      <c r="Z465" s="315" t="str">
        <f t="shared" ca="1" si="226"/>
        <v/>
      </c>
      <c r="AA465" s="316" t="str">
        <f t="shared" ca="1" si="227"/>
        <v/>
      </c>
      <c r="AC465" s="310" t="e">
        <f t="shared" ca="1" si="228"/>
        <v>#N/A</v>
      </c>
      <c r="AD465" s="323" t="e">
        <f t="shared" ca="1" si="229"/>
        <v>#N/A</v>
      </c>
      <c r="AE465" s="324">
        <f t="shared" ca="1" si="208"/>
        <v>1128.7899503882766</v>
      </c>
      <c r="AG465" s="306">
        <f t="shared" ca="1" si="230"/>
        <v>-11.257979921814581</v>
      </c>
      <c r="AH465" s="304">
        <f t="shared" ca="1" si="231"/>
        <v>-2.3032240541065949</v>
      </c>
    </row>
    <row r="466" spans="1:34" x14ac:dyDescent="0.2">
      <c r="A466" s="347">
        <f t="shared" ca="1" si="209"/>
        <v>0.1</v>
      </c>
      <c r="B466" s="304">
        <f t="shared" ca="1" si="210"/>
        <v>10.199999999999937</v>
      </c>
      <c r="D466" s="306">
        <f t="shared" ca="1" si="211"/>
        <v>-0.92229582933462717</v>
      </c>
      <c r="E466" s="307">
        <f t="shared" ca="1" si="212"/>
        <v>-11.840740412287387</v>
      </c>
      <c r="F466" s="304">
        <f t="shared" ca="1" si="213"/>
        <v>11.876605706513276</v>
      </c>
      <c r="G466" s="306">
        <f t="shared" ca="1" si="214"/>
        <v>29.212891221281893</v>
      </c>
      <c r="H466" s="307">
        <f t="shared" ca="1" si="215"/>
        <v>63.340876859847242</v>
      </c>
      <c r="I466" s="304">
        <f t="shared" ca="1" si="216"/>
        <v>69.752847217018896</v>
      </c>
      <c r="J466" s="306">
        <f t="shared" ca="1" si="217"/>
        <v>316.07842584028231</v>
      </c>
      <c r="K466" s="307">
        <f t="shared" ca="1" si="218"/>
        <v>1135.1832417763228</v>
      </c>
      <c r="L466" s="304">
        <f t="shared" ca="1" si="203"/>
        <v>1178.3660567461507</v>
      </c>
      <c r="M466" s="306">
        <f t="shared" ca="1" si="219"/>
        <v>1.1386665855123685</v>
      </c>
      <c r="N466" s="304">
        <f t="shared" ca="1" si="220"/>
        <v>65.240789622430967</v>
      </c>
      <c r="P466" s="310">
        <f t="shared" ca="1" si="221"/>
        <v>23</v>
      </c>
      <c r="Q466" s="304">
        <f t="shared" ca="1" si="222"/>
        <v>0</v>
      </c>
      <c r="R466" s="306">
        <f t="shared" ca="1" si="223"/>
        <v>0</v>
      </c>
      <c r="S466" s="307">
        <f t="shared" ca="1" si="224"/>
        <v>8.1379999999999981</v>
      </c>
      <c r="T466" s="304">
        <f t="shared" ca="1" si="204"/>
        <v>79.83377999999999</v>
      </c>
      <c r="U466" s="311">
        <f t="shared" ca="1" si="205"/>
        <v>0</v>
      </c>
      <c r="V466" s="306">
        <f t="shared" ca="1" si="206"/>
        <v>1.0934090452144933</v>
      </c>
      <c r="W466" s="304">
        <f t="shared" ca="1" si="207"/>
        <v>17.572767949205119</v>
      </c>
      <c r="Y466" s="314" t="str">
        <f t="shared" ca="1" si="225"/>
        <v/>
      </c>
      <c r="Z466" s="315" t="str">
        <f t="shared" ca="1" si="226"/>
        <v/>
      </c>
      <c r="AA466" s="316" t="str">
        <f t="shared" ca="1" si="227"/>
        <v/>
      </c>
      <c r="AC466" s="310" t="e">
        <f t="shared" ca="1" si="228"/>
        <v>#N/A</v>
      </c>
      <c r="AD466" s="323" t="e">
        <f t="shared" ca="1" si="229"/>
        <v>#N/A</v>
      </c>
      <c r="AE466" s="324">
        <f t="shared" ca="1" si="208"/>
        <v>1135.1832417763228</v>
      </c>
      <c r="AG466" s="306">
        <f t="shared" ca="1" si="230"/>
        <v>-11.16233404844845</v>
      </c>
      <c r="AH466" s="304">
        <f t="shared" ca="1" si="231"/>
        <v>-2.230366835053192</v>
      </c>
    </row>
    <row r="467" spans="1:34" x14ac:dyDescent="0.2">
      <c r="A467" s="347">
        <f t="shared" ca="1" si="209"/>
        <v>0.1</v>
      </c>
      <c r="B467" s="304">
        <f t="shared" ca="1" si="210"/>
        <v>10.299999999999937</v>
      </c>
      <c r="D467" s="306">
        <f t="shared" ca="1" si="211"/>
        <v>-0.90434697568697497</v>
      </c>
      <c r="E467" s="307">
        <f t="shared" ca="1" si="212"/>
        <v>-11.770851118489544</v>
      </c>
      <c r="F467" s="304">
        <f t="shared" ca="1" si="213"/>
        <v>11.805540203907686</v>
      </c>
      <c r="G467" s="306">
        <f t="shared" ca="1" si="214"/>
        <v>29.122456523713197</v>
      </c>
      <c r="H467" s="307">
        <f t="shared" ca="1" si="215"/>
        <v>62.163791747998289</v>
      </c>
      <c r="I467" s="304">
        <f t="shared" ca="1" si="216"/>
        <v>68.647319528617174</v>
      </c>
      <c r="J467" s="306">
        <f t="shared" ca="1" si="217"/>
        <v>318.99519322753207</v>
      </c>
      <c r="K467" s="307">
        <f t="shared" ca="1" si="218"/>
        <v>1141.4584752067151</v>
      </c>
      <c r="L467" s="304">
        <f t="shared" ca="1" si="203"/>
        <v>1185.1942389007422</v>
      </c>
      <c r="M467" s="306">
        <f t="shared" ca="1" si="219"/>
        <v>1.132681634251816</v>
      </c>
      <c r="N467" s="304">
        <f t="shared" ca="1" si="220"/>
        <v>64.897877174609803</v>
      </c>
      <c r="P467" s="310">
        <f t="shared" ca="1" si="221"/>
        <v>23</v>
      </c>
      <c r="Q467" s="304">
        <f t="shared" ca="1" si="222"/>
        <v>0</v>
      </c>
      <c r="R467" s="306">
        <f t="shared" ca="1" si="223"/>
        <v>0</v>
      </c>
      <c r="S467" s="307">
        <f t="shared" ca="1" si="224"/>
        <v>8.1379999999999981</v>
      </c>
      <c r="T467" s="304">
        <f t="shared" ca="1" si="204"/>
        <v>79.83377999999999</v>
      </c>
      <c r="U467" s="311">
        <f t="shared" ca="1" si="205"/>
        <v>0</v>
      </c>
      <c r="V467" s="306">
        <f t="shared" ca="1" si="206"/>
        <v>1.0927208922205585</v>
      </c>
      <c r="W467" s="304">
        <f t="shared" ca="1" si="207"/>
        <v>17.009441240517827</v>
      </c>
      <c r="Y467" s="314" t="str">
        <f t="shared" ca="1" si="225"/>
        <v/>
      </c>
      <c r="Z467" s="315" t="str">
        <f t="shared" ca="1" si="226"/>
        <v/>
      </c>
      <c r="AA467" s="316" t="str">
        <f t="shared" ca="1" si="227"/>
        <v/>
      </c>
      <c r="AC467" s="310" t="e">
        <f t="shared" ca="1" si="228"/>
        <v>#N/A</v>
      </c>
      <c r="AD467" s="323" t="e">
        <f t="shared" ca="1" si="229"/>
        <v>#N/A</v>
      </c>
      <c r="AE467" s="324">
        <f t="shared" ca="1" si="208"/>
        <v>1141.4584752067151</v>
      </c>
      <c r="AG467" s="306">
        <f t="shared" ca="1" si="230"/>
        <v>-11.06757145922672</v>
      </c>
      <c r="AH467" s="304">
        <f t="shared" ca="1" si="231"/>
        <v>-2.1593472535272946</v>
      </c>
    </row>
    <row r="468" spans="1:34" x14ac:dyDescent="0.2">
      <c r="A468" s="347">
        <f t="shared" ca="1" si="209"/>
        <v>0.1</v>
      </c>
      <c r="B468" s="304">
        <f t="shared" ca="1" si="210"/>
        <v>10.399999999999936</v>
      </c>
      <c r="D468" s="306">
        <f t="shared" ca="1" si="211"/>
        <v>-0.88670015289708426</v>
      </c>
      <c r="E468" s="307">
        <f t="shared" ca="1" si="212"/>
        <v>-11.702719578883402</v>
      </c>
      <c r="F468" s="304">
        <f t="shared" ca="1" si="213"/>
        <v>11.736263575053545</v>
      </c>
      <c r="G468" s="306">
        <f t="shared" ca="1" si="214"/>
        <v>29.033786508423489</v>
      </c>
      <c r="H468" s="307">
        <f t="shared" ca="1" si="215"/>
        <v>60.99351979010995</v>
      </c>
      <c r="I468" s="304">
        <f t="shared" ca="1" si="216"/>
        <v>67.55124140534538</v>
      </c>
      <c r="J468" s="306">
        <f t="shared" ca="1" si="217"/>
        <v>321.9030053791389</v>
      </c>
      <c r="K468" s="307">
        <f t="shared" ca="1" si="218"/>
        <v>1147.6163407836204</v>
      </c>
      <c r="L468" s="304">
        <f t="shared" ca="1" si="203"/>
        <v>1191.9080545519057</v>
      </c>
      <c r="M468" s="306">
        <f t="shared" ca="1" si="219"/>
        <v>1.1265207529470596</v>
      </c>
      <c r="N468" s="304">
        <f t="shared" ca="1" si="220"/>
        <v>64.544884677766206</v>
      </c>
      <c r="P468" s="310">
        <f t="shared" ca="1" si="221"/>
        <v>23</v>
      </c>
      <c r="Q468" s="304">
        <f t="shared" ca="1" si="222"/>
        <v>0</v>
      </c>
      <c r="R468" s="306">
        <f t="shared" ca="1" si="223"/>
        <v>0</v>
      </c>
      <c r="S468" s="307">
        <f t="shared" ca="1" si="224"/>
        <v>8.1379999999999981</v>
      </c>
      <c r="T468" s="304">
        <f t="shared" ca="1" si="204"/>
        <v>79.83377999999999</v>
      </c>
      <c r="U468" s="311">
        <f t="shared" ca="1" si="205"/>
        <v>0</v>
      </c>
      <c r="V468" s="306">
        <f t="shared" ca="1" si="206"/>
        <v>1.0920460070009155</v>
      </c>
      <c r="W468" s="304">
        <f t="shared" ca="1" si="207"/>
        <v>16.46043230391086</v>
      </c>
      <c r="Y468" s="314" t="str">
        <f t="shared" ca="1" si="225"/>
        <v/>
      </c>
      <c r="Z468" s="315" t="str">
        <f t="shared" ca="1" si="226"/>
        <v/>
      </c>
      <c r="AA468" s="316" t="str">
        <f t="shared" ca="1" si="227"/>
        <v/>
      </c>
      <c r="AC468" s="310" t="e">
        <f t="shared" ca="1" si="228"/>
        <v>#N/A</v>
      </c>
      <c r="AD468" s="323" t="e">
        <f t="shared" ca="1" si="229"/>
        <v>#N/A</v>
      </c>
      <c r="AE468" s="324">
        <f t="shared" ca="1" si="208"/>
        <v>1147.6163407836204</v>
      </c>
      <c r="AG468" s="306">
        <f t="shared" ca="1" si="230"/>
        <v>-10.973601221606501</v>
      </c>
      <c r="AH468" s="304">
        <f t="shared" ca="1" si="231"/>
        <v>-2.0901254903560864</v>
      </c>
    </row>
    <row r="469" spans="1:34" x14ac:dyDescent="0.2">
      <c r="A469" s="347">
        <f t="shared" ca="1" si="209"/>
        <v>0.1</v>
      </c>
      <c r="B469" s="304">
        <f t="shared" ca="1" si="210"/>
        <v>10.499999999999936</v>
      </c>
      <c r="D469" s="306">
        <f t="shared" ca="1" si="211"/>
        <v>-0.86934847366615264</v>
      </c>
      <c r="E469" s="307">
        <f t="shared" ca="1" si="212"/>
        <v>-11.636307544063346</v>
      </c>
      <c r="F469" s="304">
        <f t="shared" ca="1" si="213"/>
        <v>11.668736865174877</v>
      </c>
      <c r="G469" s="306">
        <f t="shared" ca="1" si="214"/>
        <v>28.946851661056876</v>
      </c>
      <c r="H469" s="307">
        <f t="shared" ca="1" si="215"/>
        <v>59.829889035703616</v>
      </c>
      <c r="I469" s="304">
        <f t="shared" ca="1" si="216"/>
        <v>66.464545760215941</v>
      </c>
      <c r="J469" s="306">
        <f t="shared" ca="1" si="217"/>
        <v>324.8020372876129</v>
      </c>
      <c r="K469" s="307">
        <f t="shared" ca="1" si="218"/>
        <v>1153.6575112249111</v>
      </c>
      <c r="L469" s="304">
        <f t="shared" ca="1" si="203"/>
        <v>1198.5082463762358</v>
      </c>
      <c r="M469" s="306">
        <f t="shared" ca="1" si="219"/>
        <v>1.1201769129049397</v>
      </c>
      <c r="N469" s="304">
        <f t="shared" ca="1" si="220"/>
        <v>64.181409417446645</v>
      </c>
      <c r="P469" s="310">
        <f t="shared" ca="1" si="221"/>
        <v>23</v>
      </c>
      <c r="Q469" s="304">
        <f t="shared" ca="1" si="222"/>
        <v>0</v>
      </c>
      <c r="R469" s="306">
        <f t="shared" ca="1" si="223"/>
        <v>0</v>
      </c>
      <c r="S469" s="307">
        <f t="shared" ca="1" si="224"/>
        <v>8.1379999999999981</v>
      </c>
      <c r="T469" s="304">
        <f t="shared" ca="1" si="204"/>
        <v>79.83377999999999</v>
      </c>
      <c r="U469" s="311">
        <f t="shared" ca="1" si="205"/>
        <v>0</v>
      </c>
      <c r="V469" s="306">
        <f t="shared" ca="1" si="206"/>
        <v>1.0913842930707749</v>
      </c>
      <c r="W469" s="304">
        <f t="shared" ca="1" si="207"/>
        <v>15.925439034588484</v>
      </c>
      <c r="Y469" s="314" t="str">
        <f t="shared" ca="1" si="225"/>
        <v/>
      </c>
      <c r="Z469" s="315" t="str">
        <f t="shared" ca="1" si="226"/>
        <v/>
      </c>
      <c r="AA469" s="316" t="str">
        <f t="shared" ca="1" si="227"/>
        <v/>
      </c>
      <c r="AC469" s="310" t="e">
        <f t="shared" ca="1" si="228"/>
        <v>#N/A</v>
      </c>
      <c r="AD469" s="323" t="e">
        <f t="shared" ca="1" si="229"/>
        <v>#N/A</v>
      </c>
      <c r="AE469" s="324">
        <f t="shared" ca="1" si="208"/>
        <v>1153.6575112249111</v>
      </c>
      <c r="AG469" s="306">
        <f t="shared" ca="1" si="230"/>
        <v>-10.880330504189978</v>
      </c>
      <c r="AH469" s="304">
        <f t="shared" ca="1" si="231"/>
        <v>-2.0226630995221018</v>
      </c>
    </row>
    <row r="470" spans="1:34" x14ac:dyDescent="0.2">
      <c r="A470" s="347">
        <f t="shared" ca="1" si="209"/>
        <v>0.1</v>
      </c>
      <c r="B470" s="304">
        <f t="shared" ca="1" si="210"/>
        <v>10.599999999999936</v>
      </c>
      <c r="D470" s="306">
        <f t="shared" ca="1" si="211"/>
        <v>-0.85228534909707632</v>
      </c>
      <c r="E470" s="307">
        <f t="shared" ca="1" si="212"/>
        <v>-11.571578027908139</v>
      </c>
      <c r="F470" s="304">
        <f t="shared" ca="1" si="213"/>
        <v>11.602922406542756</v>
      </c>
      <c r="G470" s="306">
        <f t="shared" ca="1" si="214"/>
        <v>28.861623126147169</v>
      </c>
      <c r="H470" s="307">
        <f t="shared" ca="1" si="215"/>
        <v>58.672731232912803</v>
      </c>
      <c r="I470" s="304">
        <f t="shared" ca="1" si="216"/>
        <v>65.387175193652268</v>
      </c>
      <c r="J470" s="306">
        <f t="shared" ca="1" si="217"/>
        <v>327.69246102697309</v>
      </c>
      <c r="K470" s="307">
        <f t="shared" ca="1" si="218"/>
        <v>1159.582642238342</v>
      </c>
      <c r="L470" s="304">
        <f t="shared" ca="1" si="203"/>
        <v>1204.9955407363004</v>
      </c>
      <c r="M470" s="306">
        <f t="shared" ca="1" si="219"/>
        <v>1.113642737077897</v>
      </c>
      <c r="N470" s="304">
        <f t="shared" ca="1" si="220"/>
        <v>63.807028719960691</v>
      </c>
      <c r="P470" s="310">
        <f t="shared" ca="1" si="221"/>
        <v>23</v>
      </c>
      <c r="Q470" s="304">
        <f t="shared" ca="1" si="222"/>
        <v>0</v>
      </c>
      <c r="R470" s="306">
        <f t="shared" ca="1" si="223"/>
        <v>0</v>
      </c>
      <c r="S470" s="307">
        <f t="shared" ca="1" si="224"/>
        <v>8.1379999999999981</v>
      </c>
      <c r="T470" s="304">
        <f t="shared" ca="1" si="204"/>
        <v>79.83377999999999</v>
      </c>
      <c r="U470" s="311">
        <f t="shared" ca="1" si="205"/>
        <v>0</v>
      </c>
      <c r="V470" s="306">
        <f t="shared" ca="1" si="206"/>
        <v>1.0907356564390436</v>
      </c>
      <c r="W470" s="304">
        <f t="shared" ca="1" si="207"/>
        <v>15.404169709083281</v>
      </c>
      <c r="Y470" s="314" t="str">
        <f t="shared" ca="1" si="225"/>
        <v/>
      </c>
      <c r="Z470" s="315" t="str">
        <f t="shared" ca="1" si="226"/>
        <v/>
      </c>
      <c r="AA470" s="316" t="str">
        <f t="shared" ca="1" si="227"/>
        <v/>
      </c>
      <c r="AC470" s="310" t="e">
        <f t="shared" ca="1" si="228"/>
        <v>#N/A</v>
      </c>
      <c r="AD470" s="323" t="e">
        <f t="shared" ca="1" si="229"/>
        <v>#N/A</v>
      </c>
      <c r="AE470" s="324">
        <f t="shared" ca="1" si="208"/>
        <v>1159.582642238342</v>
      </c>
      <c r="AG470" s="306">
        <f t="shared" ca="1" si="230"/>
        <v>-10.787664291540413</v>
      </c>
      <c r="AH470" s="304">
        <f t="shared" ca="1" si="231"/>
        <v>-1.9569229582930066</v>
      </c>
    </row>
    <row r="471" spans="1:34" x14ac:dyDescent="0.2">
      <c r="A471" s="347">
        <f t="shared" ca="1" si="209"/>
        <v>0.1</v>
      </c>
      <c r="B471" s="304">
        <f t="shared" ca="1" si="210"/>
        <v>10.699999999999935</v>
      </c>
      <c r="D471" s="306">
        <f t="shared" ca="1" si="211"/>
        <v>-0.83550448358268814</v>
      </c>
      <c r="E471" s="307">
        <f t="shared" ca="1" si="212"/>
        <v>-11.508495257694978</v>
      </c>
      <c r="F471" s="304">
        <f t="shared" ca="1" si="213"/>
        <v>11.53878376773196</v>
      </c>
      <c r="G471" s="306">
        <f t="shared" ca="1" si="214"/>
        <v>28.778072677788899</v>
      </c>
      <c r="H471" s="307">
        <f t="shared" ca="1" si="215"/>
        <v>57.521881707143308</v>
      </c>
      <c r="I471" s="304">
        <f t="shared" ca="1" si="216"/>
        <v>64.319082255413804</v>
      </c>
      <c r="J471" s="306">
        <f t="shared" ca="1" si="217"/>
        <v>330.57444581716987</v>
      </c>
      <c r="K471" s="307">
        <f t="shared" ca="1" si="218"/>
        <v>1165.3923728853449</v>
      </c>
      <c r="L471" s="304">
        <f t="shared" ca="1" si="203"/>
        <v>1211.3706480704673</v>
      </c>
      <c r="M471" s="306">
        <f t="shared" ca="1" si="219"/>
        <v>1.1069104810372998</v>
      </c>
      <c r="N471" s="304">
        <f t="shared" ca="1" si="220"/>
        <v>63.421298862233023</v>
      </c>
      <c r="P471" s="310">
        <f t="shared" ca="1" si="221"/>
        <v>23</v>
      </c>
      <c r="Q471" s="304">
        <f t="shared" ca="1" si="222"/>
        <v>0</v>
      </c>
      <c r="R471" s="306">
        <f t="shared" ca="1" si="223"/>
        <v>0</v>
      </c>
      <c r="S471" s="307">
        <f t="shared" ca="1" si="224"/>
        <v>8.1379999999999981</v>
      </c>
      <c r="T471" s="304">
        <f t="shared" ca="1" si="204"/>
        <v>79.83377999999999</v>
      </c>
      <c r="U471" s="311">
        <f t="shared" ca="1" si="205"/>
        <v>0</v>
      </c>
      <c r="V471" s="306">
        <f t="shared" ca="1" si="206"/>
        <v>1.0901000055530812</v>
      </c>
      <c r="W471" s="304">
        <f t="shared" ca="1" si="207"/>
        <v>14.896342615048704</v>
      </c>
      <c r="Y471" s="314" t="str">
        <f t="shared" ca="1" si="225"/>
        <v/>
      </c>
      <c r="Z471" s="315" t="str">
        <f t="shared" ca="1" si="226"/>
        <v/>
      </c>
      <c r="AA471" s="316" t="str">
        <f t="shared" ca="1" si="227"/>
        <v/>
      </c>
      <c r="AC471" s="310" t="e">
        <f t="shared" ca="1" si="228"/>
        <v>#N/A</v>
      </c>
      <c r="AD471" s="323" t="e">
        <f t="shared" ca="1" si="229"/>
        <v>#N/A</v>
      </c>
      <c r="AE471" s="324">
        <f t="shared" ca="1" si="208"/>
        <v>1165.3923728853449</v>
      </c>
      <c r="AG471" s="306">
        <f t="shared" ca="1" si="230"/>
        <v>-10.695505083437999</v>
      </c>
      <c r="AH471" s="304">
        <f t="shared" ca="1" si="231"/>
        <v>-1.8928692195973562</v>
      </c>
    </row>
    <row r="472" spans="1:34" x14ac:dyDescent="0.2">
      <c r="A472" s="347">
        <f t="shared" ca="1" si="209"/>
        <v>0.1</v>
      </c>
      <c r="B472" s="304">
        <f t="shared" ca="1" si="210"/>
        <v>10.799999999999935</v>
      </c>
      <c r="D472" s="306">
        <f t="shared" ca="1" si="211"/>
        <v>-0.81899987038725963</v>
      </c>
      <c r="E472" s="307">
        <f t="shared" ca="1" si="212"/>
        <v>-11.447024626007765</v>
      </c>
      <c r="F472" s="304">
        <f t="shared" ca="1" si="213"/>
        <v>11.476285704709628</v>
      </c>
      <c r="G472" s="306">
        <f t="shared" ca="1" si="214"/>
        <v>28.696172690750174</v>
      </c>
      <c r="H472" s="307">
        <f t="shared" ca="1" si="215"/>
        <v>56.377179244542532</v>
      </c>
      <c r="I472" s="304">
        <f t="shared" ca="1" si="216"/>
        <v>63.260229739296975</v>
      </c>
      <c r="J472" s="306">
        <f t="shared" ca="1" si="217"/>
        <v>333.44815808559684</v>
      </c>
      <c r="K472" s="307">
        <f t="shared" ca="1" si="218"/>
        <v>1171.0873259329292</v>
      </c>
      <c r="L472" s="304">
        <f t="shared" ca="1" si="203"/>
        <v>1217.6342632709609</v>
      </c>
      <c r="M472" s="306">
        <f t="shared" ca="1" si="219"/>
        <v>1.0999720129794186</v>
      </c>
      <c r="N472" s="304">
        <f t="shared" ca="1" si="220"/>
        <v>63.023753926230093</v>
      </c>
      <c r="P472" s="310">
        <f t="shared" ca="1" si="221"/>
        <v>23</v>
      </c>
      <c r="Q472" s="304">
        <f t="shared" ca="1" si="222"/>
        <v>0</v>
      </c>
      <c r="R472" s="306">
        <f t="shared" ca="1" si="223"/>
        <v>0</v>
      </c>
      <c r="S472" s="307">
        <f t="shared" ca="1" si="224"/>
        <v>8.1379999999999981</v>
      </c>
      <c r="T472" s="304">
        <f t="shared" ca="1" si="204"/>
        <v>79.83377999999999</v>
      </c>
      <c r="U472" s="311">
        <f t="shared" ca="1" si="205"/>
        <v>0</v>
      </c>
      <c r="V472" s="306">
        <f t="shared" ca="1" si="206"/>
        <v>1.0894772512453257</v>
      </c>
      <c r="W472" s="304">
        <f t="shared" ca="1" si="207"/>
        <v>14.401685697542474</v>
      </c>
      <c r="Y472" s="314" t="str">
        <f t="shared" ca="1" si="225"/>
        <v/>
      </c>
      <c r="Z472" s="315" t="str">
        <f t="shared" ca="1" si="226"/>
        <v/>
      </c>
      <c r="AA472" s="316" t="str">
        <f t="shared" ca="1" si="227"/>
        <v/>
      </c>
      <c r="AC472" s="310" t="e">
        <f t="shared" ca="1" si="228"/>
        <v>#N/A</v>
      </c>
      <c r="AD472" s="323" t="e">
        <f t="shared" ca="1" si="229"/>
        <v>#N/A</v>
      </c>
      <c r="AE472" s="324">
        <f t="shared" ca="1" si="208"/>
        <v>1171.0873259329292</v>
      </c>
      <c r="AG472" s="306">
        <f t="shared" ca="1" si="230"/>
        <v>-10.603752577201499</v>
      </c>
      <c r="AH472" s="304">
        <f t="shared" ca="1" si="231"/>
        <v>-1.8304672665333874</v>
      </c>
    </row>
    <row r="473" spans="1:34" x14ac:dyDescent="0.2">
      <c r="A473" s="347">
        <f t="shared" ca="1" si="209"/>
        <v>0.1</v>
      </c>
      <c r="B473" s="304">
        <f t="shared" ca="1" si="210"/>
        <v>10.899999999999935</v>
      </c>
      <c r="D473" s="306">
        <f t="shared" ca="1" si="211"/>
        <v>-0.80276578792329867</v>
      </c>
      <c r="E473" s="307">
        <f t="shared" ca="1" si="212"/>
        <v>-11.387132644302996</v>
      </c>
      <c r="F473" s="304">
        <f t="shared" ca="1" si="213"/>
        <v>11.415394113617413</v>
      </c>
      <c r="G473" s="306">
        <f t="shared" ca="1" si="214"/>
        <v>28.615896111957845</v>
      </c>
      <c r="H473" s="307">
        <f t="shared" ca="1" si="215"/>
        <v>55.238465980112231</v>
      </c>
      <c r="I473" s="304">
        <f t="shared" ca="1" si="216"/>
        <v>62.210591012514747</v>
      </c>
      <c r="J473" s="306">
        <f t="shared" ca="1" si="217"/>
        <v>336.31376152573222</v>
      </c>
      <c r="K473" s="307">
        <f t="shared" ca="1" si="218"/>
        <v>1176.668108194162</v>
      </c>
      <c r="L473" s="304">
        <f t="shared" ca="1" si="203"/>
        <v>1223.7870660506323</v>
      </c>
      <c r="M473" s="306">
        <f t="shared" ca="1" si="219"/>
        <v>1.0928187927466393</v>
      </c>
      <c r="N473" s="304">
        <f t="shared" ca="1" si="220"/>
        <v>62.613904596964254</v>
      </c>
      <c r="P473" s="310">
        <f t="shared" ca="1" si="221"/>
        <v>23</v>
      </c>
      <c r="Q473" s="304">
        <f t="shared" ca="1" si="222"/>
        <v>0</v>
      </c>
      <c r="R473" s="306">
        <f t="shared" ca="1" si="223"/>
        <v>0</v>
      </c>
      <c r="S473" s="307">
        <f t="shared" ca="1" si="224"/>
        <v>8.1379999999999981</v>
      </c>
      <c r="T473" s="304">
        <f t="shared" ca="1" si="204"/>
        <v>79.83377999999999</v>
      </c>
      <c r="U473" s="311">
        <f t="shared" ca="1" si="205"/>
        <v>0</v>
      </c>
      <c r="V473" s="306">
        <f t="shared" ca="1" si="206"/>
        <v>1.0888673066817249</v>
      </c>
      <c r="W473" s="304">
        <f t="shared" ca="1" si="207"/>
        <v>13.919936220980576</v>
      </c>
      <c r="Y473" s="314" t="str">
        <f t="shared" ca="1" si="225"/>
        <v/>
      </c>
      <c r="Z473" s="315" t="str">
        <f t="shared" ca="1" si="226"/>
        <v/>
      </c>
      <c r="AA473" s="316" t="str">
        <f t="shared" ca="1" si="227"/>
        <v/>
      </c>
      <c r="AC473" s="310" t="e">
        <f t="shared" ca="1" si="228"/>
        <v>#N/A</v>
      </c>
      <c r="AD473" s="323" t="e">
        <f t="shared" ca="1" si="229"/>
        <v>#N/A</v>
      </c>
      <c r="AE473" s="324">
        <f t="shared" ca="1" si="208"/>
        <v>1176.668108194162</v>
      </c>
      <c r="AG473" s="306">
        <f t="shared" ca="1" si="230"/>
        <v>-10.512303331655829</v>
      </c>
      <c r="AH473" s="304">
        <f t="shared" ca="1" si="231"/>
        <v>-1.7696836689042119</v>
      </c>
    </row>
    <row r="474" spans="1:34" x14ac:dyDescent="0.2">
      <c r="A474" s="347">
        <f t="shared" ca="1" si="209"/>
        <v>0.1</v>
      </c>
      <c r="B474" s="304">
        <f t="shared" ca="1" si="210"/>
        <v>10.999999999999934</v>
      </c>
      <c r="D474" s="306">
        <f t="shared" ca="1" si="211"/>
        <v>-0.78679679672826663</v>
      </c>
      <c r="E474" s="307">
        <f t="shared" ca="1" si="212"/>
        <v>-11.328786897998775</v>
      </c>
      <c r="F474" s="304">
        <f t="shared" ca="1" si="213"/>
        <v>11.356075985110815</v>
      </c>
      <c r="G474" s="306">
        <f t="shared" ca="1" si="214"/>
        <v>28.537216432285017</v>
      </c>
      <c r="H474" s="307">
        <f t="shared" ca="1" si="215"/>
        <v>54.105587290312357</v>
      </c>
      <c r="I474" s="304">
        <f t="shared" ca="1" si="216"/>
        <v>61.170150381805406</v>
      </c>
      <c r="J474" s="306">
        <f t="shared" ca="1" si="217"/>
        <v>339.17141715294434</v>
      </c>
      <c r="K474" s="307">
        <f t="shared" ca="1" si="218"/>
        <v>1182.1353108576832</v>
      </c>
      <c r="L474" s="304">
        <f t="shared" ca="1" si="203"/>
        <v>1229.8297212988991</v>
      </c>
      <c r="M474" s="306">
        <f t="shared" ca="1" si="219"/>
        <v>1.0854418498543288</v>
      </c>
      <c r="N474" s="304">
        <f t="shared" ca="1" si="220"/>
        <v>62.191236903525834</v>
      </c>
      <c r="P474" s="310">
        <f t="shared" ca="1" si="221"/>
        <v>23</v>
      </c>
      <c r="Q474" s="304">
        <f t="shared" ca="1" si="222"/>
        <v>0</v>
      </c>
      <c r="R474" s="306">
        <f t="shared" ca="1" si="223"/>
        <v>0</v>
      </c>
      <c r="S474" s="307">
        <f t="shared" ca="1" si="224"/>
        <v>8.1379999999999981</v>
      </c>
      <c r="T474" s="304">
        <f t="shared" ca="1" si="204"/>
        <v>79.83377999999999</v>
      </c>
      <c r="U474" s="311">
        <f t="shared" ca="1" si="205"/>
        <v>0</v>
      </c>
      <c r="V474" s="306">
        <f t="shared" ca="1" si="206"/>
        <v>1.0882700873118891</v>
      </c>
      <c r="W474" s="304">
        <f t="shared" ca="1" si="207"/>
        <v>13.450840445986048</v>
      </c>
      <c r="Y474" s="314" t="str">
        <f t="shared" ca="1" si="225"/>
        <v/>
      </c>
      <c r="Z474" s="315" t="str">
        <f t="shared" ca="1" si="226"/>
        <v/>
      </c>
      <c r="AA474" s="316" t="str">
        <f t="shared" ca="1" si="227"/>
        <v/>
      </c>
      <c r="AC474" s="310">
        <f t="shared" ca="1" si="228"/>
        <v>10.999999999999934</v>
      </c>
      <c r="AD474" s="323">
        <f t="shared" ca="1" si="229"/>
        <v>339.17141715294434</v>
      </c>
      <c r="AE474" s="324">
        <f t="shared" ca="1" si="208"/>
        <v>1182.1353108576832</v>
      </c>
      <c r="AG474" s="306">
        <f t="shared" ca="1" si="230"/>
        <v>-10.421050411288119</v>
      </c>
      <c r="AH474" s="304">
        <f t="shared" ca="1" si="231"/>
        <v>-1.7104861416786163</v>
      </c>
    </row>
    <row r="475" spans="1:34" x14ac:dyDescent="0.2">
      <c r="A475" s="347">
        <f t="shared" ca="1" si="209"/>
        <v>0.1</v>
      </c>
      <c r="B475" s="304">
        <f t="shared" ca="1" si="210"/>
        <v>11.099999999999934</v>
      </c>
      <c r="D475" s="306">
        <f t="shared" ca="1" si="211"/>
        <v>-0.77108773714838952</v>
      </c>
      <c r="E475" s="307">
        <f t="shared" ca="1" si="212"/>
        <v>-11.271956002953827</v>
      </c>
      <c r="F475" s="304">
        <f t="shared" ca="1" si="213"/>
        <v>11.298299360120861</v>
      </c>
      <c r="G475" s="306">
        <f t="shared" ca="1" si="214"/>
        <v>28.460107658570177</v>
      </c>
      <c r="H475" s="307">
        <f t="shared" ca="1" si="215"/>
        <v>52.978391690016977</v>
      </c>
      <c r="I475" s="304">
        <f t="shared" ca="1" si="216"/>
        <v>60.138903498469816</v>
      </c>
      <c r="J475" s="306">
        <f t="shared" ca="1" si="217"/>
        <v>342.02128335748711</v>
      </c>
      <c r="K475" s="307">
        <f t="shared" ca="1" si="218"/>
        <v>1187.4895098066997</v>
      </c>
      <c r="L475" s="304">
        <f t="shared" ca="1" si="203"/>
        <v>1235.7628794273028</v>
      </c>
      <c r="M475" s="306">
        <f t="shared" ca="1" si="219"/>
        <v>1.0778317605237915</v>
      </c>
      <c r="N475" s="304">
        <f t="shared" ca="1" si="220"/>
        <v>61.755210903168503</v>
      </c>
      <c r="P475" s="310">
        <f t="shared" ca="1" si="221"/>
        <v>23</v>
      </c>
      <c r="Q475" s="304">
        <f t="shared" ca="1" si="222"/>
        <v>0</v>
      </c>
      <c r="R475" s="306">
        <f t="shared" ca="1" si="223"/>
        <v>0</v>
      </c>
      <c r="S475" s="307">
        <f t="shared" ca="1" si="224"/>
        <v>8.1379999999999981</v>
      </c>
      <c r="T475" s="304">
        <f t="shared" ca="1" si="204"/>
        <v>79.83377999999999</v>
      </c>
      <c r="U475" s="311">
        <f t="shared" ca="1" si="205"/>
        <v>0</v>
      </c>
      <c r="V475" s="306">
        <f t="shared" ca="1" si="206"/>
        <v>1.0876855108209111</v>
      </c>
      <c r="W475" s="304">
        <f t="shared" ca="1" si="207"/>
        <v>12.994153320398659</v>
      </c>
      <c r="Y475" s="314" t="str">
        <f t="shared" ca="1" si="225"/>
        <v/>
      </c>
      <c r="Z475" s="315" t="str">
        <f t="shared" ca="1" si="226"/>
        <v/>
      </c>
      <c r="AA475" s="316" t="str">
        <f t="shared" ca="1" si="227"/>
        <v/>
      </c>
      <c r="AC475" s="310" t="e">
        <f t="shared" ca="1" si="228"/>
        <v>#N/A</v>
      </c>
      <c r="AD475" s="323" t="e">
        <f t="shared" ca="1" si="229"/>
        <v>#N/A</v>
      </c>
      <c r="AE475" s="324">
        <f t="shared" ca="1" si="208"/>
        <v>1187.4895098066997</v>
      </c>
      <c r="AG475" s="306">
        <f t="shared" ca="1" si="230"/>
        <v>-10.329883009109146</v>
      </c>
      <c r="AH475" s="304">
        <f t="shared" ca="1" si="231"/>
        <v>-1.6528435052821395</v>
      </c>
    </row>
    <row r="476" spans="1:34" x14ac:dyDescent="0.2">
      <c r="A476" s="347">
        <f t="shared" ca="1" si="209"/>
        <v>0.1</v>
      </c>
      <c r="B476" s="304">
        <f t="shared" ca="1" si="210"/>
        <v>11.199999999999934</v>
      </c>
      <c r="D476" s="306">
        <f t="shared" ca="1" si="211"/>
        <v>-0.75563372773925486</v>
      </c>
      <c r="E476" s="307">
        <f t="shared" ca="1" si="212"/>
        <v>-11.216609563203919</v>
      </c>
      <c r="F476" s="304">
        <f t="shared" ca="1" si="213"/>
        <v>11.242033286903874</v>
      </c>
      <c r="G476" s="306">
        <f t="shared" ca="1" si="214"/>
        <v>28.384544285796252</v>
      </c>
      <c r="H476" s="307">
        <f t="shared" ca="1" si="215"/>
        <v>51.856730733696587</v>
      </c>
      <c r="I476" s="304">
        <f t="shared" ca="1" si="216"/>
        <v>59.1168578046858</v>
      </c>
      <c r="J476" s="306">
        <f t="shared" ca="1" si="217"/>
        <v>344.86351595470541</v>
      </c>
      <c r="K476" s="307">
        <f t="shared" ca="1" si="218"/>
        <v>1192.7312659278855</v>
      </c>
      <c r="L476" s="304">
        <f t="shared" ca="1" si="203"/>
        <v>1241.5871767051146</v>
      </c>
      <c r="M476" s="306">
        <f t="shared" ca="1" si="219"/>
        <v>1.0699786237344446</v>
      </c>
      <c r="N476" s="304">
        <f t="shared" ca="1" si="220"/>
        <v>61.305259309200011</v>
      </c>
      <c r="P476" s="310">
        <f t="shared" ca="1" si="221"/>
        <v>23</v>
      </c>
      <c r="Q476" s="304">
        <f t="shared" ca="1" si="222"/>
        <v>0</v>
      </c>
      <c r="R476" s="306">
        <f t="shared" ca="1" si="223"/>
        <v>0</v>
      </c>
      <c r="S476" s="307">
        <f t="shared" ca="1" si="224"/>
        <v>8.1379999999999981</v>
      </c>
      <c r="T476" s="304">
        <f t="shared" ca="1" si="204"/>
        <v>79.83377999999999</v>
      </c>
      <c r="U476" s="311">
        <f t="shared" ca="1" si="205"/>
        <v>0</v>
      </c>
      <c r="V476" s="306">
        <f t="shared" ca="1" si="206"/>
        <v>1.0871134970827754</v>
      </c>
      <c r="W476" s="304">
        <f t="shared" ca="1" si="207"/>
        <v>12.549638183750197</v>
      </c>
      <c r="Y476" s="314" t="str">
        <f t="shared" ca="1" si="225"/>
        <v/>
      </c>
      <c r="Z476" s="315" t="str">
        <f t="shared" ca="1" si="226"/>
        <v/>
      </c>
      <c r="AA476" s="316" t="str">
        <f t="shared" ca="1" si="227"/>
        <v/>
      </c>
      <c r="AC476" s="310" t="e">
        <f t="shared" ca="1" si="228"/>
        <v>#N/A</v>
      </c>
      <c r="AD476" s="323" t="e">
        <f t="shared" ca="1" si="229"/>
        <v>#N/A</v>
      </c>
      <c r="AE476" s="324">
        <f t="shared" ca="1" si="208"/>
        <v>1192.7312659278855</v>
      </c>
      <c r="AG476" s="306">
        <f t="shared" ca="1" si="230"/>
        <v>-10.238686046728146</v>
      </c>
      <c r="AH476" s="304">
        <f t="shared" ca="1" si="231"/>
        <v>-1.5967256476282456</v>
      </c>
    </row>
    <row r="477" spans="1:34" x14ac:dyDescent="0.2">
      <c r="A477" s="347">
        <f t="shared" ca="1" si="209"/>
        <v>0.1</v>
      </c>
      <c r="B477" s="304">
        <f t="shared" ca="1" si="210"/>
        <v>11.299999999999933</v>
      </c>
      <c r="D477" s="306">
        <f t="shared" ca="1" si="211"/>
        <v>-0.74043016439531284</v>
      </c>
      <c r="E477" s="307">
        <f t="shared" ca="1" si="212"/>
        <v>-11.162718129822789</v>
      </c>
      <c r="F477" s="304">
        <f t="shared" ca="1" si="213"/>
        <v>11.18724777924494</v>
      </c>
      <c r="G477" s="306">
        <f t="shared" ca="1" si="214"/>
        <v>28.31050126935672</v>
      </c>
      <c r="H477" s="307">
        <f t="shared" ca="1" si="215"/>
        <v>50.74045892071431</v>
      </c>
      <c r="I477" s="304">
        <f t="shared" ca="1" si="216"/>
        <v>58.104033023594361</v>
      </c>
      <c r="J477" s="306">
        <f t="shared" ca="1" si="217"/>
        <v>347.69826823246308</v>
      </c>
      <c r="K477" s="307">
        <f t="shared" ca="1" si="218"/>
        <v>1197.8611254106061</v>
      </c>
      <c r="L477" s="304">
        <f t="shared" ca="1" si="203"/>
        <v>1247.3032355854039</v>
      </c>
      <c r="M477" s="306">
        <f t="shared" ca="1" si="219"/>
        <v>1.061872036324204</v>
      </c>
      <c r="N477" s="304">
        <f t="shared" ca="1" si="220"/>
        <v>60.840786064339333</v>
      </c>
      <c r="P477" s="310">
        <f t="shared" ca="1" si="221"/>
        <v>23</v>
      </c>
      <c r="Q477" s="304">
        <f t="shared" ca="1" si="222"/>
        <v>0</v>
      </c>
      <c r="R477" s="306">
        <f t="shared" ca="1" si="223"/>
        <v>0</v>
      </c>
      <c r="S477" s="307">
        <f t="shared" ca="1" si="224"/>
        <v>8.1379999999999981</v>
      </c>
      <c r="T477" s="304">
        <f t="shared" ca="1" si="204"/>
        <v>79.83377999999999</v>
      </c>
      <c r="U477" s="311">
        <f t="shared" ca="1" si="205"/>
        <v>0</v>
      </c>
      <c r="V477" s="306">
        <f t="shared" ca="1" si="206"/>
        <v>1.0865539681153025</v>
      </c>
      <c r="W477" s="304">
        <f t="shared" ca="1" si="207"/>
        <v>12.117066484546692</v>
      </c>
      <c r="Y477" s="314" t="str">
        <f t="shared" ca="1" si="225"/>
        <v/>
      </c>
      <c r="Z477" s="315" t="str">
        <f t="shared" ca="1" si="226"/>
        <v/>
      </c>
      <c r="AA477" s="316" t="str">
        <f t="shared" ca="1" si="227"/>
        <v/>
      </c>
      <c r="AC477" s="310" t="e">
        <f t="shared" ca="1" si="228"/>
        <v>#N/A</v>
      </c>
      <c r="AD477" s="323" t="e">
        <f t="shared" ca="1" si="229"/>
        <v>#N/A</v>
      </c>
      <c r="AE477" s="324">
        <f t="shared" ca="1" si="208"/>
        <v>1197.8611254106061</v>
      </c>
      <c r="AG477" s="306">
        <f t="shared" ca="1" si="230"/>
        <v>-10.147339750162487</v>
      </c>
      <c r="AH477" s="304">
        <f t="shared" ca="1" si="231"/>
        <v>-1.5421034878041533</v>
      </c>
    </row>
    <row r="478" spans="1:34" x14ac:dyDescent="0.2">
      <c r="A478" s="347">
        <f t="shared" ca="1" si="209"/>
        <v>0.1</v>
      </c>
      <c r="B478" s="304">
        <f t="shared" ca="1" si="210"/>
        <v>11.399999999999933</v>
      </c>
      <c r="D478" s="306">
        <f t="shared" ca="1" si="211"/>
        <v>-0.72547272022278064</v>
      </c>
      <c r="E478" s="307">
        <f t="shared" ca="1" si="212"/>
        <v>-11.110253160773487</v>
      </c>
      <c r="F478" s="304">
        <f t="shared" ca="1" si="213"/>
        <v>11.133913775679455</v>
      </c>
      <c r="G478" s="306">
        <f t="shared" ca="1" si="214"/>
        <v>28.237953997334444</v>
      </c>
      <c r="H478" s="307">
        <f t="shared" ca="1" si="215"/>
        <v>49.629433604636965</v>
      </c>
      <c r="I478" s="304">
        <f t="shared" ca="1" si="216"/>
        <v>57.100461695792312</v>
      </c>
      <c r="J478" s="306">
        <f t="shared" ca="1" si="217"/>
        <v>350.52569099579762</v>
      </c>
      <c r="K478" s="307">
        <f t="shared" ca="1" si="218"/>
        <v>1202.8796200368736</v>
      </c>
      <c r="L478" s="304">
        <f t="shared" ca="1" si="203"/>
        <v>1252.9116650219739</v>
      </c>
      <c r="M478" s="306">
        <f t="shared" ca="1" si="219"/>
        <v>1.0535010671867653</v>
      </c>
      <c r="N478" s="304">
        <f t="shared" ca="1" si="220"/>
        <v>60.361164862329829</v>
      </c>
      <c r="P478" s="310">
        <f t="shared" ca="1" si="221"/>
        <v>23</v>
      </c>
      <c r="Q478" s="304">
        <f t="shared" ca="1" si="222"/>
        <v>0</v>
      </c>
      <c r="R478" s="306">
        <f t="shared" ca="1" si="223"/>
        <v>0</v>
      </c>
      <c r="S478" s="307">
        <f t="shared" ca="1" si="224"/>
        <v>8.1379999999999981</v>
      </c>
      <c r="T478" s="304">
        <f t="shared" ca="1" si="204"/>
        <v>79.83377999999999</v>
      </c>
      <c r="U478" s="311">
        <f t="shared" ca="1" si="205"/>
        <v>0</v>
      </c>
      <c r="V478" s="306">
        <f t="shared" ca="1" si="206"/>
        <v>1.0860068480365586</v>
      </c>
      <c r="W478" s="304">
        <f t="shared" ca="1" si="207"/>
        <v>11.696217509732772</v>
      </c>
      <c r="Y478" s="314" t="str">
        <f t="shared" ca="1" si="225"/>
        <v/>
      </c>
      <c r="Z478" s="315" t="str">
        <f t="shared" ca="1" si="226"/>
        <v/>
      </c>
      <c r="AA478" s="316" t="str">
        <f t="shared" ca="1" si="227"/>
        <v/>
      </c>
      <c r="AC478" s="310" t="e">
        <f t="shared" ca="1" si="228"/>
        <v>#N/A</v>
      </c>
      <c r="AD478" s="323" t="e">
        <f t="shared" ca="1" si="229"/>
        <v>#N/A</v>
      </c>
      <c r="AE478" s="324">
        <f t="shared" ca="1" si="208"/>
        <v>1202.8796200368736</v>
      </c>
      <c r="AG478" s="306">
        <f t="shared" ca="1" si="230"/>
        <v>-10.055719199947031</v>
      </c>
      <c r="AH478" s="304">
        <f t="shared" ca="1" si="231"/>
        <v>-1.4889489413303876</v>
      </c>
    </row>
    <row r="479" spans="1:34" x14ac:dyDescent="0.2">
      <c r="A479" s="347">
        <f t="shared" ca="1" si="209"/>
        <v>0.1</v>
      </c>
      <c r="B479" s="304">
        <f t="shared" ca="1" si="210"/>
        <v>11.499999999999932</v>
      </c>
      <c r="D479" s="306">
        <f t="shared" ca="1" si="211"/>
        <v>-0.71075734617264563</v>
      </c>
      <c r="E479" s="307">
        <f t="shared" ca="1" si="212"/>
        <v>-11.059186981613934</v>
      </c>
      <c r="F479" s="304">
        <f t="shared" ca="1" si="213"/>
        <v>11.082003099595195</v>
      </c>
      <c r="G479" s="306">
        <f t="shared" ca="1" si="214"/>
        <v>28.16687826271718</v>
      </c>
      <c r="H479" s="307">
        <f t="shared" ca="1" si="215"/>
        <v>48.523514906475569</v>
      </c>
      <c r="I479" s="304">
        <f t="shared" ca="1" si="216"/>
        <v>56.106189764995506</v>
      </c>
      <c r="J479" s="306">
        <f t="shared" ca="1" si="217"/>
        <v>353.34593260880018</v>
      </c>
      <c r="K479" s="307">
        <f t="shared" ca="1" si="218"/>
        <v>1207.7872674624291</v>
      </c>
      <c r="L479" s="304">
        <f t="shared" ca="1" si="203"/>
        <v>1258.4130607775589</v>
      </c>
      <c r="M479" s="306">
        <f t="shared" ca="1" si="219"/>
        <v>1.0448542306386646</v>
      </c>
      <c r="N479" s="304">
        <f t="shared" ca="1" si="220"/>
        <v>59.865737621984188</v>
      </c>
      <c r="P479" s="310">
        <f t="shared" ca="1" si="221"/>
        <v>23</v>
      </c>
      <c r="Q479" s="304">
        <f t="shared" ca="1" si="222"/>
        <v>0</v>
      </c>
      <c r="R479" s="306">
        <f t="shared" ca="1" si="223"/>
        <v>0</v>
      </c>
      <c r="S479" s="307">
        <f t="shared" ca="1" si="224"/>
        <v>8.1379999999999981</v>
      </c>
      <c r="T479" s="304">
        <f t="shared" ca="1" si="204"/>
        <v>79.83377999999999</v>
      </c>
      <c r="U479" s="311">
        <f t="shared" ca="1" si="205"/>
        <v>0</v>
      </c>
      <c r="V479" s="306">
        <f t="shared" ca="1" si="206"/>
        <v>1.0854720630226777</v>
      </c>
      <c r="W479" s="304">
        <f t="shared" ca="1" si="207"/>
        <v>11.286878125744982</v>
      </c>
      <c r="Y479" s="314" t="str">
        <f t="shared" ca="1" si="225"/>
        <v/>
      </c>
      <c r="Z479" s="315" t="str">
        <f t="shared" ca="1" si="226"/>
        <v/>
      </c>
      <c r="AA479" s="316" t="str">
        <f t="shared" ca="1" si="227"/>
        <v/>
      </c>
      <c r="AC479" s="310" t="e">
        <f t="shared" ca="1" si="228"/>
        <v>#N/A</v>
      </c>
      <c r="AD479" s="323" t="e">
        <f t="shared" ca="1" si="229"/>
        <v>#N/A</v>
      </c>
      <c r="AE479" s="324">
        <f t="shared" ca="1" si="208"/>
        <v>1207.7872674624291</v>
      </c>
      <c r="AG479" s="306">
        <f t="shared" ca="1" si="230"/>
        <v>-9.9636938541897813</v>
      </c>
      <c r="AH479" s="304">
        <f t="shared" ca="1" si="231"/>
        <v>-1.437234886917274</v>
      </c>
    </row>
    <row r="480" spans="1:34" x14ac:dyDescent="0.2">
      <c r="A480" s="347">
        <f t="shared" ca="1" si="209"/>
        <v>0.1</v>
      </c>
      <c r="B480" s="304">
        <f t="shared" ca="1" si="210"/>
        <v>11.599999999999932</v>
      </c>
      <c r="D480" s="306">
        <f t="shared" ca="1" si="211"/>
        <v>-0.69628027245253554</v>
      </c>
      <c r="E480" s="307">
        <f t="shared" ca="1" si="212"/>
        <v>-11.009492746917431</v>
      </c>
      <c r="F480" s="304">
        <f t="shared" ca="1" si="213"/>
        <v>11.031488420074332</v>
      </c>
      <c r="G480" s="306">
        <f t="shared" ca="1" si="214"/>
        <v>28.097250235471925</v>
      </c>
      <c r="H480" s="307">
        <f t="shared" ca="1" si="215"/>
        <v>47.422565631783826</v>
      </c>
      <c r="I480" s="304">
        <f t="shared" ca="1" si="216"/>
        <v>55.121277215750105</v>
      </c>
      <c r="J480" s="306">
        <f t="shared" ca="1" si="217"/>
        <v>356.15913903370966</v>
      </c>
      <c r="K480" s="307">
        <f t="shared" ca="1" si="218"/>
        <v>1212.5845714893421</v>
      </c>
      <c r="L480" s="304">
        <f t="shared" ca="1" si="203"/>
        <v>1263.8080057236639</v>
      </c>
      <c r="M480" s="306">
        <f t="shared" ca="1" si="219"/>
        <v>1.0359194590586058</v>
      </c>
      <c r="N480" s="304">
        <f t="shared" ca="1" si="220"/>
        <v>59.353812919533389</v>
      </c>
      <c r="P480" s="310">
        <f t="shared" ca="1" si="221"/>
        <v>23</v>
      </c>
      <c r="Q480" s="304">
        <f t="shared" ca="1" si="222"/>
        <v>0</v>
      </c>
      <c r="R480" s="306">
        <f t="shared" ca="1" si="223"/>
        <v>0</v>
      </c>
      <c r="S480" s="307">
        <f t="shared" ca="1" si="224"/>
        <v>8.1379999999999981</v>
      </c>
      <c r="T480" s="304">
        <f t="shared" ca="1" si="204"/>
        <v>79.83377999999999</v>
      </c>
      <c r="U480" s="311">
        <f t="shared" ca="1" si="205"/>
        <v>0</v>
      </c>
      <c r="V480" s="306">
        <f t="shared" ca="1" si="206"/>
        <v>1.0849495412670354</v>
      </c>
      <c r="W480" s="304">
        <f t="shared" ca="1" si="207"/>
        <v>10.88884253059053</v>
      </c>
      <c r="Y480" s="314" t="str">
        <f t="shared" ca="1" si="225"/>
        <v/>
      </c>
      <c r="Z480" s="315" t="str">
        <f t="shared" ca="1" si="226"/>
        <v/>
      </c>
      <c r="AA480" s="316" t="str">
        <f t="shared" ca="1" si="227"/>
        <v/>
      </c>
      <c r="AC480" s="310" t="e">
        <f t="shared" ca="1" si="228"/>
        <v>#N/A</v>
      </c>
      <c r="AD480" s="323" t="e">
        <f t="shared" ca="1" si="229"/>
        <v>#N/A</v>
      </c>
      <c r="AE480" s="324">
        <f t="shared" ca="1" si="208"/>
        <v>1212.5845714893421</v>
      </c>
      <c r="AG480" s="306">
        <f t="shared" ca="1" si="230"/>
        <v>-9.8711270433519722</v>
      </c>
      <c r="AH480" s="304">
        <f t="shared" ca="1" si="231"/>
        <v>-1.3869351346454883</v>
      </c>
    </row>
    <row r="481" spans="1:34" x14ac:dyDescent="0.2">
      <c r="A481" s="347">
        <f t="shared" ca="1" si="209"/>
        <v>0.1</v>
      </c>
      <c r="B481" s="304">
        <f t="shared" ca="1" si="210"/>
        <v>11.699999999999932</v>
      </c>
      <c r="D481" s="306">
        <f t="shared" ca="1" si="211"/>
        <v>-0.68203801073802417</v>
      </c>
      <c r="E481" s="307">
        <f t="shared" ca="1" si="212"/>
        <v>-10.961144402264743</v>
      </c>
      <c r="F481" s="304">
        <f t="shared" ca="1" si="213"/>
        <v>10.982343213330713</v>
      </c>
      <c r="G481" s="306">
        <f t="shared" ca="1" si="214"/>
        <v>28.029046434398122</v>
      </c>
      <c r="H481" s="307">
        <f t="shared" ca="1" si="215"/>
        <v>46.326451191557354</v>
      </c>
      <c r="I481" s="304">
        <f t="shared" ca="1" si="216"/>
        <v>54.145798766159061</v>
      </c>
      <c r="J481" s="306">
        <f t="shared" ca="1" si="217"/>
        <v>358.96545386720317</v>
      </c>
      <c r="K481" s="307">
        <f t="shared" ca="1" si="218"/>
        <v>1217.2720223305091</v>
      </c>
      <c r="L481" s="304">
        <f t="shared" ca="1" si="203"/>
        <v>1269.0970701324209</v>
      </c>
      <c r="M481" s="306">
        <f t="shared" ca="1" si="219"/>
        <v>1.0266840749374733</v>
      </c>
      <c r="N481" s="304">
        <f t="shared" ca="1" si="220"/>
        <v>58.824664387210355</v>
      </c>
      <c r="P481" s="310">
        <f t="shared" ca="1" si="221"/>
        <v>23</v>
      </c>
      <c r="Q481" s="304">
        <f t="shared" ca="1" si="222"/>
        <v>0</v>
      </c>
      <c r="R481" s="306">
        <f t="shared" ca="1" si="223"/>
        <v>0</v>
      </c>
      <c r="S481" s="307">
        <f t="shared" ca="1" si="224"/>
        <v>8.1379999999999981</v>
      </c>
      <c r="T481" s="304">
        <f t="shared" ca="1" si="204"/>
        <v>79.83377999999999</v>
      </c>
      <c r="U481" s="311">
        <f t="shared" ca="1" si="205"/>
        <v>0</v>
      </c>
      <c r="V481" s="306">
        <f t="shared" ca="1" si="206"/>
        <v>1.0844392129407141</v>
      </c>
      <c r="W481" s="304">
        <f t="shared" ca="1" si="207"/>
        <v>10.501912016415211</v>
      </c>
      <c r="Y481" s="314" t="str">
        <f t="shared" ca="1" si="225"/>
        <v/>
      </c>
      <c r="Z481" s="315" t="str">
        <f t="shared" ca="1" si="226"/>
        <v/>
      </c>
      <c r="AA481" s="316" t="str">
        <f t="shared" ca="1" si="227"/>
        <v/>
      </c>
      <c r="AC481" s="310" t="e">
        <f t="shared" ca="1" si="228"/>
        <v>#N/A</v>
      </c>
      <c r="AD481" s="323" t="e">
        <f t="shared" ca="1" si="229"/>
        <v>#N/A</v>
      </c>
      <c r="AE481" s="324">
        <f t="shared" ca="1" si="208"/>
        <v>1217.2720223305091</v>
      </c>
      <c r="AG481" s="306">
        <f t="shared" ca="1" si="230"/>
        <v>-9.7778754357249706</v>
      </c>
      <c r="AH481" s="304">
        <f t="shared" ca="1" si="231"/>
        <v>-1.3380243955014171</v>
      </c>
    </row>
    <row r="482" spans="1:34" x14ac:dyDescent="0.2">
      <c r="A482" s="347">
        <f t="shared" ca="1" si="209"/>
        <v>0.1</v>
      </c>
      <c r="B482" s="304">
        <f t="shared" ca="1" si="210"/>
        <v>11.799999999999931</v>
      </c>
      <c r="D482" s="306">
        <f t="shared" ca="1" si="211"/>
        <v>-0.6680273572054386</v>
      </c>
      <c r="E482" s="307">
        <f t="shared" ca="1" si="212"/>
        <v>-10.914116646659206</v>
      </c>
      <c r="F482" s="304">
        <f t="shared" ca="1" si="213"/>
        <v>10.934541724592689</v>
      </c>
      <c r="G482" s="306">
        <f t="shared" ca="1" si="214"/>
        <v>27.962243698677579</v>
      </c>
      <c r="H482" s="307">
        <f t="shared" ca="1" si="215"/>
        <v>45.235039526891434</v>
      </c>
      <c r="I482" s="304">
        <f t="shared" ca="1" si="216"/>
        <v>53.179844618649128</v>
      </c>
      <c r="J482" s="306">
        <f t="shared" ca="1" si="217"/>
        <v>361.76501837385695</v>
      </c>
      <c r="K482" s="307">
        <f t="shared" ca="1" si="218"/>
        <v>1221.8500968664316</v>
      </c>
      <c r="L482" s="304">
        <f t="shared" ca="1" si="203"/>
        <v>1274.2808119608274</v>
      </c>
      <c r="M482" s="306">
        <f t="shared" ca="1" si="219"/>
        <v>1.0171347625208829</v>
      </c>
      <c r="N482" s="304">
        <f t="shared" ca="1" si="220"/>
        <v>58.277529088487853</v>
      </c>
      <c r="P482" s="310">
        <f t="shared" ca="1" si="221"/>
        <v>23</v>
      </c>
      <c r="Q482" s="304">
        <f t="shared" ca="1" si="222"/>
        <v>0</v>
      </c>
      <c r="R482" s="306">
        <f t="shared" ca="1" si="223"/>
        <v>0</v>
      </c>
      <c r="S482" s="307">
        <f t="shared" ca="1" si="224"/>
        <v>8.1379999999999981</v>
      </c>
      <c r="T482" s="304">
        <f t="shared" ca="1" si="204"/>
        <v>79.83377999999999</v>
      </c>
      <c r="U482" s="311">
        <f t="shared" ca="1" si="205"/>
        <v>0</v>
      </c>
      <c r="V482" s="306">
        <f t="shared" ca="1" si="206"/>
        <v>1.0839410101542104</v>
      </c>
      <c r="W482" s="304">
        <f t="shared" ca="1" si="207"/>
        <v>10.125894742049866</v>
      </c>
      <c r="Y482" s="314" t="str">
        <f t="shared" ca="1" si="225"/>
        <v/>
      </c>
      <c r="Z482" s="315" t="str">
        <f t="shared" ca="1" si="226"/>
        <v/>
      </c>
      <c r="AA482" s="316" t="str">
        <f t="shared" ca="1" si="227"/>
        <v/>
      </c>
      <c r="AC482" s="310" t="e">
        <f t="shared" ca="1" si="228"/>
        <v>#N/A</v>
      </c>
      <c r="AD482" s="323" t="e">
        <f t="shared" ca="1" si="229"/>
        <v>#N/A</v>
      </c>
      <c r="AE482" s="324">
        <f t="shared" ca="1" si="208"/>
        <v>1221.8500968664316</v>
      </c>
      <c r="AG482" s="306">
        <f t="shared" ca="1" si="230"/>
        <v>-9.6837884728498871</v>
      </c>
      <c r="AH482" s="304">
        <f t="shared" ca="1" si="231"/>
        <v>-1.2904782522014271</v>
      </c>
    </row>
    <row r="483" spans="1:34" x14ac:dyDescent="0.2">
      <c r="A483" s="347">
        <f t="shared" ca="1" si="209"/>
        <v>0.1</v>
      </c>
      <c r="B483" s="304">
        <f t="shared" ca="1" si="210"/>
        <v>11.899999999999931</v>
      </c>
      <c r="D483" s="306">
        <f t="shared" ca="1" si="211"/>
        <v>-0.65424539640931612</v>
      </c>
      <c r="E483" s="307">
        <f t="shared" ca="1" si="212"/>
        <v>-10.868384895210029</v>
      </c>
      <c r="F483" s="304">
        <f t="shared" ca="1" si="213"/>
        <v>10.888058930275511</v>
      </c>
      <c r="G483" s="306">
        <f t="shared" ca="1" si="214"/>
        <v>27.896819159036646</v>
      </c>
      <c r="H483" s="307">
        <f t="shared" ca="1" si="215"/>
        <v>44.148201037370434</v>
      </c>
      <c r="I483" s="304">
        <f t="shared" ca="1" si="216"/>
        <v>52.223521271818406</v>
      </c>
      <c r="J483" s="306">
        <f t="shared" ca="1" si="217"/>
        <v>364.55797151674267</v>
      </c>
      <c r="K483" s="307">
        <f t="shared" ca="1" si="218"/>
        <v>1226.3192588946447</v>
      </c>
      <c r="L483" s="304">
        <f t="shared" ca="1" si="203"/>
        <v>1279.3597771277291</v>
      </c>
      <c r="M483" s="306">
        <f t="shared" ca="1" si="219"/>
        <v>1.0072575392783187</v>
      </c>
      <c r="N483" s="304">
        <f t="shared" ca="1" si="220"/>
        <v>57.711605883380408</v>
      </c>
      <c r="P483" s="310">
        <f t="shared" ca="1" si="221"/>
        <v>23</v>
      </c>
      <c r="Q483" s="304">
        <f t="shared" ca="1" si="222"/>
        <v>0</v>
      </c>
      <c r="R483" s="306">
        <f t="shared" ca="1" si="223"/>
        <v>0</v>
      </c>
      <c r="S483" s="307">
        <f t="shared" ca="1" si="224"/>
        <v>8.1379999999999981</v>
      </c>
      <c r="T483" s="304">
        <f t="shared" ca="1" si="204"/>
        <v>79.83377999999999</v>
      </c>
      <c r="U483" s="311">
        <f t="shared" ca="1" si="205"/>
        <v>0</v>
      </c>
      <c r="V483" s="306">
        <f t="shared" ca="1" si="206"/>
        <v>1.0834548669203266</v>
      </c>
      <c r="W483" s="304">
        <f t="shared" ca="1" si="207"/>
        <v>9.7606055150484625</v>
      </c>
      <c r="Y483" s="314" t="str">
        <f t="shared" ca="1" si="225"/>
        <v/>
      </c>
      <c r="Z483" s="315" t="str">
        <f t="shared" ca="1" si="226"/>
        <v/>
      </c>
      <c r="AA483" s="316" t="str">
        <f t="shared" ca="1" si="227"/>
        <v/>
      </c>
      <c r="AC483" s="310" t="e">
        <f t="shared" ca="1" si="228"/>
        <v>#N/A</v>
      </c>
      <c r="AD483" s="323" t="e">
        <f t="shared" ca="1" si="229"/>
        <v>#N/A</v>
      </c>
      <c r="AE483" s="324">
        <f t="shared" ca="1" si="208"/>
        <v>1226.3192588946447</v>
      </c>
      <c r="AG483" s="306">
        <f t="shared" ca="1" si="230"/>
        <v>-9.5887077744978928</v>
      </c>
      <c r="AH483" s="304">
        <f t="shared" ca="1" si="231"/>
        <v>-1.2442731312423039</v>
      </c>
    </row>
    <row r="484" spans="1:34" x14ac:dyDescent="0.2">
      <c r="A484" s="347">
        <f t="shared" ca="1" si="209"/>
        <v>0.1</v>
      </c>
      <c r="B484" s="304">
        <f t="shared" ca="1" si="210"/>
        <v>11.999999999999931</v>
      </c>
      <c r="D484" s="306">
        <f t="shared" ca="1" si="211"/>
        <v>-0.64068950602820629</v>
      </c>
      <c r="E484" s="307">
        <f t="shared" ca="1" si="212"/>
        <v>-10.82392524192151</v>
      </c>
      <c r="F484" s="304">
        <f t="shared" ca="1" si="213"/>
        <v>10.842870500279908</v>
      </c>
      <c r="G484" s="306">
        <f t="shared" ca="1" si="214"/>
        <v>27.832750208433826</v>
      </c>
      <c r="H484" s="307">
        <f t="shared" ca="1" si="215"/>
        <v>43.065808513178283</v>
      </c>
      <c r="I484" s="304">
        <f t="shared" ca="1" si="216"/>
        <v>51.276952396362368</v>
      </c>
      <c r="J484" s="306">
        <f t="shared" ca="1" si="217"/>
        <v>367.34444998511617</v>
      </c>
      <c r="K484" s="307">
        <f t="shared" ca="1" si="218"/>
        <v>1230.6799593721721</v>
      </c>
      <c r="L484" s="304">
        <f t="shared" ca="1" si="203"/>
        <v>1284.3344997838992</v>
      </c>
      <c r="M484" s="306">
        <f t="shared" ca="1" si="219"/>
        <v>0.99703772749533537</v>
      </c>
      <c r="N484" s="304">
        <f t="shared" ca="1" si="220"/>
        <v>57.126053800797393</v>
      </c>
      <c r="P484" s="310">
        <f t="shared" ca="1" si="221"/>
        <v>23</v>
      </c>
      <c r="Q484" s="304">
        <f t="shared" ca="1" si="222"/>
        <v>0</v>
      </c>
      <c r="R484" s="306">
        <f t="shared" ca="1" si="223"/>
        <v>0</v>
      </c>
      <c r="S484" s="307">
        <f t="shared" ca="1" si="224"/>
        <v>8.1379999999999981</v>
      </c>
      <c r="T484" s="304">
        <f t="shared" ca="1" si="204"/>
        <v>79.83377999999999</v>
      </c>
      <c r="U484" s="311">
        <f t="shared" ca="1" si="205"/>
        <v>0</v>
      </c>
      <c r="V484" s="306">
        <f t="shared" ca="1" si="206"/>
        <v>1.0829807191181933</v>
      </c>
      <c r="W484" s="304">
        <f t="shared" ca="1" si="207"/>
        <v>9.4058655827524937</v>
      </c>
      <c r="Y484" s="314" t="str">
        <f t="shared" ca="1" si="225"/>
        <v/>
      </c>
      <c r="Z484" s="315" t="str">
        <f t="shared" ca="1" si="226"/>
        <v/>
      </c>
      <c r="AA484" s="316" t="str">
        <f t="shared" ca="1" si="227"/>
        <v/>
      </c>
      <c r="AC484" s="310">
        <f t="shared" ca="1" si="228"/>
        <v>11.999999999999931</v>
      </c>
      <c r="AD484" s="323">
        <f t="shared" ca="1" si="229"/>
        <v>367.34444998511617</v>
      </c>
      <c r="AE484" s="324">
        <f t="shared" ca="1" si="208"/>
        <v>1230.6799593721721</v>
      </c>
      <c r="AG484" s="306">
        <f t="shared" ca="1" si="230"/>
        <v>-9.492466513323631</v>
      </c>
      <c r="AH484" s="304">
        <f t="shared" ca="1" si="231"/>
        <v>-1.1993862761180223</v>
      </c>
    </row>
    <row r="485" spans="1:34" x14ac:dyDescent="0.2">
      <c r="A485" s="347">
        <f t="shared" ca="1" si="209"/>
        <v>0.1</v>
      </c>
      <c r="B485" s="304">
        <f t="shared" ca="1" si="210"/>
        <v>12.09999999999993</v>
      </c>
      <c r="D485" s="306">
        <f t="shared" ca="1" si="211"/>
        <v>-0.62735736250235208</v>
      </c>
      <c r="E485" s="307">
        <f t="shared" ca="1" si="212"/>
        <v>-10.780714422417086</v>
      </c>
      <c r="F485" s="304">
        <f t="shared" ca="1" si="213"/>
        <v>10.798952760244749</v>
      </c>
      <c r="G485" s="306">
        <f t="shared" ca="1" si="214"/>
        <v>27.77001447218359</v>
      </c>
      <c r="H485" s="307">
        <f t="shared" ca="1" si="215"/>
        <v>41.987737070936575</v>
      </c>
      <c r="I485" s="304">
        <f t="shared" ca="1" si="216"/>
        <v>50.34027977796098</v>
      </c>
      <c r="J485" s="306">
        <f t="shared" ca="1" si="217"/>
        <v>370.12458821914703</v>
      </c>
      <c r="K485" s="307">
        <f t="shared" ca="1" si="218"/>
        <v>1234.9326366513778</v>
      </c>
      <c r="L485" s="304">
        <f t="shared" ca="1" si="203"/>
        <v>1289.2055025755658</v>
      </c>
      <c r="M485" s="306">
        <f t="shared" ca="1" si="219"/>
        <v>0.98645992635963697</v>
      </c>
      <c r="N485" s="304">
        <f t="shared" ca="1" si="220"/>
        <v>56.519990439193187</v>
      </c>
      <c r="P485" s="310">
        <f t="shared" ca="1" si="221"/>
        <v>23</v>
      </c>
      <c r="Q485" s="304">
        <f t="shared" ca="1" si="222"/>
        <v>0</v>
      </c>
      <c r="R485" s="306">
        <f t="shared" ca="1" si="223"/>
        <v>0</v>
      </c>
      <c r="S485" s="307">
        <f t="shared" ca="1" si="224"/>
        <v>8.1379999999999981</v>
      </c>
      <c r="T485" s="304">
        <f t="shared" ca="1" si="204"/>
        <v>79.83377999999999</v>
      </c>
      <c r="U485" s="311">
        <f t="shared" ca="1" si="205"/>
        <v>0</v>
      </c>
      <c r="V485" s="306">
        <f t="shared" ca="1" si="206"/>
        <v>1.0825185044583692</v>
      </c>
      <c r="W485" s="304">
        <f t="shared" ca="1" si="207"/>
        <v>9.0615024319366455</v>
      </c>
      <c r="Y485" s="314" t="str">
        <f t="shared" ca="1" si="225"/>
        <v/>
      </c>
      <c r="Z485" s="315" t="str">
        <f t="shared" ca="1" si="226"/>
        <v/>
      </c>
      <c r="AA485" s="316" t="str">
        <f t="shared" ca="1" si="227"/>
        <v/>
      </c>
      <c r="AC485" s="310" t="e">
        <f t="shared" ca="1" si="228"/>
        <v>#N/A</v>
      </c>
      <c r="AD485" s="323" t="e">
        <f t="shared" ca="1" si="229"/>
        <v>#N/A</v>
      </c>
      <c r="AE485" s="324">
        <f t="shared" ca="1" si="208"/>
        <v>1234.9326366513778</v>
      </c>
      <c r="AG485" s="306">
        <f t="shared" ca="1" si="230"/>
        <v>-9.3948887599489783</v>
      </c>
      <c r="AH485" s="304">
        <f t="shared" ca="1" si="231"/>
        <v>-1.155795721645674</v>
      </c>
    </row>
    <row r="486" spans="1:34" x14ac:dyDescent="0.2">
      <c r="A486" s="347">
        <f t="shared" ca="1" si="209"/>
        <v>0.1</v>
      </c>
      <c r="B486" s="304">
        <f t="shared" ca="1" si="210"/>
        <v>12.19999999999993</v>
      </c>
      <c r="D486" s="306">
        <f t="shared" ca="1" si="211"/>
        <v>-0.61424694758575715</v>
      </c>
      <c r="E486" s="307">
        <f t="shared" ca="1" si="212"/>
        <v>-10.738729776417296</v>
      </c>
      <c r="F486" s="304">
        <f t="shared" ca="1" si="213"/>
        <v>10.756282653571812</v>
      </c>
      <c r="G486" s="306">
        <f t="shared" ca="1" si="214"/>
        <v>27.708589777425015</v>
      </c>
      <c r="H486" s="307">
        <f t="shared" ca="1" si="215"/>
        <v>40.913864093294848</v>
      </c>
      <c r="I486" s="304">
        <f t="shared" ca="1" si="216"/>
        <v>49.41366432980076</v>
      </c>
      <c r="J486" s="306">
        <f t="shared" ca="1" si="217"/>
        <v>372.89851843162745</v>
      </c>
      <c r="K486" s="307">
        <f t="shared" ca="1" si="218"/>
        <v>1239.0777167095894</v>
      </c>
      <c r="L486" s="304">
        <f t="shared" ca="1" si="203"/>
        <v>1293.9732969017375</v>
      </c>
      <c r="M486" s="306">
        <f t="shared" ca="1" si="219"/>
        <v>0.97550798499989666</v>
      </c>
      <c r="N486" s="304">
        <f t="shared" ca="1" si="220"/>
        <v>55.892490421805299</v>
      </c>
      <c r="P486" s="310">
        <f t="shared" ca="1" si="221"/>
        <v>23</v>
      </c>
      <c r="Q486" s="304">
        <f t="shared" ca="1" si="222"/>
        <v>0</v>
      </c>
      <c r="R486" s="306">
        <f t="shared" ca="1" si="223"/>
        <v>0</v>
      </c>
      <c r="S486" s="307">
        <f t="shared" ca="1" si="224"/>
        <v>8.1379999999999981</v>
      </c>
      <c r="T486" s="304">
        <f t="shared" ca="1" si="204"/>
        <v>79.83377999999999</v>
      </c>
      <c r="U486" s="311">
        <f t="shared" ca="1" si="205"/>
        <v>0</v>
      </c>
      <c r="V486" s="306">
        <f t="shared" ca="1" si="206"/>
        <v>1.0820681624489676</v>
      </c>
      <c r="W486" s="304">
        <f t="shared" ca="1" si="207"/>
        <v>8.7273495966091925</v>
      </c>
      <c r="Y486" s="314" t="str">
        <f t="shared" ca="1" si="225"/>
        <v/>
      </c>
      <c r="Z486" s="315" t="str">
        <f t="shared" ca="1" si="226"/>
        <v/>
      </c>
      <c r="AA486" s="316" t="str">
        <f t="shared" ca="1" si="227"/>
        <v/>
      </c>
      <c r="AC486" s="310" t="e">
        <f t="shared" ca="1" si="228"/>
        <v>#N/A</v>
      </c>
      <c r="AD486" s="323" t="e">
        <f t="shared" ca="1" si="229"/>
        <v>#N/A</v>
      </c>
      <c r="AE486" s="324">
        <f t="shared" ca="1" si="208"/>
        <v>1239.0777167095894</v>
      </c>
      <c r="AG486" s="306">
        <f t="shared" ca="1" si="230"/>
        <v>-9.2957888000628088</v>
      </c>
      <c r="AH486" s="304">
        <f t="shared" ca="1" si="231"/>
        <v>-1.1134802693458647</v>
      </c>
    </row>
    <row r="487" spans="1:34" x14ac:dyDescent="0.2">
      <c r="A487" s="347">
        <f t="shared" ca="1" si="209"/>
        <v>0.1</v>
      </c>
      <c r="B487" s="304">
        <f t="shared" ca="1" si="210"/>
        <v>12.29999999999993</v>
      </c>
      <c r="D487" s="306">
        <f t="shared" ca="1" si="211"/>
        <v>-0.60135655583301295</v>
      </c>
      <c r="E487" s="307">
        <f t="shared" ca="1" si="212"/>
        <v>-10.697949209779317</v>
      </c>
      <c r="F487" s="304">
        <f t="shared" ca="1" si="213"/>
        <v>10.714837703029442</v>
      </c>
      <c r="G487" s="306">
        <f t="shared" ca="1" si="214"/>
        <v>27.648454121841713</v>
      </c>
      <c r="H487" s="307">
        <f t="shared" ca="1" si="215"/>
        <v>39.844069172316914</v>
      </c>
      <c r="I487" s="304">
        <f t="shared" ca="1" si="216"/>
        <v>48.497287177077865</v>
      </c>
      <c r="J487" s="306">
        <f t="shared" ca="1" si="217"/>
        <v>375.66637062659078</v>
      </c>
      <c r="K487" s="307">
        <f t="shared" ca="1" si="218"/>
        <v>1243.11561337287</v>
      </c>
      <c r="L487" s="304">
        <f t="shared" ca="1" si="203"/>
        <v>1298.6383831656763</v>
      </c>
      <c r="M487" s="306">
        <f t="shared" ca="1" si="219"/>
        <v>0.96416497704000637</v>
      </c>
      <c r="N487" s="304">
        <f t="shared" ca="1" si="220"/>
        <v>55.242583938720287</v>
      </c>
      <c r="P487" s="310">
        <f t="shared" ca="1" si="221"/>
        <v>23</v>
      </c>
      <c r="Q487" s="304">
        <f t="shared" ca="1" si="222"/>
        <v>0</v>
      </c>
      <c r="R487" s="306">
        <f t="shared" ca="1" si="223"/>
        <v>0</v>
      </c>
      <c r="S487" s="307">
        <f t="shared" ca="1" si="224"/>
        <v>8.1379999999999981</v>
      </c>
      <c r="T487" s="304">
        <f t="shared" ca="1" si="204"/>
        <v>79.83377999999999</v>
      </c>
      <c r="U487" s="311">
        <f t="shared" ca="1" si="205"/>
        <v>0</v>
      </c>
      <c r="V487" s="306">
        <f t="shared" ca="1" si="206"/>
        <v>1.0816296343627554</v>
      </c>
      <c r="W487" s="304">
        <f t="shared" ca="1" si="207"/>
        <v>8.4032464735571519</v>
      </c>
      <c r="Y487" s="314" t="str">
        <f t="shared" ca="1" si="225"/>
        <v/>
      </c>
      <c r="Z487" s="315" t="str">
        <f t="shared" ca="1" si="226"/>
        <v/>
      </c>
      <c r="AA487" s="316" t="str">
        <f t="shared" ca="1" si="227"/>
        <v/>
      </c>
      <c r="AC487" s="310" t="e">
        <f t="shared" ca="1" si="228"/>
        <v>#N/A</v>
      </c>
      <c r="AD487" s="323" t="e">
        <f t="shared" ca="1" si="229"/>
        <v>#N/A</v>
      </c>
      <c r="AE487" s="324">
        <f t="shared" ca="1" si="208"/>
        <v>1243.11561337287</v>
      </c>
      <c r="AG487" s="306">
        <f t="shared" ca="1" si="230"/>
        <v>-9.1949704261743452</v>
      </c>
      <c r="AH487" s="304">
        <f t="shared" ca="1" si="231"/>
        <v>-1.0724194638251652</v>
      </c>
    </row>
    <row r="488" spans="1:34" x14ac:dyDescent="0.2">
      <c r="A488" s="347">
        <f t="shared" ca="1" si="209"/>
        <v>0.1</v>
      </c>
      <c r="B488" s="304">
        <f t="shared" ca="1" si="210"/>
        <v>12.399999999999929</v>
      </c>
      <c r="D488" s="306">
        <f t="shared" ca="1" si="211"/>
        <v>-0.58868480303771897</v>
      </c>
      <c r="E488" s="307">
        <f t="shared" ca="1" si="212"/>
        <v>-10.658351155893277</v>
      </c>
      <c r="F488" s="304">
        <f t="shared" ca="1" si="213"/>
        <v>10.674595971729286</v>
      </c>
      <c r="G488" s="306">
        <f t="shared" ca="1" si="214"/>
        <v>27.589585641537941</v>
      </c>
      <c r="H488" s="307">
        <f t="shared" ca="1" si="215"/>
        <v>38.778234056727584</v>
      </c>
      <c r="I488" s="304">
        <f t="shared" ca="1" si="216"/>
        <v>47.591350815354083</v>
      </c>
      <c r="J488" s="306">
        <f t="shared" ca="1" si="217"/>
        <v>378.42827261475975</v>
      </c>
      <c r="K488" s="307">
        <f t="shared" ca="1" si="218"/>
        <v>1247.0467285343223</v>
      </c>
      <c r="L488" s="304">
        <f t="shared" ca="1" si="203"/>
        <v>1303.2012510208644</v>
      </c>
      <c r="M488" s="306">
        <f t="shared" ca="1" si="219"/>
        <v>0.95241317735320707</v>
      </c>
      <c r="N488" s="304">
        <f t="shared" ca="1" si="220"/>
        <v>54.569255414983523</v>
      </c>
      <c r="P488" s="310">
        <f t="shared" ca="1" si="221"/>
        <v>23</v>
      </c>
      <c r="Q488" s="304">
        <f t="shared" ca="1" si="222"/>
        <v>0</v>
      </c>
      <c r="R488" s="306">
        <f t="shared" ca="1" si="223"/>
        <v>0</v>
      </c>
      <c r="S488" s="307">
        <f t="shared" ca="1" si="224"/>
        <v>8.1379999999999981</v>
      </c>
      <c r="T488" s="304">
        <f t="shared" ca="1" si="204"/>
        <v>79.83377999999999</v>
      </c>
      <c r="U488" s="311">
        <f t="shared" ca="1" si="205"/>
        <v>0</v>
      </c>
      <c r="V488" s="306">
        <f t="shared" ca="1" si="206"/>
        <v>1.0812028632051751</v>
      </c>
      <c r="W488" s="304">
        <f t="shared" ca="1" si="207"/>
        <v>8.0890381452417959</v>
      </c>
      <c r="Y488" s="314" t="str">
        <f t="shared" ca="1" si="225"/>
        <v/>
      </c>
      <c r="Z488" s="315" t="str">
        <f t="shared" ca="1" si="226"/>
        <v/>
      </c>
      <c r="AA488" s="316" t="str">
        <f t="shared" ca="1" si="227"/>
        <v/>
      </c>
      <c r="AC488" s="310" t="e">
        <f t="shared" ca="1" si="228"/>
        <v>#N/A</v>
      </c>
      <c r="AD488" s="323" t="e">
        <f t="shared" ca="1" si="229"/>
        <v>#N/A</v>
      </c>
      <c r="AE488" s="324">
        <f t="shared" ca="1" si="208"/>
        <v>1247.0467285343223</v>
      </c>
      <c r="AG488" s="306">
        <f t="shared" ca="1" si="230"/>
        <v>-9.092226207978138</v>
      </c>
      <c r="AH488" s="304">
        <f t="shared" ca="1" si="231"/>
        <v>-1.0325935701102424</v>
      </c>
    </row>
    <row r="489" spans="1:34" x14ac:dyDescent="0.2">
      <c r="A489" s="347">
        <f t="shared" ca="1" si="209"/>
        <v>0.1</v>
      </c>
      <c r="B489" s="304">
        <f t="shared" ca="1" si="210"/>
        <v>12.499999999999929</v>
      </c>
      <c r="D489" s="306">
        <f t="shared" ca="1" si="211"/>
        <v>-0.57623063563410015</v>
      </c>
      <c r="E489" s="307">
        <f t="shared" ca="1" si="212"/>
        <v>-10.619914536216662</v>
      </c>
      <c r="F489" s="304">
        <f t="shared" ca="1" si="213"/>
        <v>10.63553602325662</v>
      </c>
      <c r="G489" s="306">
        <f t="shared" ca="1" si="214"/>
        <v>27.531962577974532</v>
      </c>
      <c r="H489" s="307">
        <f t="shared" ca="1" si="215"/>
        <v>37.716242603105918</v>
      </c>
      <c r="I489" s="304">
        <f t="shared" ca="1" si="216"/>
        <v>46.696080343978892</v>
      </c>
      <c r="J489" s="306">
        <f t="shared" ca="1" si="217"/>
        <v>381.1843500257354</v>
      </c>
      <c r="K489" s="307">
        <f t="shared" ca="1" si="218"/>
        <v>1250.8714523673139</v>
      </c>
      <c r="L489" s="304">
        <f t="shared" ca="1" si="203"/>
        <v>1307.6623796118231</v>
      </c>
      <c r="M489" s="306">
        <f t="shared" ca="1" si="219"/>
        <v>0.94023404184259296</v>
      </c>
      <c r="N489" s="304">
        <f t="shared" ca="1" si="220"/>
        <v>53.871442352107422</v>
      </c>
      <c r="P489" s="310">
        <f t="shared" ca="1" si="221"/>
        <v>23</v>
      </c>
      <c r="Q489" s="304">
        <f t="shared" ca="1" si="222"/>
        <v>0</v>
      </c>
      <c r="R489" s="306">
        <f t="shared" ca="1" si="223"/>
        <v>0</v>
      </c>
      <c r="S489" s="307">
        <f t="shared" ca="1" si="224"/>
        <v>8.1379999999999981</v>
      </c>
      <c r="T489" s="304">
        <f t="shared" ca="1" si="204"/>
        <v>79.83377999999999</v>
      </c>
      <c r="U489" s="311">
        <f t="shared" ca="1" si="205"/>
        <v>0</v>
      </c>
      <c r="V489" s="306">
        <f t="shared" ca="1" si="206"/>
        <v>1.0807877936832315</v>
      </c>
      <c r="W489" s="304">
        <f t="shared" ca="1" si="207"/>
        <v>7.7845752096633216</v>
      </c>
      <c r="Y489" s="314" t="str">
        <f t="shared" ca="1" si="225"/>
        <v/>
      </c>
      <c r="Z489" s="315" t="str">
        <f t="shared" ca="1" si="226"/>
        <v/>
      </c>
      <c r="AA489" s="316" t="str">
        <f t="shared" ca="1" si="227"/>
        <v/>
      </c>
      <c r="AC489" s="310" t="e">
        <f t="shared" ca="1" si="228"/>
        <v>#N/A</v>
      </c>
      <c r="AD489" s="323" t="e">
        <f t="shared" ca="1" si="229"/>
        <v>#N/A</v>
      </c>
      <c r="AE489" s="324">
        <f t="shared" ca="1" si="208"/>
        <v>1250.8714523673139</v>
      </c>
      <c r="AG489" s="306">
        <f t="shared" ca="1" si="230"/>
        <v>-8.987336746931879</v>
      </c>
      <c r="AH489" s="304">
        <f t="shared" ca="1" si="231"/>
        <v>-0.99398355188520493</v>
      </c>
    </row>
    <row r="490" spans="1:34" x14ac:dyDescent="0.2">
      <c r="A490" s="347">
        <f t="shared" ca="1" si="209"/>
        <v>0.1</v>
      </c>
      <c r="B490" s="304">
        <f t="shared" ca="1" si="210"/>
        <v>12.599999999999929</v>
      </c>
      <c r="D490" s="306">
        <f t="shared" ca="1" si="211"/>
        <v>-0.56399334106603749</v>
      </c>
      <c r="E490" s="307">
        <f t="shared" ca="1" si="212"/>
        <v>-10.582618719713073</v>
      </c>
      <c r="F490" s="304">
        <f t="shared" ca="1" si="213"/>
        <v>10.597636880719607</v>
      </c>
      <c r="G490" s="306">
        <f t="shared" ca="1" si="214"/>
        <v>27.475563243867928</v>
      </c>
      <c r="H490" s="307">
        <f t="shared" ca="1" si="215"/>
        <v>36.657980731134614</v>
      </c>
      <c r="I490" s="304">
        <f t="shared" ca="1" si="216"/>
        <v>45.811724774909131</v>
      </c>
      <c r="J490" s="306">
        <f t="shared" ca="1" si="217"/>
        <v>383.93472631682749</v>
      </c>
      <c r="K490" s="307">
        <f t="shared" ca="1" si="218"/>
        <v>1254.5901635340258</v>
      </c>
      <c r="L490" s="304">
        <f t="shared" ca="1" si="203"/>
        <v>1312.0222378101337</v>
      </c>
      <c r="M490" s="306">
        <f t="shared" ca="1" si="219"/>
        <v>0.92760819123916105</v>
      </c>
      <c r="N490" s="304">
        <f t="shared" ca="1" si="220"/>
        <v>53.148034399768072</v>
      </c>
      <c r="P490" s="310">
        <f t="shared" ca="1" si="221"/>
        <v>23</v>
      </c>
      <c r="Q490" s="304">
        <f t="shared" ca="1" si="222"/>
        <v>0</v>
      </c>
      <c r="R490" s="306">
        <f t="shared" ca="1" si="223"/>
        <v>0</v>
      </c>
      <c r="S490" s="307">
        <f t="shared" ca="1" si="224"/>
        <v>8.1379999999999981</v>
      </c>
      <c r="T490" s="304">
        <f t="shared" ca="1" si="204"/>
        <v>79.83377999999999</v>
      </c>
      <c r="U490" s="311">
        <f t="shared" ca="1" si="205"/>
        <v>0</v>
      </c>
      <c r="V490" s="306">
        <f t="shared" ca="1" si="206"/>
        <v>1.0803843721751967</v>
      </c>
      <c r="W490" s="304">
        <f t="shared" ca="1" si="207"/>
        <v>7.4897136168261191</v>
      </c>
      <c r="Y490" s="314" t="str">
        <f t="shared" ca="1" si="225"/>
        <v/>
      </c>
      <c r="Z490" s="315" t="str">
        <f t="shared" ca="1" si="226"/>
        <v/>
      </c>
      <c r="AA490" s="316" t="str">
        <f t="shared" ca="1" si="227"/>
        <v/>
      </c>
      <c r="AC490" s="310" t="e">
        <f t="shared" ca="1" si="228"/>
        <v>#N/A</v>
      </c>
      <c r="AD490" s="323" t="e">
        <f t="shared" ca="1" si="229"/>
        <v>#N/A</v>
      </c>
      <c r="AE490" s="324">
        <f t="shared" ca="1" si="208"/>
        <v>1254.5901635340258</v>
      </c>
      <c r="AG490" s="306">
        <f t="shared" ca="1" si="230"/>
        <v>-8.8800699226737834</v>
      </c>
      <c r="AH490" s="304">
        <f t="shared" ca="1" si="231"/>
        <v>-0.95657105058531866</v>
      </c>
    </row>
    <row r="491" spans="1:34" x14ac:dyDescent="0.2">
      <c r="A491" s="347">
        <f t="shared" ca="1" si="209"/>
        <v>0.1</v>
      </c>
      <c r="B491" s="304">
        <f t="shared" ca="1" si="210"/>
        <v>12.699999999999928</v>
      </c>
      <c r="D491" s="306">
        <f t="shared" ca="1" si="211"/>
        <v>-0.55197255911782106</v>
      </c>
      <c r="E491" s="307">
        <f t="shared" ca="1" si="212"/>
        <v>-10.546443480945639</v>
      </c>
      <c r="F491" s="304">
        <f t="shared" ca="1" si="213"/>
        <v>10.560877984467004</v>
      </c>
      <c r="G491" s="306">
        <f t="shared" ca="1" si="214"/>
        <v>27.420365987956146</v>
      </c>
      <c r="H491" s="307">
        <f t="shared" ca="1" si="215"/>
        <v>35.603336383040052</v>
      </c>
      <c r="I491" s="304">
        <f t="shared" ca="1" si="216"/>
        <v>44.938558416101486</v>
      </c>
      <c r="J491" s="306">
        <f t="shared" ca="1" si="217"/>
        <v>386.67952277841869</v>
      </c>
      <c r="K491" s="307">
        <f t="shared" ca="1" si="218"/>
        <v>1258.2032293897346</v>
      </c>
      <c r="L491" s="304">
        <f t="shared" ca="1" si="203"/>
        <v>1316.2812844460345</v>
      </c>
      <c r="M491" s="306">
        <f t="shared" ca="1" si="219"/>
        <v>0.91451540009825361</v>
      </c>
      <c r="N491" s="304">
        <f t="shared" ca="1" si="220"/>
        <v>52.397872725347803</v>
      </c>
      <c r="P491" s="310">
        <f t="shared" ca="1" si="221"/>
        <v>23</v>
      </c>
      <c r="Q491" s="304">
        <f t="shared" ca="1" si="222"/>
        <v>0</v>
      </c>
      <c r="R491" s="306">
        <f t="shared" ca="1" si="223"/>
        <v>0</v>
      </c>
      <c r="S491" s="307">
        <f t="shared" ca="1" si="224"/>
        <v>8.1379999999999981</v>
      </c>
      <c r="T491" s="304">
        <f t="shared" ca="1" si="204"/>
        <v>79.83377999999999</v>
      </c>
      <c r="U491" s="311">
        <f t="shared" ca="1" si="205"/>
        <v>0</v>
      </c>
      <c r="V491" s="306">
        <f t="shared" ca="1" si="206"/>
        <v>1.079992546701072</v>
      </c>
      <c r="W491" s="304">
        <f t="shared" ca="1" si="207"/>
        <v>7.2043145114461735</v>
      </c>
      <c r="Y491" s="314" t="str">
        <f t="shared" ca="1" si="225"/>
        <v/>
      </c>
      <c r="Z491" s="315" t="str">
        <f t="shared" ca="1" si="226"/>
        <v/>
      </c>
      <c r="AA491" s="316" t="str">
        <f t="shared" ca="1" si="227"/>
        <v/>
      </c>
      <c r="AC491" s="310" t="e">
        <f t="shared" ca="1" si="228"/>
        <v>#N/A</v>
      </c>
      <c r="AD491" s="323" t="e">
        <f t="shared" ca="1" si="229"/>
        <v>#N/A</v>
      </c>
      <c r="AE491" s="324">
        <f t="shared" ca="1" si="208"/>
        <v>1258.2032293897346</v>
      </c>
      <c r="AG491" s="306">
        <f t="shared" ca="1" si="230"/>
        <v>-8.7701801413833316</v>
      </c>
      <c r="AH491" s="304">
        <f t="shared" ca="1" si="231"/>
        <v>-0.9203383653018089</v>
      </c>
    </row>
    <row r="492" spans="1:34" x14ac:dyDescent="0.2">
      <c r="A492" s="347">
        <f t="shared" ca="1" si="209"/>
        <v>0.1</v>
      </c>
      <c r="B492" s="304">
        <f t="shared" ca="1" si="210"/>
        <v>12.799999999999928</v>
      </c>
      <c r="D492" s="306">
        <f t="shared" ca="1" si="211"/>
        <v>-0.5401682941878132</v>
      </c>
      <c r="E492" s="307">
        <f t="shared" ca="1" si="212"/>
        <v>-10.511368956558378</v>
      </c>
      <c r="F492" s="304">
        <f t="shared" ca="1" si="213"/>
        <v>10.525239148206797</v>
      </c>
      <c r="G492" s="306">
        <f t="shared" ca="1" si="214"/>
        <v>27.366349158537364</v>
      </c>
      <c r="H492" s="307">
        <f t="shared" ca="1" si="215"/>
        <v>34.552199487384215</v>
      </c>
      <c r="I492" s="304">
        <f t="shared" ca="1" si="216"/>
        <v>44.076882327167525</v>
      </c>
      <c r="J492" s="306">
        <f t="shared" ca="1" si="217"/>
        <v>389.41885853574337</v>
      </c>
      <c r="K492" s="307">
        <f t="shared" ca="1" si="218"/>
        <v>1261.7110061832559</v>
      </c>
      <c r="L492" s="304">
        <f t="shared" ca="1" si="203"/>
        <v>1320.4399685359595</v>
      </c>
      <c r="M492" s="306">
        <f t="shared" ca="1" si="219"/>
        <v>0.90093459239203766</v>
      </c>
      <c r="N492" s="304">
        <f t="shared" ca="1" si="220"/>
        <v>51.619749761402886</v>
      </c>
      <c r="P492" s="310">
        <f t="shared" ca="1" si="221"/>
        <v>23</v>
      </c>
      <c r="Q492" s="304">
        <f t="shared" ca="1" si="222"/>
        <v>0</v>
      </c>
      <c r="R492" s="306">
        <f t="shared" ca="1" si="223"/>
        <v>0</v>
      </c>
      <c r="S492" s="307">
        <f t="shared" ca="1" si="224"/>
        <v>8.1379999999999981</v>
      </c>
      <c r="T492" s="304">
        <f t="shared" ca="1" si="204"/>
        <v>79.83377999999999</v>
      </c>
      <c r="U492" s="311">
        <f t="shared" ca="1" si="205"/>
        <v>0</v>
      </c>
      <c r="V492" s="306">
        <f t="shared" ca="1" si="206"/>
        <v>1.07961226689376</v>
      </c>
      <c r="W492" s="304">
        <f t="shared" ca="1" si="207"/>
        <v>6.9282440815516084</v>
      </c>
      <c r="Y492" s="314" t="str">
        <f t="shared" ca="1" si="225"/>
        <v/>
      </c>
      <c r="Z492" s="315" t="str">
        <f t="shared" ca="1" si="226"/>
        <v/>
      </c>
      <c r="AA492" s="316" t="str">
        <f t="shared" ca="1" si="227"/>
        <v/>
      </c>
      <c r="AC492" s="310" t="e">
        <f t="shared" ca="1" si="228"/>
        <v>#N/A</v>
      </c>
      <c r="AD492" s="323" t="e">
        <f t="shared" ca="1" si="229"/>
        <v>#N/A</v>
      </c>
      <c r="AE492" s="324">
        <f t="shared" ca="1" si="208"/>
        <v>1261.7110061832559</v>
      </c>
      <c r="AG492" s="306">
        <f t="shared" ca="1" si="230"/>
        <v>-8.6574075991924868</v>
      </c>
      <c r="AH492" s="304">
        <f t="shared" ca="1" si="231"/>
        <v>-0.88526843345369566</v>
      </c>
    </row>
    <row r="493" spans="1:34" x14ac:dyDescent="0.2">
      <c r="A493" s="347">
        <f t="shared" ca="1" si="209"/>
        <v>0.1</v>
      </c>
      <c r="B493" s="304">
        <f t="shared" ca="1" si="210"/>
        <v>12.899999999999928</v>
      </c>
      <c r="D493" s="306">
        <f t="shared" ca="1" si="211"/>
        <v>-0.52858092846940152</v>
      </c>
      <c r="E493" s="307">
        <f t="shared" ca="1" si="212"/>
        <v>-10.477375599861624</v>
      </c>
      <c r="F493" s="304">
        <f t="shared" ca="1" si="213"/>
        <v>10.49070051324111</v>
      </c>
      <c r="G493" s="306">
        <f t="shared" ca="1" si="214"/>
        <v>27.313491065690425</v>
      </c>
      <c r="H493" s="307">
        <f t="shared" ca="1" si="215"/>
        <v>33.504461927398054</v>
      </c>
      <c r="I493" s="304">
        <f t="shared" ca="1" si="216"/>
        <v>43.227025843099781</v>
      </c>
      <c r="J493" s="306">
        <f t="shared" ca="1" si="217"/>
        <v>392.15285054695477</v>
      </c>
      <c r="K493" s="307">
        <f t="shared" ca="1" si="218"/>
        <v>1265.1138392539949</v>
      </c>
      <c r="L493" s="304">
        <f t="shared" ca="1" si="203"/>
        <v>1324.4987295064066</v>
      </c>
      <c r="M493" s="306">
        <f t="shared" ca="1" si="219"/>
        <v>0.88684384534133454</v>
      </c>
      <c r="N493" s="304">
        <f t="shared" ca="1" si="220"/>
        <v>50.812409425211186</v>
      </c>
      <c r="P493" s="310">
        <f t="shared" ca="1" si="221"/>
        <v>23</v>
      </c>
      <c r="Q493" s="304">
        <f t="shared" ca="1" si="222"/>
        <v>0</v>
      </c>
      <c r="R493" s="306">
        <f t="shared" ca="1" si="223"/>
        <v>0</v>
      </c>
      <c r="S493" s="307">
        <f t="shared" ca="1" si="224"/>
        <v>8.1379999999999981</v>
      </c>
      <c r="T493" s="304">
        <f t="shared" ca="1" si="204"/>
        <v>79.83377999999999</v>
      </c>
      <c r="U493" s="311">
        <f t="shared" ca="1" si="205"/>
        <v>0</v>
      </c>
      <c r="V493" s="306">
        <f t="shared" ca="1" si="206"/>
        <v>1.0792434839708802</v>
      </c>
      <c r="W493" s="304">
        <f t="shared" ca="1" si="207"/>
        <v>6.6613734126346191</v>
      </c>
      <c r="Y493" s="314" t="str">
        <f t="shared" ca="1" si="225"/>
        <v/>
      </c>
      <c r="Z493" s="315" t="str">
        <f t="shared" ca="1" si="226"/>
        <v/>
      </c>
      <c r="AA493" s="316" t="str">
        <f t="shared" ca="1" si="227"/>
        <v/>
      </c>
      <c r="AC493" s="310" t="e">
        <f t="shared" ca="1" si="228"/>
        <v>#N/A</v>
      </c>
      <c r="AD493" s="323" t="e">
        <f t="shared" ca="1" si="229"/>
        <v>#N/A</v>
      </c>
      <c r="AE493" s="324">
        <f t="shared" ca="1" si="208"/>
        <v>1265.1138392539949</v>
      </c>
      <c r="AG493" s="306">
        <f t="shared" ca="1" si="230"/>
        <v>-8.5414775773661624</v>
      </c>
      <c r="AH493" s="304">
        <f t="shared" ca="1" si="231"/>
        <v>-0.851344812183781</v>
      </c>
    </row>
    <row r="494" spans="1:34" x14ac:dyDescent="0.2">
      <c r="A494" s="347">
        <f t="shared" ca="1" si="209"/>
        <v>0.1</v>
      </c>
      <c r="B494" s="304">
        <f t="shared" ca="1" si="210"/>
        <v>12.999999999999927</v>
      </c>
      <c r="D494" s="306">
        <f t="shared" ca="1" si="211"/>
        <v>-0.51721123598225249</v>
      </c>
      <c r="E494" s="307">
        <f t="shared" ca="1" si="212"/>
        <v>-10.444444133220209</v>
      </c>
      <c r="F494" s="304">
        <f t="shared" ca="1" si="213"/>
        <v>10.45724250051534</v>
      </c>
      <c r="G494" s="306">
        <f t="shared" ca="1" si="214"/>
        <v>27.261769942092201</v>
      </c>
      <c r="H494" s="307">
        <f t="shared" ca="1" si="215"/>
        <v>32.460017514076036</v>
      </c>
      <c r="I494" s="304">
        <f t="shared" ca="1" si="216"/>
        <v>42.389348159528055</v>
      </c>
      <c r="J494" s="306">
        <f t="shared" ca="1" si="217"/>
        <v>394.88161359734391</v>
      </c>
      <c r="K494" s="307">
        <f t="shared" ca="1" si="218"/>
        <v>1268.4120632260685</v>
      </c>
      <c r="L494" s="304">
        <f t="shared" ca="1" si="203"/>
        <v>1328.4579974145415</v>
      </c>
      <c r="M494" s="306">
        <f t="shared" ca="1" si="219"/>
        <v>0.87222040340567741</v>
      </c>
      <c r="N494" s="304">
        <f t="shared" ca="1" si="220"/>
        <v>49.974547920343412</v>
      </c>
      <c r="P494" s="310">
        <f t="shared" ca="1" si="221"/>
        <v>23</v>
      </c>
      <c r="Q494" s="304">
        <f t="shared" ca="1" si="222"/>
        <v>0</v>
      </c>
      <c r="R494" s="306">
        <f t="shared" ca="1" si="223"/>
        <v>0</v>
      </c>
      <c r="S494" s="307">
        <f t="shared" ca="1" si="224"/>
        <v>8.1379999999999981</v>
      </c>
      <c r="T494" s="304">
        <f t="shared" ca="1" si="204"/>
        <v>79.83377999999999</v>
      </c>
      <c r="U494" s="311">
        <f t="shared" ca="1" si="205"/>
        <v>0</v>
      </c>
      <c r="V494" s="306">
        <f t="shared" ca="1" si="206"/>
        <v>1.0788861507071774</v>
      </c>
      <c r="W494" s="304">
        <f t="shared" ca="1" si="207"/>
        <v>6.4035783470192591</v>
      </c>
      <c r="Y494" s="314" t="str">
        <f t="shared" ca="1" si="225"/>
        <v/>
      </c>
      <c r="Z494" s="315" t="str">
        <f t="shared" ca="1" si="226"/>
        <v/>
      </c>
      <c r="AA494" s="316" t="str">
        <f t="shared" ca="1" si="227"/>
        <v/>
      </c>
      <c r="AC494" s="310">
        <f t="shared" ca="1" si="228"/>
        <v>12.999999999999927</v>
      </c>
      <c r="AD494" s="323">
        <f t="shared" ca="1" si="229"/>
        <v>394.88161359734391</v>
      </c>
      <c r="AE494" s="324">
        <f t="shared" ca="1" si="208"/>
        <v>1268.4120632260685</v>
      </c>
      <c r="AG494" s="306">
        <f t="shared" ca="1" si="230"/>
        <v>-8.4220997902751336</v>
      </c>
      <c r="AH494" s="304">
        <f t="shared" ca="1" si="231"/>
        <v>-0.81855166043679295</v>
      </c>
    </row>
    <row r="495" spans="1:34" x14ac:dyDescent="0.2">
      <c r="A495" s="347">
        <f t="shared" ca="1" si="209"/>
        <v>0.1</v>
      </c>
      <c r="B495" s="304">
        <f t="shared" ca="1" si="210"/>
        <v>13.099999999999927</v>
      </c>
      <c r="D495" s="306">
        <f t="shared" ca="1" si="211"/>
        <v>-0.50606039737023267</v>
      </c>
      <c r="E495" s="307">
        <f t="shared" ca="1" si="212"/>
        <v>-10.41255549792661</v>
      </c>
      <c r="F495" s="304">
        <f t="shared" ca="1" si="213"/>
        <v>10.424845760162986</v>
      </c>
      <c r="G495" s="306">
        <f t="shared" ca="1" si="214"/>
        <v>27.211163902355178</v>
      </c>
      <c r="H495" s="307">
        <f t="shared" ca="1" si="215"/>
        <v>31.418761964283373</v>
      </c>
      <c r="I495" s="304">
        <f t="shared" ca="1" si="216"/>
        <v>41.564239970064861</v>
      </c>
      <c r="J495" s="306">
        <f t="shared" ca="1" si="217"/>
        <v>397.60526028956627</v>
      </c>
      <c r="K495" s="307">
        <f t="shared" ca="1" si="218"/>
        <v>1271.6060021999865</v>
      </c>
      <c r="L495" s="304">
        <f t="shared" ca="1" si="203"/>
        <v>1332.318193165944</v>
      </c>
      <c r="M495" s="306">
        <f t="shared" ca="1" si="219"/>
        <v>0.85704070465584603</v>
      </c>
      <c r="N495" s="304">
        <f t="shared" ca="1" si="220"/>
        <v>49.104815247698063</v>
      </c>
      <c r="P495" s="310">
        <f t="shared" ca="1" si="221"/>
        <v>23</v>
      </c>
      <c r="Q495" s="304">
        <f t="shared" ca="1" si="222"/>
        <v>0</v>
      </c>
      <c r="R495" s="306">
        <f t="shared" ca="1" si="223"/>
        <v>0</v>
      </c>
      <c r="S495" s="307">
        <f t="shared" ca="1" si="224"/>
        <v>8.1379999999999981</v>
      </c>
      <c r="T495" s="304">
        <f t="shared" ca="1" si="204"/>
        <v>79.83377999999999</v>
      </c>
      <c r="U495" s="311">
        <f t="shared" ca="1" si="205"/>
        <v>0</v>
      </c>
      <c r="V495" s="306">
        <f t="shared" ca="1" si="206"/>
        <v>1.0785402214074593</v>
      </c>
      <c r="W495" s="304">
        <f t="shared" ca="1" si="207"/>
        <v>6.1547393481139645</v>
      </c>
      <c r="Y495" s="314" t="str">
        <f t="shared" ca="1" si="225"/>
        <v/>
      </c>
      <c r="Z495" s="315" t="str">
        <f t="shared" ca="1" si="226"/>
        <v/>
      </c>
      <c r="AA495" s="316" t="str">
        <f t="shared" ca="1" si="227"/>
        <v/>
      </c>
      <c r="AC495" s="310" t="e">
        <f t="shared" ca="1" si="228"/>
        <v>#N/A</v>
      </c>
      <c r="AD495" s="323" t="e">
        <f t="shared" ca="1" si="229"/>
        <v>#N/A</v>
      </c>
      <c r="AE495" s="324">
        <f t="shared" ca="1" si="208"/>
        <v>1271.6060021999865</v>
      </c>
      <c r="AG495" s="306">
        <f t="shared" ca="1" si="230"/>
        <v>-8.2989678122668771</v>
      </c>
      <c r="AH495" s="304">
        <f t="shared" ca="1" si="231"/>
        <v>-0.78687372167845426</v>
      </c>
    </row>
    <row r="496" spans="1:34" x14ac:dyDescent="0.2">
      <c r="A496" s="347">
        <f t="shared" ca="1" si="209"/>
        <v>0.1</v>
      </c>
      <c r="B496" s="304">
        <f t="shared" ca="1" si="210"/>
        <v>13.199999999999926</v>
      </c>
      <c r="D496" s="306">
        <f t="shared" ca="1" si="211"/>
        <v>-0.4951300153494787</v>
      </c>
      <c r="E496" s="307">
        <f t="shared" ca="1" si="212"/>
        <v>-10.381690801226288</v>
      </c>
      <c r="F496" s="304">
        <f t="shared" ca="1" si="213"/>
        <v>10.39349111821271</v>
      </c>
      <c r="G496" s="306">
        <f t="shared" ca="1" si="214"/>
        <v>27.161650900820231</v>
      </c>
      <c r="H496" s="307">
        <f t="shared" ca="1" si="215"/>
        <v>30.380592884160745</v>
      </c>
      <c r="I496" s="304">
        <f t="shared" ca="1" si="216"/>
        <v>40.752125142759695</v>
      </c>
      <c r="J496" s="306">
        <f t="shared" ca="1" si="217"/>
        <v>400.32390102972505</v>
      </c>
      <c r="K496" s="307">
        <f t="shared" ca="1" si="218"/>
        <v>1274.6959699424087</v>
      </c>
      <c r="L496" s="304">
        <f t="shared" ca="1" si="203"/>
        <v>1336.079728729942</v>
      </c>
      <c r="M496" s="306">
        <f t="shared" ca="1" si="219"/>
        <v>0.84128042208658793</v>
      </c>
      <c r="N496" s="304">
        <f t="shared" ca="1" si="220"/>
        <v>48.201817572545977</v>
      </c>
      <c r="P496" s="310">
        <f t="shared" ca="1" si="221"/>
        <v>23</v>
      </c>
      <c r="Q496" s="304">
        <f t="shared" ca="1" si="222"/>
        <v>0</v>
      </c>
      <c r="R496" s="306">
        <f t="shared" ca="1" si="223"/>
        <v>0</v>
      </c>
      <c r="S496" s="307">
        <f t="shared" ca="1" si="224"/>
        <v>8.1379999999999981</v>
      </c>
      <c r="T496" s="304">
        <f t="shared" ca="1" si="204"/>
        <v>79.83377999999999</v>
      </c>
      <c r="U496" s="311">
        <f t="shared" ca="1" si="205"/>
        <v>0</v>
      </c>
      <c r="V496" s="306">
        <f t="shared" ca="1" si="206"/>
        <v>1.0782056518799994</v>
      </c>
      <c r="W496" s="304">
        <f t="shared" ca="1" si="207"/>
        <v>5.9147413692206259</v>
      </c>
      <c r="Y496" s="314" t="str">
        <f t="shared" ca="1" si="225"/>
        <v/>
      </c>
      <c r="Z496" s="315" t="str">
        <f t="shared" ca="1" si="226"/>
        <v/>
      </c>
      <c r="AA496" s="316" t="str">
        <f t="shared" ca="1" si="227"/>
        <v/>
      </c>
      <c r="AC496" s="310" t="e">
        <f t="shared" ca="1" si="228"/>
        <v>#N/A</v>
      </c>
      <c r="AD496" s="323" t="e">
        <f t="shared" ca="1" si="229"/>
        <v>#N/A</v>
      </c>
      <c r="AE496" s="324">
        <f t="shared" ca="1" si="208"/>
        <v>1274.6959699424087</v>
      </c>
      <c r="AG496" s="306">
        <f t="shared" ca="1" si="230"/>
        <v>-8.1717586154779234</v>
      </c>
      <c r="AH496" s="304">
        <f t="shared" ca="1" si="231"/>
        <v>-0.75629630721479058</v>
      </c>
    </row>
    <row r="497" spans="1:34" x14ac:dyDescent="0.2">
      <c r="A497" s="347">
        <f t="shared" ca="1" si="209"/>
        <v>0.1</v>
      </c>
      <c r="B497" s="304">
        <f t="shared" ca="1" si="210"/>
        <v>13.299999999999926</v>
      </c>
      <c r="D497" s="306">
        <f t="shared" ca="1" si="211"/>
        <v>-0.48442213064999345</v>
      </c>
      <c r="E497" s="307">
        <f t="shared" ca="1" si="212"/>
        <v>-10.351831260150345</v>
      </c>
      <c r="F497" s="304">
        <f t="shared" ca="1" si="213"/>
        <v>10.363159520112067</v>
      </c>
      <c r="G497" s="306">
        <f t="shared" ca="1" si="214"/>
        <v>27.113208687755233</v>
      </c>
      <c r="H497" s="307">
        <f t="shared" ca="1" si="215"/>
        <v>29.34540975814571</v>
      </c>
      <c r="I497" s="304">
        <f t="shared" ca="1" si="216"/>
        <v>39.953462418409238</v>
      </c>
      <c r="J497" s="306">
        <f t="shared" ca="1" si="217"/>
        <v>403.03764400915384</v>
      </c>
      <c r="K497" s="307">
        <f t="shared" ca="1" si="218"/>
        <v>1277.682270074524</v>
      </c>
      <c r="L497" s="304">
        <f t="shared" ca="1" si="203"/>
        <v>1339.7430073529918</v>
      </c>
      <c r="M497" s="306">
        <f t="shared" ca="1" si="219"/>
        <v>0.82491452278473165</v>
      </c>
      <c r="N497" s="304">
        <f t="shared" ca="1" si="220"/>
        <v>47.26412061461351</v>
      </c>
      <c r="P497" s="310">
        <f t="shared" ca="1" si="221"/>
        <v>23</v>
      </c>
      <c r="Q497" s="304">
        <f t="shared" ca="1" si="222"/>
        <v>0</v>
      </c>
      <c r="R497" s="306">
        <f t="shared" ca="1" si="223"/>
        <v>0</v>
      </c>
      <c r="S497" s="307">
        <f t="shared" ca="1" si="224"/>
        <v>8.1379999999999981</v>
      </c>
      <c r="T497" s="304">
        <f t="shared" ca="1" si="204"/>
        <v>79.83377999999999</v>
      </c>
      <c r="U497" s="311">
        <f t="shared" ca="1" si="205"/>
        <v>0</v>
      </c>
      <c r="V497" s="306">
        <f t="shared" ca="1" si="206"/>
        <v>1.0778823994103366</v>
      </c>
      <c r="W497" s="304">
        <f t="shared" ca="1" si="207"/>
        <v>5.6834737265735367</v>
      </c>
      <c r="Y497" s="314" t="str">
        <f t="shared" ca="1" si="225"/>
        <v/>
      </c>
      <c r="Z497" s="315" t="str">
        <f t="shared" ca="1" si="226"/>
        <v/>
      </c>
      <c r="AA497" s="316" t="str">
        <f t="shared" ca="1" si="227"/>
        <v/>
      </c>
      <c r="AC497" s="310" t="e">
        <f t="shared" ca="1" si="228"/>
        <v>#N/A</v>
      </c>
      <c r="AD497" s="323" t="e">
        <f t="shared" ca="1" si="229"/>
        <v>#N/A</v>
      </c>
      <c r="AE497" s="324">
        <f t="shared" ca="1" si="208"/>
        <v>1277.682270074524</v>
      </c>
      <c r="AG497" s="306">
        <f t="shared" ca="1" si="230"/>
        <v>-8.0401322574883185</v>
      </c>
      <c r="AH497" s="304">
        <f t="shared" ca="1" si="231"/>
        <v>-0.7268052800713477</v>
      </c>
    </row>
    <row r="498" spans="1:34" x14ac:dyDescent="0.2">
      <c r="A498" s="347">
        <f t="shared" ca="1" si="209"/>
        <v>0.1</v>
      </c>
      <c r="B498" s="304">
        <f t="shared" ca="1" si="210"/>
        <v>13.399999999999926</v>
      </c>
      <c r="D498" s="306">
        <f t="shared" ca="1" si="211"/>
        <v>-0.47393923824581402</v>
      </c>
      <c r="E498" s="307">
        <f t="shared" ca="1" si="212"/>
        <v>-10.322958141802962</v>
      </c>
      <c r="F498" s="304">
        <f t="shared" ca="1" si="213"/>
        <v>10.333831970714691</v>
      </c>
      <c r="G498" s="306">
        <f t="shared" ca="1" si="214"/>
        <v>27.06581476393065</v>
      </c>
      <c r="H498" s="307">
        <f t="shared" ca="1" si="215"/>
        <v>28.313113943965412</v>
      </c>
      <c r="I498" s="304">
        <f t="shared" ca="1" si="216"/>
        <v>39.168747108369125</v>
      </c>
      <c r="J498" s="306">
        <f t="shared" ca="1" si="217"/>
        <v>405.74659518173814</v>
      </c>
      <c r="K498" s="307">
        <f t="shared" ca="1" si="218"/>
        <v>1280.5651962596296</v>
      </c>
      <c r="L498" s="304">
        <f t="shared" ca="1" si="203"/>
        <v>1343.3084237705937</v>
      </c>
      <c r="M498" s="306">
        <f t="shared" ca="1" si="219"/>
        <v>0.8079173482422124</v>
      </c>
      <c r="N498" s="304">
        <f t="shared" ca="1" si="220"/>
        <v>46.290254249679947</v>
      </c>
      <c r="P498" s="310">
        <f t="shared" ca="1" si="221"/>
        <v>23</v>
      </c>
      <c r="Q498" s="304">
        <f t="shared" ca="1" si="222"/>
        <v>0</v>
      </c>
      <c r="R498" s="306">
        <f t="shared" ca="1" si="223"/>
        <v>0</v>
      </c>
      <c r="S498" s="307">
        <f t="shared" ca="1" si="224"/>
        <v>8.1379999999999981</v>
      </c>
      <c r="T498" s="304">
        <f t="shared" ca="1" si="204"/>
        <v>79.83377999999999</v>
      </c>
      <c r="U498" s="311">
        <f t="shared" ca="1" si="205"/>
        <v>0</v>
      </c>
      <c r="V498" s="306">
        <f t="shared" ca="1" si="206"/>
        <v>1.0775704227354104</v>
      </c>
      <c r="W498" s="304">
        <f t="shared" ca="1" si="207"/>
        <v>5.4608299762813308</v>
      </c>
      <c r="Y498" s="314" t="str">
        <f t="shared" ca="1" si="225"/>
        <v/>
      </c>
      <c r="Z498" s="315" t="str">
        <f t="shared" ca="1" si="226"/>
        <v/>
      </c>
      <c r="AA498" s="316" t="str">
        <f t="shared" ca="1" si="227"/>
        <v/>
      </c>
      <c r="AC498" s="310" t="e">
        <f t="shared" ca="1" si="228"/>
        <v>#N/A</v>
      </c>
      <c r="AD498" s="323" t="e">
        <f t="shared" ca="1" si="229"/>
        <v>#N/A</v>
      </c>
      <c r="AE498" s="324">
        <f t="shared" ca="1" si="208"/>
        <v>1280.5651962596296</v>
      </c>
      <c r="AG498" s="306">
        <f t="shared" ca="1" si="230"/>
        <v>-7.9037317655294688</v>
      </c>
      <c r="AH498" s="304">
        <f t="shared" ca="1" si="231"/>
        <v>-0.69838703939217717</v>
      </c>
    </row>
    <row r="499" spans="1:34" x14ac:dyDescent="0.2">
      <c r="A499" s="347">
        <f t="shared" ca="1" si="209"/>
        <v>0.1</v>
      </c>
      <c r="B499" s="304">
        <f t="shared" ca="1" si="210"/>
        <v>13.499999999999925</v>
      </c>
      <c r="D499" s="306">
        <f t="shared" ca="1" si="211"/>
        <v>-0.46368430361115831</v>
      </c>
      <c r="E499" s="307">
        <f t="shared" ca="1" si="212"/>
        <v>-10.295052699749743</v>
      </c>
      <c r="F499" s="304">
        <f t="shared" ca="1" si="213"/>
        <v>10.305489470376447</v>
      </c>
      <c r="G499" s="306">
        <f t="shared" ca="1" si="214"/>
        <v>27.019446333569533</v>
      </c>
      <c r="H499" s="307">
        <f t="shared" ca="1" si="215"/>
        <v>27.283608673990436</v>
      </c>
      <c r="I499" s="304">
        <f t="shared" ca="1" si="216"/>
        <v>38.39851276349242</v>
      </c>
      <c r="J499" s="306">
        <f t="shared" ca="1" si="217"/>
        <v>408.45085823661316</v>
      </c>
      <c r="K499" s="307">
        <f t="shared" ca="1" si="218"/>
        <v>1283.3450323905274</v>
      </c>
      <c r="L499" s="304">
        <f t="shared" ca="1" si="203"/>
        <v>1346.7763644182614</v>
      </c>
      <c r="M499" s="306">
        <f t="shared" ca="1" si="219"/>
        <v>0.79026271948322624</v>
      </c>
      <c r="N499" s="304">
        <f t="shared" ca="1" si="220"/>
        <v>45.278718532919754</v>
      </c>
      <c r="P499" s="310">
        <f t="shared" ca="1" si="221"/>
        <v>23</v>
      </c>
      <c r="Q499" s="304">
        <f t="shared" ca="1" si="222"/>
        <v>0</v>
      </c>
      <c r="R499" s="306">
        <f t="shared" ca="1" si="223"/>
        <v>0</v>
      </c>
      <c r="S499" s="307">
        <f t="shared" ca="1" si="224"/>
        <v>8.1379999999999981</v>
      </c>
      <c r="T499" s="304">
        <f t="shared" ca="1" si="204"/>
        <v>79.83377999999999</v>
      </c>
      <c r="U499" s="311">
        <f t="shared" ca="1" si="205"/>
        <v>0</v>
      </c>
      <c r="V499" s="306">
        <f t="shared" ca="1" si="206"/>
        <v>1.0772696820179475</v>
      </c>
      <c r="W499" s="304">
        <f t="shared" ca="1" si="207"/>
        <v>5.2467077948435117</v>
      </c>
      <c r="Y499" s="314" t="str">
        <f t="shared" ca="1" si="225"/>
        <v/>
      </c>
      <c r="Z499" s="315" t="str">
        <f t="shared" ca="1" si="226"/>
        <v/>
      </c>
      <c r="AA499" s="316" t="str">
        <f t="shared" ca="1" si="227"/>
        <v/>
      </c>
      <c r="AC499" s="310" t="e">
        <f t="shared" ca="1" si="228"/>
        <v>#N/A</v>
      </c>
      <c r="AD499" s="323" t="e">
        <f t="shared" ca="1" si="229"/>
        <v>#N/A</v>
      </c>
      <c r="AE499" s="324">
        <f t="shared" ca="1" si="208"/>
        <v>1283.3450323905274</v>
      </c>
      <c r="AG499" s="306">
        <f t="shared" ca="1" si="230"/>
        <v>-7.7621832727108675</v>
      </c>
      <c r="AH499" s="304">
        <f t="shared" ca="1" si="231"/>
        <v>-0.67102850531842373</v>
      </c>
    </row>
    <row r="500" spans="1:34" x14ac:dyDescent="0.2">
      <c r="A500" s="347">
        <f t="shared" ca="1" si="209"/>
        <v>0.1</v>
      </c>
      <c r="B500" s="304">
        <f t="shared" ca="1" si="210"/>
        <v>13.599999999999925</v>
      </c>
      <c r="D500" s="306">
        <f t="shared" ca="1" si="211"/>
        <v>-0.45366077867204901</v>
      </c>
      <c r="E500" s="307">
        <f t="shared" ca="1" si="212"/>
        <v>-10.268096106160693</v>
      </c>
      <c r="F500" s="304">
        <f t="shared" ca="1" si="213"/>
        <v>10.278112946813618</v>
      </c>
      <c r="G500" s="306">
        <f t="shared" ca="1" si="214"/>
        <v>26.974080255702329</v>
      </c>
      <c r="H500" s="307">
        <f t="shared" ca="1" si="215"/>
        <v>26.256799063374366</v>
      </c>
      <c r="I500" s="304">
        <f t="shared" ca="1" si="216"/>
        <v>37.643332778800115</v>
      </c>
      <c r="J500" s="306">
        <f t="shared" ca="1" si="217"/>
        <v>411.15053456607677</v>
      </c>
      <c r="K500" s="307">
        <f t="shared" ca="1" si="218"/>
        <v>1286.0220527773956</v>
      </c>
      <c r="L500" s="304">
        <f t="shared" ca="1" si="203"/>
        <v>1350.1472076420989</v>
      </c>
      <c r="M500" s="306">
        <f t="shared" ca="1" si="219"/>
        <v>0.7719240710429337</v>
      </c>
      <c r="N500" s="304">
        <f t="shared" ca="1" si="220"/>
        <v>44.227991375316826</v>
      </c>
      <c r="P500" s="310">
        <f t="shared" ca="1" si="221"/>
        <v>23</v>
      </c>
      <c r="Q500" s="304">
        <f t="shared" ca="1" si="222"/>
        <v>0</v>
      </c>
      <c r="R500" s="306">
        <f t="shared" ca="1" si="223"/>
        <v>0</v>
      </c>
      <c r="S500" s="307">
        <f t="shared" ca="1" si="224"/>
        <v>8.1379999999999981</v>
      </c>
      <c r="T500" s="304">
        <f t="shared" ca="1" si="204"/>
        <v>79.83377999999999</v>
      </c>
      <c r="U500" s="311">
        <f t="shared" ca="1" si="205"/>
        <v>0</v>
      </c>
      <c r="V500" s="306">
        <f t="shared" ca="1" si="206"/>
        <v>1.0769801388210292</v>
      </c>
      <c r="W500" s="304">
        <f t="shared" ca="1" si="207"/>
        <v>5.0410088629099805</v>
      </c>
      <c r="Y500" s="314" t="str">
        <f t="shared" ca="1" si="225"/>
        <v/>
      </c>
      <c r="Z500" s="315" t="str">
        <f t="shared" ca="1" si="226"/>
        <v/>
      </c>
      <c r="AA500" s="316" t="str">
        <f t="shared" ca="1" si="227"/>
        <v/>
      </c>
      <c r="AC500" s="310" t="e">
        <f t="shared" ca="1" si="228"/>
        <v>#N/A</v>
      </c>
      <c r="AD500" s="323" t="e">
        <f t="shared" ca="1" si="229"/>
        <v>#N/A</v>
      </c>
      <c r="AE500" s="324">
        <f t="shared" ca="1" si="208"/>
        <v>1286.0220527773956</v>
      </c>
      <c r="AG500" s="306">
        <f t="shared" ca="1" si="230"/>
        <v>-7.6150964713507552</v>
      </c>
      <c r="AH500" s="304">
        <f t="shared" ca="1" si="231"/>
        <v>-0.64471710430615792</v>
      </c>
    </row>
    <row r="501" spans="1:34" x14ac:dyDescent="0.2">
      <c r="A501" s="347">
        <f t="shared" ca="1" si="209"/>
        <v>0.1</v>
      </c>
      <c r="B501" s="304">
        <f t="shared" ca="1" si="210"/>
        <v>13.699999999999925</v>
      </c>
      <c r="D501" s="306">
        <f t="shared" ca="1" si="211"/>
        <v>-0.44387261704389164</v>
      </c>
      <c r="E501" s="307">
        <f t="shared" ca="1" si="212"/>
        <v>-10.242069379381038</v>
      </c>
      <c r="F501" s="304">
        <f t="shared" ca="1" si="213"/>
        <v>10.251683182395761</v>
      </c>
      <c r="G501" s="306">
        <f t="shared" ca="1" si="214"/>
        <v>26.929692993997939</v>
      </c>
      <c r="H501" s="307">
        <f t="shared" ca="1" si="215"/>
        <v>25.232592125436263</v>
      </c>
      <c r="I501" s="304">
        <f t="shared" ca="1" si="216"/>
        <v>36.90382189041685</v>
      </c>
      <c r="J501" s="306">
        <f t="shared" ca="1" si="217"/>
        <v>413.84572322856178</v>
      </c>
      <c r="K501" s="307">
        <f t="shared" ca="1" si="218"/>
        <v>1288.5965223368362</v>
      </c>
      <c r="L501" s="304">
        <f t="shared" ca="1" si="203"/>
        <v>1353.4213239095798</v>
      </c>
      <c r="M501" s="306">
        <f t="shared" ca="1" si="219"/>
        <v>0.75287461816815493</v>
      </c>
      <c r="N501" s="304">
        <f t="shared" ca="1" si="220"/>
        <v>43.136538123558651</v>
      </c>
      <c r="P501" s="310">
        <f t="shared" ca="1" si="221"/>
        <v>23</v>
      </c>
      <c r="Q501" s="304">
        <f t="shared" ca="1" si="222"/>
        <v>0</v>
      </c>
      <c r="R501" s="306">
        <f t="shared" ca="1" si="223"/>
        <v>0</v>
      </c>
      <c r="S501" s="307">
        <f t="shared" ca="1" si="224"/>
        <v>8.1379999999999981</v>
      </c>
      <c r="T501" s="304">
        <f t="shared" ca="1" si="204"/>
        <v>79.83377999999999</v>
      </c>
      <c r="U501" s="311">
        <f t="shared" ca="1" si="205"/>
        <v>0</v>
      </c>
      <c r="V501" s="306">
        <f t="shared" ca="1" si="206"/>
        <v>1.0767017560827583</v>
      </c>
      <c r="W501" s="304">
        <f t="shared" ca="1" si="207"/>
        <v>4.8436387519476014</v>
      </c>
      <c r="Y501" s="314" t="str">
        <f t="shared" ca="1" si="225"/>
        <v/>
      </c>
      <c r="Z501" s="315" t="str">
        <f t="shared" ca="1" si="226"/>
        <v/>
      </c>
      <c r="AA501" s="316" t="str">
        <f t="shared" ca="1" si="227"/>
        <v/>
      </c>
      <c r="AC501" s="310" t="e">
        <f t="shared" ca="1" si="228"/>
        <v>#N/A</v>
      </c>
      <c r="AD501" s="323" t="e">
        <f t="shared" ca="1" si="229"/>
        <v>#N/A</v>
      </c>
      <c r="AE501" s="324">
        <f t="shared" ca="1" si="208"/>
        <v>1288.5965223368362</v>
      </c>
      <c r="AG501" s="306">
        <f t="shared" ca="1" si="230"/>
        <v>-7.4620654588053048</v>
      </c>
      <c r="AH501" s="304">
        <f t="shared" ca="1" si="231"/>
        <v>-0.61944075484271099</v>
      </c>
    </row>
    <row r="502" spans="1:34" x14ac:dyDescent="0.2">
      <c r="A502" s="347">
        <f t="shared" ca="1" si="209"/>
        <v>0.1</v>
      </c>
      <c r="B502" s="304">
        <f t="shared" ca="1" si="210"/>
        <v>13.799999999999924</v>
      </c>
      <c r="D502" s="306">
        <f t="shared" ca="1" si="211"/>
        <v>-0.4343242880547965</v>
      </c>
      <c r="E502" s="307">
        <f t="shared" ca="1" si="212"/>
        <v>-10.216953306638132</v>
      </c>
      <c r="F502" s="304">
        <f t="shared" ca="1" si="213"/>
        <v>10.226180736580893</v>
      </c>
      <c r="G502" s="306">
        <f t="shared" ca="1" si="214"/>
        <v>26.886260565192458</v>
      </c>
      <c r="H502" s="307">
        <f t="shared" ca="1" si="215"/>
        <v>24.210896794772449</v>
      </c>
      <c r="I502" s="304">
        <f t="shared" ca="1" si="216"/>
        <v>36.180637512163131</v>
      </c>
      <c r="J502" s="306">
        <f t="shared" ca="1" si="217"/>
        <v>416.53652090652128</v>
      </c>
      <c r="K502" s="307">
        <f t="shared" ca="1" si="218"/>
        <v>1291.0686967828467</v>
      </c>
      <c r="L502" s="304">
        <f t="shared" ca="1" si="203"/>
        <v>1356.5990760211607</v>
      </c>
      <c r="M502" s="306">
        <f t="shared" ca="1" si="219"/>
        <v>0.73308756187630097</v>
      </c>
      <c r="N502" s="304">
        <f t="shared" ca="1" si="220"/>
        <v>42.002823309047635</v>
      </c>
      <c r="P502" s="310">
        <f t="shared" ca="1" si="221"/>
        <v>23</v>
      </c>
      <c r="Q502" s="304">
        <f t="shared" ca="1" si="222"/>
        <v>0</v>
      </c>
      <c r="R502" s="306">
        <f t="shared" ca="1" si="223"/>
        <v>0</v>
      </c>
      <c r="S502" s="307">
        <f t="shared" ca="1" si="224"/>
        <v>8.1379999999999981</v>
      </c>
      <c r="T502" s="304">
        <f t="shared" ca="1" si="204"/>
        <v>79.83377999999999</v>
      </c>
      <c r="U502" s="311">
        <f t="shared" ca="1" si="205"/>
        <v>0</v>
      </c>
      <c r="V502" s="306">
        <f t="shared" ca="1" si="206"/>
        <v>1.0764344980909326</v>
      </c>
      <c r="W502" s="304">
        <f t="shared" ca="1" si="207"/>
        <v>4.6545068134719223</v>
      </c>
      <c r="Y502" s="314" t="str">
        <f t="shared" ca="1" si="225"/>
        <v/>
      </c>
      <c r="Z502" s="315" t="str">
        <f t="shared" ca="1" si="226"/>
        <v/>
      </c>
      <c r="AA502" s="316" t="str">
        <f t="shared" ca="1" si="227"/>
        <v/>
      </c>
      <c r="AC502" s="310" t="e">
        <f t="shared" ca="1" si="228"/>
        <v>#N/A</v>
      </c>
      <c r="AD502" s="323" t="e">
        <f t="shared" ca="1" si="229"/>
        <v>#N/A</v>
      </c>
      <c r="AE502" s="324">
        <f t="shared" ca="1" si="208"/>
        <v>1291.0686967828467</v>
      </c>
      <c r="AG502" s="306">
        <f t="shared" ca="1" si="230"/>
        <v>-7.30267006188219</v>
      </c>
      <c r="AH502" s="304">
        <f t="shared" ca="1" si="231"/>
        <v>-0.59518785352022641</v>
      </c>
    </row>
    <row r="503" spans="1:34" x14ac:dyDescent="0.2">
      <c r="A503" s="347">
        <f t="shared" ca="1" si="209"/>
        <v>0.1</v>
      </c>
      <c r="B503" s="304">
        <f t="shared" ca="1" si="210"/>
        <v>13.899999999999924</v>
      </c>
      <c r="D503" s="306">
        <f t="shared" ca="1" si="211"/>
        <v>-0.4250207889519802</v>
      </c>
      <c r="E503" s="307">
        <f t="shared" ca="1" si="212"/>
        <v>-10.192728361647696</v>
      </c>
      <c r="F503" s="304">
        <f t="shared" ca="1" si="213"/>
        <v>10.201585863255707</v>
      </c>
      <c r="G503" s="306">
        <f t="shared" ca="1" si="214"/>
        <v>26.843758486297261</v>
      </c>
      <c r="H503" s="307">
        <f t="shared" ca="1" si="215"/>
        <v>23.191623958607678</v>
      </c>
      <c r="I503" s="304">
        <f t="shared" ca="1" si="216"/>
        <v>35.474480849028957</v>
      </c>
      <c r="J503" s="306">
        <f t="shared" ca="1" si="217"/>
        <v>419.22302185909575</v>
      </c>
      <c r="K503" s="307">
        <f t="shared" ca="1" si="218"/>
        <v>1293.4388228205157</v>
      </c>
      <c r="L503" s="304">
        <f t="shared" ca="1" si="203"/>
        <v>1359.6808193234151</v>
      </c>
      <c r="M503" s="306">
        <f t="shared" ca="1" si="219"/>
        <v>0.71253633666558758</v>
      </c>
      <c r="N503" s="304">
        <f t="shared" ca="1" si="220"/>
        <v>40.8253248406509</v>
      </c>
      <c r="P503" s="310">
        <f t="shared" ca="1" si="221"/>
        <v>23</v>
      </c>
      <c r="Q503" s="304">
        <f t="shared" ca="1" si="222"/>
        <v>0</v>
      </c>
      <c r="R503" s="306">
        <f t="shared" ca="1" si="223"/>
        <v>0</v>
      </c>
      <c r="S503" s="307">
        <f t="shared" ca="1" si="224"/>
        <v>8.1379999999999981</v>
      </c>
      <c r="T503" s="304">
        <f t="shared" ca="1" si="204"/>
        <v>79.83377999999999</v>
      </c>
      <c r="U503" s="311">
        <f t="shared" ca="1" si="205"/>
        <v>0</v>
      </c>
      <c r="V503" s="306">
        <f t="shared" ca="1" si="206"/>
        <v>1.0761783304576396</v>
      </c>
      <c r="W503" s="304">
        <f t="shared" ca="1" si="207"/>
        <v>4.4735260704953204</v>
      </c>
      <c r="Y503" s="314" t="str">
        <f t="shared" ca="1" si="225"/>
        <v/>
      </c>
      <c r="Z503" s="315" t="str">
        <f t="shared" ca="1" si="226"/>
        <v/>
      </c>
      <c r="AA503" s="316" t="str">
        <f t="shared" ca="1" si="227"/>
        <v/>
      </c>
      <c r="AC503" s="310" t="e">
        <f t="shared" ca="1" si="228"/>
        <v>#N/A</v>
      </c>
      <c r="AD503" s="323" t="e">
        <f t="shared" ca="1" si="229"/>
        <v>#N/A</v>
      </c>
      <c r="AE503" s="324">
        <f t="shared" ca="1" si="208"/>
        <v>1293.4388228205157</v>
      </c>
      <c r="AG503" s="306">
        <f t="shared" ca="1" si="230"/>
        <v>-7.1364777365127186</v>
      </c>
      <c r="AH503" s="304">
        <f t="shared" ca="1" si="231"/>
        <v>-0.57194726142441921</v>
      </c>
    </row>
    <row r="504" spans="1:34" x14ac:dyDescent="0.2">
      <c r="A504" s="347">
        <f t="shared" ca="1" si="209"/>
        <v>0.1</v>
      </c>
      <c r="B504" s="304">
        <f t="shared" ca="1" si="210"/>
        <v>13.999999999999924</v>
      </c>
      <c r="D504" s="306">
        <f t="shared" ca="1" si="211"/>
        <v>-0.41596765457495555</v>
      </c>
      <c r="E504" s="307">
        <f t="shared" ca="1" si="212"/>
        <v>-10.169374616962481</v>
      </c>
      <c r="F504" s="304">
        <f t="shared" ca="1" si="213"/>
        <v>10.177878422823364</v>
      </c>
      <c r="G504" s="306">
        <f t="shared" ca="1" si="214"/>
        <v>26.802161720839766</v>
      </c>
      <c r="H504" s="307">
        <f t="shared" ca="1" si="215"/>
        <v>22.174686496911431</v>
      </c>
      <c r="I504" s="304">
        <f t="shared" ca="1" si="216"/>
        <v>34.786097713689507</v>
      </c>
      <c r="J504" s="306">
        <f t="shared" ca="1" si="217"/>
        <v>421.90531786945263</v>
      </c>
      <c r="K504" s="307">
        <f t="shared" ca="1" si="218"/>
        <v>1295.7071383432917</v>
      </c>
      <c r="L504" s="304">
        <f t="shared" ca="1" si="203"/>
        <v>1362.6669019244159</v>
      </c>
      <c r="M504" s="306">
        <f t="shared" ca="1" si="219"/>
        <v>0.69119490566449016</v>
      </c>
      <c r="N504" s="304">
        <f t="shared" ca="1" si="220"/>
        <v>39.602550915518364</v>
      </c>
      <c r="P504" s="310">
        <f t="shared" ca="1" si="221"/>
        <v>23</v>
      </c>
      <c r="Q504" s="304">
        <f t="shared" ca="1" si="222"/>
        <v>0</v>
      </c>
      <c r="R504" s="306">
        <f t="shared" ca="1" si="223"/>
        <v>0</v>
      </c>
      <c r="S504" s="307">
        <f t="shared" ca="1" si="224"/>
        <v>8.1379999999999981</v>
      </c>
      <c r="T504" s="304">
        <f t="shared" ca="1" si="204"/>
        <v>79.83377999999999</v>
      </c>
      <c r="U504" s="311">
        <f t="shared" ca="1" si="205"/>
        <v>0</v>
      </c>
      <c r="V504" s="306">
        <f t="shared" ca="1" si="206"/>
        <v>1.0759332200936709</v>
      </c>
      <c r="W504" s="304">
        <f t="shared" ca="1" si="207"/>
        <v>4.3006131108348944</v>
      </c>
      <c r="Y504" s="314" t="str">
        <f t="shared" ca="1" si="225"/>
        <v/>
      </c>
      <c r="Z504" s="315" t="str">
        <f t="shared" ca="1" si="226"/>
        <v/>
      </c>
      <c r="AA504" s="316" t="str">
        <f t="shared" ca="1" si="227"/>
        <v/>
      </c>
      <c r="AC504" s="310">
        <f t="shared" ca="1" si="228"/>
        <v>13.999999999999924</v>
      </c>
      <c r="AD504" s="323">
        <f t="shared" ca="1" si="229"/>
        <v>421.90531786945263</v>
      </c>
      <c r="AE504" s="324">
        <f t="shared" ca="1" si="208"/>
        <v>1295.7071383432917</v>
      </c>
      <c r="AG504" s="306">
        <f t="shared" ca="1" si="230"/>
        <v>-6.9630461491330591</v>
      </c>
      <c r="AH504" s="304">
        <f t="shared" ca="1" si="231"/>
        <v>-0.5497082907956895</v>
      </c>
    </row>
    <row r="505" spans="1:34" x14ac:dyDescent="0.2">
      <c r="A505" s="347">
        <f t="shared" ca="1" si="209"/>
        <v>0.1</v>
      </c>
      <c r="B505" s="304">
        <f t="shared" ca="1" si="210"/>
        <v>14.099999999999923</v>
      </c>
      <c r="D505" s="306">
        <f t="shared" ca="1" si="211"/>
        <v>-0.40717096365596656</v>
      </c>
      <c r="E505" s="307">
        <f t="shared" ca="1" si="212"/>
        <v>-10.146871651016719</v>
      </c>
      <c r="F505" s="304">
        <f t="shared" ca="1" si="213"/>
        <v>10.155037788991791</v>
      </c>
      <c r="G505" s="306">
        <f t="shared" ca="1" si="214"/>
        <v>26.761444624474169</v>
      </c>
      <c r="H505" s="307">
        <f t="shared" ca="1" si="215"/>
        <v>21.159999331809757</v>
      </c>
      <c r="I505" s="304">
        <f t="shared" ca="1" si="216"/>
        <v>34.116278960504864</v>
      </c>
      <c r="J505" s="306">
        <f t="shared" ca="1" si="217"/>
        <v>424.58349818671832</v>
      </c>
      <c r="K505" s="307">
        <f t="shared" ca="1" si="218"/>
        <v>1297.8738726347278</v>
      </c>
      <c r="L505" s="304">
        <f t="shared" ca="1" si="203"/>
        <v>1365.5576649121549</v>
      </c>
      <c r="M505" s="306">
        <f t="shared" ca="1" si="219"/>
        <v>0.66903810777678918</v>
      </c>
      <c r="N505" s="304">
        <f t="shared" ca="1" si="220"/>
        <v>38.333059909028719</v>
      </c>
      <c r="P505" s="310">
        <f t="shared" ca="1" si="221"/>
        <v>23</v>
      </c>
      <c r="Q505" s="304">
        <f t="shared" ca="1" si="222"/>
        <v>0</v>
      </c>
      <c r="R505" s="306">
        <f t="shared" ca="1" si="223"/>
        <v>0</v>
      </c>
      <c r="S505" s="307">
        <f t="shared" ca="1" si="224"/>
        <v>8.1379999999999981</v>
      </c>
      <c r="T505" s="304">
        <f t="shared" ca="1" si="204"/>
        <v>79.83377999999999</v>
      </c>
      <c r="U505" s="311">
        <f t="shared" ca="1" si="205"/>
        <v>0</v>
      </c>
      <c r="V505" s="306">
        <f t="shared" ca="1" si="206"/>
        <v>1.0756991351826557</v>
      </c>
      <c r="W505" s="304">
        <f t="shared" ca="1" si="207"/>
        <v>4.1356879819149324</v>
      </c>
      <c r="Y505" s="314" t="str">
        <f t="shared" ca="1" si="225"/>
        <v/>
      </c>
      <c r="Z505" s="315" t="str">
        <f t="shared" ca="1" si="226"/>
        <v/>
      </c>
      <c r="AA505" s="316" t="str">
        <f t="shared" ca="1" si="227"/>
        <v/>
      </c>
      <c r="AC505" s="310" t="e">
        <f t="shared" ca="1" si="228"/>
        <v>#N/A</v>
      </c>
      <c r="AD505" s="323" t="e">
        <f t="shared" ca="1" si="229"/>
        <v>#N/A</v>
      </c>
      <c r="AE505" s="324">
        <f t="shared" ca="1" si="208"/>
        <v>1297.8738726347278</v>
      </c>
      <c r="AG505" s="306">
        <f t="shared" ca="1" si="230"/>
        <v>-6.7819265542047269</v>
      </c>
      <c r="AH505" s="304">
        <f t="shared" ca="1" si="231"/>
        <v>-0.52846069191876321</v>
      </c>
    </row>
    <row r="506" spans="1:34" x14ac:dyDescent="0.2">
      <c r="A506" s="347">
        <f t="shared" ca="1" si="209"/>
        <v>0.1</v>
      </c>
      <c r="B506" s="304">
        <f t="shared" ca="1" si="210"/>
        <v>14.199999999999923</v>
      </c>
      <c r="D506" s="306">
        <f t="shared" ca="1" si="211"/>
        <v>-0.39863734077809854</v>
      </c>
      <c r="E506" s="307">
        <f t="shared" ca="1" si="212"/>
        <v>-10.125198449966515</v>
      </c>
      <c r="F506" s="304">
        <f t="shared" ca="1" si="213"/>
        <v>10.133042750362151</v>
      </c>
      <c r="G506" s="306">
        <f t="shared" ca="1" si="214"/>
        <v>26.721580890396361</v>
      </c>
      <c r="H506" s="307">
        <f t="shared" ca="1" si="215"/>
        <v>20.147479486813104</v>
      </c>
      <c r="I506" s="304">
        <f t="shared" ca="1" si="216"/>
        <v>33.465860439462048</v>
      </c>
      <c r="J506" s="306">
        <f t="shared" ca="1" si="217"/>
        <v>427.25764946246187</v>
      </c>
      <c r="K506" s="307">
        <f t="shared" ca="1" si="218"/>
        <v>1299.9392465756589</v>
      </c>
      <c r="L506" s="304">
        <f t="shared" ca="1" si="203"/>
        <v>1368.3534425768364</v>
      </c>
      <c r="M506" s="306">
        <f t="shared" ca="1" si="219"/>
        <v>0.64604206084412064</v>
      </c>
      <c r="N506" s="304">
        <f t="shared" ca="1" si="220"/>
        <v>37.015483474302052</v>
      </c>
      <c r="P506" s="310">
        <f t="shared" ca="1" si="221"/>
        <v>23</v>
      </c>
      <c r="Q506" s="304">
        <f t="shared" ca="1" si="222"/>
        <v>0</v>
      </c>
      <c r="R506" s="306">
        <f t="shared" ca="1" si="223"/>
        <v>0</v>
      </c>
      <c r="S506" s="307">
        <f t="shared" ca="1" si="224"/>
        <v>8.1379999999999981</v>
      </c>
      <c r="T506" s="304">
        <f t="shared" ca="1" si="204"/>
        <v>79.83377999999999</v>
      </c>
      <c r="U506" s="311">
        <f t="shared" ca="1" si="205"/>
        <v>0</v>
      </c>
      <c r="V506" s="306">
        <f t="shared" ca="1" si="206"/>
        <v>1.0754760451548058</v>
      </c>
      <c r="W506" s="304">
        <f t="shared" ca="1" si="207"/>
        <v>3.978674086689912</v>
      </c>
      <c r="Y506" s="314" t="str">
        <f t="shared" ca="1" si="225"/>
        <v/>
      </c>
      <c r="Z506" s="315" t="str">
        <f t="shared" ca="1" si="226"/>
        <v/>
      </c>
      <c r="AA506" s="316" t="str">
        <f t="shared" ca="1" si="227"/>
        <v/>
      </c>
      <c r="AC506" s="310" t="e">
        <f t="shared" ca="1" si="228"/>
        <v>#N/A</v>
      </c>
      <c r="AD506" s="323" t="e">
        <f t="shared" ca="1" si="229"/>
        <v>#N/A</v>
      </c>
      <c r="AE506" s="324">
        <f t="shared" ca="1" si="208"/>
        <v>1299.9392465756589</v>
      </c>
      <c r="AG506" s="306">
        <f t="shared" ca="1" si="230"/>
        <v>-6.5926680871789003</v>
      </c>
      <c r="AH506" s="304">
        <f t="shared" ca="1" si="231"/>
        <v>-0.50819464019598592</v>
      </c>
    </row>
    <row r="507" spans="1:34" x14ac:dyDescent="0.2">
      <c r="A507" s="347">
        <f t="shared" ca="1" si="209"/>
        <v>0.1</v>
      </c>
      <c r="B507" s="304">
        <f t="shared" ca="1" si="210"/>
        <v>14.299999999999923</v>
      </c>
      <c r="D507" s="306">
        <f t="shared" ca="1" si="211"/>
        <v>-0.39037395288923682</v>
      </c>
      <c r="E507" s="307">
        <f t="shared" ca="1" si="212"/>
        <v>-10.104333304615549</v>
      </c>
      <c r="F507" s="304">
        <f t="shared" ca="1" si="213"/>
        <v>10.111871407106468</v>
      </c>
      <c r="G507" s="306">
        <f t="shared" ca="1" si="214"/>
        <v>26.682543495107439</v>
      </c>
      <c r="H507" s="307">
        <f t="shared" ca="1" si="215"/>
        <v>19.137046156351548</v>
      </c>
      <c r="I507" s="304">
        <f t="shared" ca="1" si="216"/>
        <v>32.835722360847029</v>
      </c>
      <c r="J507" s="306">
        <f t="shared" ca="1" si="217"/>
        <v>429.92785568173707</v>
      </c>
      <c r="K507" s="307">
        <f t="shared" ca="1" si="218"/>
        <v>1301.9034728578172</v>
      </c>
      <c r="L507" s="304">
        <f t="shared" ca="1" si="203"/>
        <v>1371.0545626379505</v>
      </c>
      <c r="M507" s="306">
        <f t="shared" ca="1" si="219"/>
        <v>0.6221846239244726</v>
      </c>
      <c r="N507" s="304">
        <f t="shared" ca="1" si="220"/>
        <v>35.648553028806624</v>
      </c>
      <c r="P507" s="310">
        <f t="shared" ca="1" si="221"/>
        <v>23</v>
      </c>
      <c r="Q507" s="304">
        <f t="shared" ca="1" si="222"/>
        <v>0</v>
      </c>
      <c r="R507" s="306">
        <f t="shared" ca="1" si="223"/>
        <v>0</v>
      </c>
      <c r="S507" s="307">
        <f t="shared" ca="1" si="224"/>
        <v>8.1379999999999981</v>
      </c>
      <c r="T507" s="304">
        <f t="shared" ca="1" si="204"/>
        <v>79.83377999999999</v>
      </c>
      <c r="U507" s="311">
        <f t="shared" ca="1" si="205"/>
        <v>0</v>
      </c>
      <c r="V507" s="306">
        <f t="shared" ca="1" si="206"/>
        <v>1.0752639206601504</v>
      </c>
      <c r="W507" s="304">
        <f t="shared" ca="1" si="207"/>
        <v>3.8294980803054863</v>
      </c>
      <c r="Y507" s="314" t="str">
        <f t="shared" ca="1" si="225"/>
        <v/>
      </c>
      <c r="Z507" s="315" t="str">
        <f t="shared" ca="1" si="226"/>
        <v/>
      </c>
      <c r="AA507" s="316" t="str">
        <f t="shared" ca="1" si="227"/>
        <v/>
      </c>
      <c r="AC507" s="310" t="e">
        <f t="shared" ca="1" si="228"/>
        <v>#N/A</v>
      </c>
      <c r="AD507" s="323" t="e">
        <f t="shared" ca="1" si="229"/>
        <v>#N/A</v>
      </c>
      <c r="AE507" s="324">
        <f t="shared" ca="1" si="208"/>
        <v>1301.9034728578172</v>
      </c>
      <c r="AG507" s="306">
        <f t="shared" ca="1" si="230"/>
        <v>-6.394823092310066</v>
      </c>
      <c r="AH507" s="304">
        <f t="shared" ca="1" si="231"/>
        <v>-0.48890072335830831</v>
      </c>
    </row>
    <row r="508" spans="1:34" x14ac:dyDescent="0.2">
      <c r="A508" s="347">
        <f t="shared" ca="1" si="209"/>
        <v>0.1</v>
      </c>
      <c r="B508" s="304">
        <f t="shared" ca="1" si="210"/>
        <v>14.399999999999922</v>
      </c>
      <c r="D508" s="306">
        <f t="shared" ca="1" si="211"/>
        <v>-0.38238849914218892</v>
      </c>
      <c r="E508" s="307">
        <f t="shared" ca="1" si="212"/>
        <v>-10.084253702953164</v>
      </c>
      <c r="F508" s="304">
        <f t="shared" ca="1" si="213"/>
        <v>10.091501063261145</v>
      </c>
      <c r="G508" s="306">
        <f t="shared" ca="1" si="214"/>
        <v>26.64430464519322</v>
      </c>
      <c r="H508" s="307">
        <f t="shared" ca="1" si="215"/>
        <v>18.128620786056231</v>
      </c>
      <c r="I508" s="304">
        <f t="shared" ca="1" si="216"/>
        <v>32.226787950872406</v>
      </c>
      <c r="J508" s="306">
        <f t="shared" ca="1" si="217"/>
        <v>432.59419808875208</v>
      </c>
      <c r="K508" s="307">
        <f t="shared" ca="1" si="218"/>
        <v>1303.7667562049376</v>
      </c>
      <c r="L508" s="304">
        <f t="shared" ca="1" si="203"/>
        <v>1373.6613464770694</v>
      </c>
      <c r="M508" s="306">
        <f t="shared" ca="1" si="219"/>
        <v>0.59744592038018307</v>
      </c>
      <c r="N508" s="304">
        <f t="shared" ca="1" si="220"/>
        <v>34.231129725093503</v>
      </c>
      <c r="P508" s="310">
        <f t="shared" ca="1" si="221"/>
        <v>23</v>
      </c>
      <c r="Q508" s="304">
        <f t="shared" ca="1" si="222"/>
        <v>0</v>
      </c>
      <c r="R508" s="306">
        <f t="shared" ca="1" si="223"/>
        <v>0</v>
      </c>
      <c r="S508" s="307">
        <f t="shared" ca="1" si="224"/>
        <v>8.1379999999999981</v>
      </c>
      <c r="T508" s="304">
        <f t="shared" ca="1" si="204"/>
        <v>79.83377999999999</v>
      </c>
      <c r="U508" s="311">
        <f t="shared" ca="1" si="205"/>
        <v>0</v>
      </c>
      <c r="V508" s="306">
        <f t="shared" ca="1" si="206"/>
        <v>1.0750627335411591</v>
      </c>
      <c r="W508" s="304">
        <f t="shared" ca="1" si="207"/>
        <v>3.6880897671071096</v>
      </c>
      <c r="Y508" s="314" t="str">
        <f t="shared" ca="1" si="225"/>
        <v/>
      </c>
      <c r="Z508" s="315" t="str">
        <f t="shared" ca="1" si="226"/>
        <v/>
      </c>
      <c r="AA508" s="316" t="str">
        <f t="shared" ca="1" si="227"/>
        <v/>
      </c>
      <c r="AC508" s="310" t="e">
        <f t="shared" ca="1" si="228"/>
        <v>#N/A</v>
      </c>
      <c r="AD508" s="323" t="e">
        <f t="shared" ca="1" si="229"/>
        <v>#N/A</v>
      </c>
      <c r="AE508" s="324">
        <f t="shared" ca="1" si="208"/>
        <v>1303.7667562049376</v>
      </c>
      <c r="AG508" s="306">
        <f t="shared" ca="1" si="230"/>
        <v>-6.1879535980131442</v>
      </c>
      <c r="AH508" s="304">
        <f t="shared" ca="1" si="231"/>
        <v>-0.47056992876695591</v>
      </c>
    </row>
    <row r="509" spans="1:34" x14ac:dyDescent="0.2">
      <c r="A509" s="347">
        <f t="shared" ca="1" si="209"/>
        <v>0.1</v>
      </c>
      <c r="B509" s="304">
        <f t="shared" ca="1" si="210"/>
        <v>14.499999999999922</v>
      </c>
      <c r="D509" s="306">
        <f t="shared" ca="1" si="211"/>
        <v>-0.37468919271694245</v>
      </c>
      <c r="E509" s="307">
        <f t="shared" ca="1" si="212"/>
        <v>-10.064936219122702</v>
      </c>
      <c r="F509" s="304">
        <f t="shared" ca="1" si="213"/>
        <v>10.071908115453935</v>
      </c>
      <c r="G509" s="306">
        <f t="shared" ca="1" si="214"/>
        <v>26.606835725921524</v>
      </c>
      <c r="H509" s="307">
        <f t="shared" ca="1" si="215"/>
        <v>17.122127164143961</v>
      </c>
      <c r="I509" s="304">
        <f t="shared" ca="1" si="216"/>
        <v>31.640021270082777</v>
      </c>
      <c r="J509" s="306">
        <f t="shared" ca="1" si="217"/>
        <v>435.25675510730781</v>
      </c>
      <c r="K509" s="307">
        <f t="shared" ca="1" si="218"/>
        <v>1305.5292936024475</v>
      </c>
      <c r="L509" s="304">
        <f t="shared" ca="1" si="203"/>
        <v>1376.1741093773885</v>
      </c>
      <c r="M509" s="306">
        <f t="shared" ca="1" si="219"/>
        <v>0.57180892149101514</v>
      </c>
      <c r="N509" s="304">
        <f t="shared" ca="1" si="220"/>
        <v>32.762237889362602</v>
      </c>
      <c r="P509" s="310">
        <f t="shared" ca="1" si="221"/>
        <v>23</v>
      </c>
      <c r="Q509" s="304">
        <f t="shared" ca="1" si="222"/>
        <v>0</v>
      </c>
      <c r="R509" s="306">
        <f t="shared" ca="1" si="223"/>
        <v>0</v>
      </c>
      <c r="S509" s="307">
        <f t="shared" ca="1" si="224"/>
        <v>8.1379999999999981</v>
      </c>
      <c r="T509" s="304">
        <f t="shared" ca="1" si="204"/>
        <v>79.83377999999999</v>
      </c>
      <c r="U509" s="311">
        <f t="shared" ca="1" si="205"/>
        <v>0</v>
      </c>
      <c r="V509" s="306">
        <f t="shared" ca="1" si="206"/>
        <v>1.0748724568046075</v>
      </c>
      <c r="W509" s="304">
        <f t="shared" ca="1" si="207"/>
        <v>3.5543819975997666</v>
      </c>
      <c r="Y509" s="314" t="str">
        <f t="shared" ca="1" si="225"/>
        <v/>
      </c>
      <c r="Z509" s="315" t="str">
        <f t="shared" ca="1" si="226"/>
        <v/>
      </c>
      <c r="AA509" s="316" t="str">
        <f t="shared" ca="1" si="227"/>
        <v/>
      </c>
      <c r="AC509" s="310" t="e">
        <f t="shared" ca="1" si="228"/>
        <v>#N/A</v>
      </c>
      <c r="AD509" s="323" t="e">
        <f t="shared" ca="1" si="229"/>
        <v>#N/A</v>
      </c>
      <c r="AE509" s="324">
        <f t="shared" ca="1" si="208"/>
        <v>1305.5292936024475</v>
      </c>
      <c r="AG509" s="306">
        <f t="shared" ca="1" si="230"/>
        <v>-5.9716390365587158</v>
      </c>
      <c r="AH509" s="304">
        <f t="shared" ca="1" si="231"/>
        <v>-0.45319363075781649</v>
      </c>
    </row>
    <row r="510" spans="1:34" x14ac:dyDescent="0.2">
      <c r="A510" s="347">
        <f t="shared" ca="1" si="209"/>
        <v>0.1</v>
      </c>
      <c r="B510" s="304">
        <f t="shared" ca="1" si="210"/>
        <v>14.599999999999921</v>
      </c>
      <c r="D510" s="306">
        <f t="shared" ca="1" si="211"/>
        <v>-0.36728473319210125</v>
      </c>
      <c r="E510" s="307">
        <f t="shared" ca="1" si="212"/>
        <v>-10.046356399984727</v>
      </c>
      <c r="F510" s="304">
        <f t="shared" ca="1" si="213"/>
        <v>10.053067939228805</v>
      </c>
      <c r="G510" s="306">
        <f t="shared" ca="1" si="214"/>
        <v>26.570107252602313</v>
      </c>
      <c r="H510" s="307">
        <f t="shared" ca="1" si="215"/>
        <v>16.117491524145489</v>
      </c>
      <c r="I510" s="304">
        <f t="shared" ca="1" si="216"/>
        <v>31.076424061427851</v>
      </c>
      <c r="J510" s="306">
        <f t="shared" ca="1" si="217"/>
        <v>437.91560225623402</v>
      </c>
      <c r="K510" s="307">
        <f t="shared" ca="1" si="218"/>
        <v>1307.191274536862</v>
      </c>
      <c r="L510" s="304">
        <f t="shared" ca="1" si="203"/>
        <v>1378.5931607710615</v>
      </c>
      <c r="M510" s="306">
        <f t="shared" ca="1" si="219"/>
        <v>0.54526008767616052</v>
      </c>
      <c r="N510" s="304">
        <f t="shared" ca="1" si="220"/>
        <v>31.24110176077723</v>
      </c>
      <c r="P510" s="310">
        <f t="shared" ca="1" si="221"/>
        <v>23</v>
      </c>
      <c r="Q510" s="304">
        <f t="shared" ca="1" si="222"/>
        <v>0</v>
      </c>
      <c r="R510" s="306">
        <f t="shared" ca="1" si="223"/>
        <v>0</v>
      </c>
      <c r="S510" s="307">
        <f t="shared" ca="1" si="224"/>
        <v>8.1379999999999981</v>
      </c>
      <c r="T510" s="304">
        <f t="shared" ca="1" si="204"/>
        <v>79.83377999999999</v>
      </c>
      <c r="U510" s="311">
        <f t="shared" ca="1" si="205"/>
        <v>0</v>
      </c>
      <c r="V510" s="306">
        <f t="shared" ca="1" si="206"/>
        <v>1.0746930645925823</v>
      </c>
      <c r="W510" s="304">
        <f t="shared" ca="1" si="207"/>
        <v>3.4283105649587697</v>
      </c>
      <c r="Y510" s="314" t="str">
        <f t="shared" ca="1" si="225"/>
        <v/>
      </c>
      <c r="Z510" s="315" t="str">
        <f t="shared" ca="1" si="226"/>
        <v/>
      </c>
      <c r="AA510" s="316" t="str">
        <f t="shared" ca="1" si="227"/>
        <v/>
      </c>
      <c r="AC510" s="310" t="e">
        <f t="shared" ca="1" si="228"/>
        <v>#N/A</v>
      </c>
      <c r="AD510" s="323" t="e">
        <f t="shared" ca="1" si="229"/>
        <v>#N/A</v>
      </c>
      <c r="AE510" s="324">
        <f t="shared" ca="1" si="208"/>
        <v>1307.191274536862</v>
      </c>
      <c r="AG510" s="306">
        <f t="shared" ca="1" si="230"/>
        <v>-5.7454852771992346</v>
      </c>
      <c r="AH510" s="304">
        <f t="shared" ca="1" si="231"/>
        <v>-0.43676357797981907</v>
      </c>
    </row>
    <row r="511" spans="1:34" x14ac:dyDescent="0.2">
      <c r="A511" s="347">
        <f t="shared" ca="1" si="209"/>
        <v>0.1</v>
      </c>
      <c r="B511" s="304">
        <f t="shared" ca="1" si="210"/>
        <v>14.699999999999921</v>
      </c>
      <c r="D511" s="306">
        <f t="shared" ca="1" si="211"/>
        <v>-0.36018426798393977</v>
      </c>
      <c r="E511" s="307">
        <f t="shared" ca="1" si="212"/>
        <v>-10.028488650842505</v>
      </c>
      <c r="F511" s="304">
        <f t="shared" ca="1" si="213"/>
        <v>10.03495477453586</v>
      </c>
      <c r="G511" s="306">
        <f t="shared" ca="1" si="214"/>
        <v>26.53408882580392</v>
      </c>
      <c r="H511" s="307">
        <f t="shared" ca="1" si="215"/>
        <v>15.114642659061239</v>
      </c>
      <c r="I511" s="304">
        <f t="shared" ca="1" si="216"/>
        <v>30.537031495002363</v>
      </c>
      <c r="J511" s="306">
        <f t="shared" ca="1" si="217"/>
        <v>440.57081206015431</v>
      </c>
      <c r="K511" s="307">
        <f t="shared" ca="1" si="218"/>
        <v>1308.7528812460223</v>
      </c>
      <c r="L511" s="304">
        <f t="shared" ca="1" si="203"/>
        <v>1380.9188044954376</v>
      </c>
      <c r="M511" s="306">
        <f t="shared" ca="1" si="219"/>
        <v>0.5177900610687074</v>
      </c>
      <c r="N511" s="304">
        <f t="shared" ca="1" si="220"/>
        <v>29.66718517305809</v>
      </c>
      <c r="P511" s="310">
        <f t="shared" ca="1" si="221"/>
        <v>23</v>
      </c>
      <c r="Q511" s="304">
        <f t="shared" ca="1" si="222"/>
        <v>0</v>
      </c>
      <c r="R511" s="306">
        <f t="shared" ca="1" si="223"/>
        <v>0</v>
      </c>
      <c r="S511" s="307">
        <f t="shared" ca="1" si="224"/>
        <v>8.1379999999999981</v>
      </c>
      <c r="T511" s="304">
        <f t="shared" ca="1" si="204"/>
        <v>79.83377999999999</v>
      </c>
      <c r="U511" s="311">
        <f t="shared" ca="1" si="205"/>
        <v>0</v>
      </c>
      <c r="V511" s="306">
        <f t="shared" ca="1" si="206"/>
        <v>1.0745245321524768</v>
      </c>
      <c r="W511" s="304">
        <f t="shared" ca="1" si="207"/>
        <v>3.3098141006913195</v>
      </c>
      <c r="Y511" s="314" t="str">
        <f t="shared" ca="1" si="225"/>
        <v/>
      </c>
      <c r="Z511" s="315" t="str">
        <f t="shared" ca="1" si="226"/>
        <v/>
      </c>
      <c r="AA511" s="316" t="str">
        <f t="shared" ca="1" si="227"/>
        <v/>
      </c>
      <c r="AC511" s="310" t="e">
        <f t="shared" ca="1" si="228"/>
        <v>#N/A</v>
      </c>
      <c r="AD511" s="323" t="e">
        <f t="shared" ca="1" si="229"/>
        <v>#N/A</v>
      </c>
      <c r="AE511" s="324">
        <f t="shared" ca="1" si="208"/>
        <v>1308.7528812460223</v>
      </c>
      <c r="AG511" s="306">
        <f t="shared" ca="1" si="230"/>
        <v>-5.5091349996564052</v>
      </c>
      <c r="AH511" s="304">
        <f t="shared" ca="1" si="231"/>
        <v>-0.42127188067814825</v>
      </c>
    </row>
    <row r="512" spans="1:34" x14ac:dyDescent="0.2">
      <c r="A512" s="347">
        <f t="shared" ca="1" si="209"/>
        <v>0.1</v>
      </c>
      <c r="B512" s="304">
        <f t="shared" ca="1" si="210"/>
        <v>14.799999999999921</v>
      </c>
      <c r="D512" s="306">
        <f t="shared" ca="1" si="211"/>
        <v>-0.3533973413808229</v>
      </c>
      <c r="E512" s="307">
        <f t="shared" ca="1" si="212"/>
        <v>-10.011306122350767</v>
      </c>
      <c r="F512" s="304">
        <f t="shared" ca="1" si="213"/>
        <v>10.017541612407356</v>
      </c>
      <c r="G512" s="306">
        <f t="shared" ca="1" si="214"/>
        <v>26.498749091665839</v>
      </c>
      <c r="H512" s="307">
        <f t="shared" ca="1" si="215"/>
        <v>14.113512046826163</v>
      </c>
      <c r="I512" s="304">
        <f t="shared" ca="1" si="216"/>
        <v>30.022906683380416</v>
      </c>
      <c r="J512" s="306">
        <f t="shared" ca="1" si="217"/>
        <v>443.22245395602778</v>
      </c>
      <c r="K512" s="307">
        <f t="shared" ca="1" si="218"/>
        <v>1310.2142889813167</v>
      </c>
      <c r="L512" s="304">
        <f t="shared" ca="1" si="203"/>
        <v>1383.1513390593311</v>
      </c>
      <c r="M512" s="306">
        <f t="shared" ca="1" si="219"/>
        <v>0.48939439912702293</v>
      </c>
      <c r="N512" s="304">
        <f t="shared" ca="1" si="220"/>
        <v>28.040233587319314</v>
      </c>
      <c r="P512" s="310">
        <f t="shared" ca="1" si="221"/>
        <v>23</v>
      </c>
      <c r="Q512" s="304">
        <f t="shared" ca="1" si="222"/>
        <v>0</v>
      </c>
      <c r="R512" s="306">
        <f t="shared" ca="1" si="223"/>
        <v>0</v>
      </c>
      <c r="S512" s="307">
        <f t="shared" ca="1" si="224"/>
        <v>8.1379999999999981</v>
      </c>
      <c r="T512" s="304">
        <f t="shared" ca="1" si="204"/>
        <v>79.83377999999999</v>
      </c>
      <c r="U512" s="311">
        <f t="shared" ca="1" si="205"/>
        <v>0</v>
      </c>
      <c r="V512" s="306">
        <f t="shared" ca="1" si="206"/>
        <v>1.0743668358058696</v>
      </c>
      <c r="W512" s="304">
        <f t="shared" ca="1" si="207"/>
        <v>3.1988339690534513</v>
      </c>
      <c r="Y512" s="314" t="str">
        <f t="shared" ca="1" si="225"/>
        <v/>
      </c>
      <c r="Z512" s="315" t="str">
        <f t="shared" ca="1" si="226"/>
        <v/>
      </c>
      <c r="AA512" s="316" t="str">
        <f t="shared" ca="1" si="227"/>
        <v/>
      </c>
      <c r="AC512" s="310" t="e">
        <f t="shared" ca="1" si="228"/>
        <v>#N/A</v>
      </c>
      <c r="AD512" s="323" t="e">
        <f t="shared" ca="1" si="229"/>
        <v>#N/A</v>
      </c>
      <c r="AE512" s="324">
        <f t="shared" ca="1" si="208"/>
        <v>1310.2142889813167</v>
      </c>
      <c r="AG512" s="306">
        <f t="shared" ca="1" si="230"/>
        <v>-5.2622793758818549</v>
      </c>
      <c r="AH512" s="304">
        <f t="shared" ca="1" si="231"/>
        <v>-0.406710997873104</v>
      </c>
    </row>
    <row r="513" spans="1:34" x14ac:dyDescent="0.2">
      <c r="A513" s="347">
        <f t="shared" ca="1" si="209"/>
        <v>0.1</v>
      </c>
      <c r="B513" s="304">
        <f t="shared" ca="1" si="210"/>
        <v>14.89999999999992</v>
      </c>
      <c r="D513" s="306">
        <f t="shared" ca="1" si="211"/>
        <v>-0.34693382978796394</v>
      </c>
      <c r="E513" s="307">
        <f t="shared" ca="1" si="212"/>
        <v>-9.9947806011229403</v>
      </c>
      <c r="F513" s="304">
        <f t="shared" ca="1" si="213"/>
        <v>10.000800085334912</v>
      </c>
      <c r="G513" s="306">
        <f t="shared" ca="1" si="214"/>
        <v>26.464055708687042</v>
      </c>
      <c r="H513" s="307">
        <f t="shared" ca="1" si="215"/>
        <v>13.114033986713869</v>
      </c>
      <c r="I513" s="304">
        <f t="shared" ca="1" si="216"/>
        <v>29.535133857106143</v>
      </c>
      <c r="J513" s="306">
        <f t="shared" ca="1" si="217"/>
        <v>445.87059419604543</v>
      </c>
      <c r="K513" s="307">
        <f t="shared" ca="1" si="218"/>
        <v>1311.5756662829938</v>
      </c>
      <c r="L513" s="304">
        <f t="shared" ca="1" si="203"/>
        <v>1385.2910579204695</v>
      </c>
      <c r="M513" s="306">
        <f t="shared" ca="1" si="219"/>
        <v>0.46007433424681798</v>
      </c>
      <c r="N513" s="304">
        <f t="shared" ca="1" si="220"/>
        <v>26.360317614633821</v>
      </c>
      <c r="P513" s="310">
        <f t="shared" ca="1" si="221"/>
        <v>23</v>
      </c>
      <c r="Q513" s="304">
        <f t="shared" ca="1" si="222"/>
        <v>0</v>
      </c>
      <c r="R513" s="306">
        <f t="shared" ca="1" si="223"/>
        <v>0</v>
      </c>
      <c r="S513" s="307">
        <f t="shared" ca="1" si="224"/>
        <v>8.1379999999999981</v>
      </c>
      <c r="T513" s="304">
        <f t="shared" ca="1" si="204"/>
        <v>79.83377999999999</v>
      </c>
      <c r="U513" s="311">
        <f t="shared" ca="1" si="205"/>
        <v>0</v>
      </c>
      <c r="V513" s="306">
        <f t="shared" ca="1" si="206"/>
        <v>1.0742199529161427</v>
      </c>
      <c r="W513" s="304">
        <f t="shared" ca="1" si="207"/>
        <v>3.0953141598376264</v>
      </c>
      <c r="Y513" s="314" t="str">
        <f t="shared" ca="1" si="225"/>
        <v/>
      </c>
      <c r="Z513" s="315" t="str">
        <f t="shared" ca="1" si="226"/>
        <v/>
      </c>
      <c r="AA513" s="316" t="str">
        <f t="shared" ca="1" si="227"/>
        <v/>
      </c>
      <c r="AC513" s="310" t="e">
        <f t="shared" ca="1" si="228"/>
        <v>#N/A</v>
      </c>
      <c r="AD513" s="323" t="e">
        <f t="shared" ca="1" si="229"/>
        <v>#N/A</v>
      </c>
      <c r="AE513" s="324">
        <f t="shared" ca="1" si="208"/>
        <v>1311.5756662829938</v>
      </c>
      <c r="AG513" s="306">
        <f t="shared" ca="1" si="230"/>
        <v>-5.0046709504469993</v>
      </c>
      <c r="AH513" s="304">
        <f t="shared" ca="1" si="231"/>
        <v>-0.39307372438602262</v>
      </c>
    </row>
    <row r="514" spans="1:34" x14ac:dyDescent="0.2">
      <c r="A514" s="347">
        <f t="shared" ca="1" si="209"/>
        <v>0.1</v>
      </c>
      <c r="B514" s="304">
        <f t="shared" ca="1" si="210"/>
        <v>14.99999999999992</v>
      </c>
      <c r="D514" s="306">
        <f t="shared" ca="1" si="211"/>
        <v>-0.34080386198352824</v>
      </c>
      <c r="E514" s="307">
        <f t="shared" ca="1" si="212"/>
        <v>-9.9788824070676458</v>
      </c>
      <c r="F514" s="304">
        <f t="shared" ca="1" si="213"/>
        <v>9.9847003643788454</v>
      </c>
      <c r="G514" s="306">
        <f t="shared" ca="1" si="214"/>
        <v>26.429975322488687</v>
      </c>
      <c r="H514" s="307">
        <f t="shared" ca="1" si="215"/>
        <v>12.116145746007104</v>
      </c>
      <c r="I514" s="304">
        <f t="shared" ca="1" si="216"/>
        <v>29.074810116075511</v>
      </c>
      <c r="J514" s="306">
        <f t="shared" ca="1" si="217"/>
        <v>448.51529574760423</v>
      </c>
      <c r="K514" s="307">
        <f t="shared" ca="1" si="218"/>
        <v>1312.8371752696298</v>
      </c>
      <c r="L514" s="304">
        <f t="shared" ca="1" si="203"/>
        <v>1387.3382497752673</v>
      </c>
      <c r="M514" s="306">
        <f t="shared" ca="1" si="219"/>
        <v>0.42983753910403888</v>
      </c>
      <c r="N514" s="304">
        <f t="shared" ca="1" si="220"/>
        <v>24.627876866950913</v>
      </c>
      <c r="P514" s="310">
        <f t="shared" ca="1" si="221"/>
        <v>23</v>
      </c>
      <c r="Q514" s="304">
        <f t="shared" ca="1" si="222"/>
        <v>0</v>
      </c>
      <c r="R514" s="306">
        <f t="shared" ca="1" si="223"/>
        <v>0</v>
      </c>
      <c r="S514" s="307">
        <f t="shared" ca="1" si="224"/>
        <v>8.1379999999999981</v>
      </c>
      <c r="T514" s="304">
        <f t="shared" ca="1" si="204"/>
        <v>79.83377999999999</v>
      </c>
      <c r="U514" s="311">
        <f t="shared" ca="1" si="205"/>
        <v>0</v>
      </c>
      <c r="V514" s="306">
        <f t="shared" ca="1" si="206"/>
        <v>1.0740838618547321</v>
      </c>
      <c r="W514" s="304">
        <f t="shared" ca="1" si="207"/>
        <v>2.9992011791647921</v>
      </c>
      <c r="Y514" s="314" t="str">
        <f t="shared" ca="1" si="225"/>
        <v/>
      </c>
      <c r="Z514" s="315" t="str">
        <f t="shared" ca="1" si="226"/>
        <v/>
      </c>
      <c r="AA514" s="316" t="str">
        <f t="shared" ca="1" si="227"/>
        <v/>
      </c>
      <c r="AC514" s="310">
        <f t="shared" ca="1" si="228"/>
        <v>14.99999999999992</v>
      </c>
      <c r="AD514" s="323">
        <f t="shared" ca="1" si="229"/>
        <v>448.51529574760423</v>
      </c>
      <c r="AE514" s="324">
        <f t="shared" ca="1" si="208"/>
        <v>1312.8371752696298</v>
      </c>
      <c r="AG514" s="306">
        <f t="shared" ca="1" si="230"/>
        <v>-4.7361375134353194</v>
      </c>
      <c r="AH514" s="304">
        <f t="shared" ca="1" si="231"/>
        <v>-0.38035317766498244</v>
      </c>
    </row>
    <row r="515" spans="1:34" x14ac:dyDescent="0.2">
      <c r="A515" s="347">
        <f t="shared" ca="1" si="209"/>
        <v>0.1</v>
      </c>
      <c r="B515" s="304">
        <f t="shared" ca="1" si="210"/>
        <v>15.09999999999992</v>
      </c>
      <c r="D515" s="306">
        <f t="shared" ca="1" si="211"/>
        <v>-0.33501772349221653</v>
      </c>
      <c r="E515" s="307">
        <f t="shared" ca="1" si="212"/>
        <v>-9.9635803009953392</v>
      </c>
      <c r="F515" s="304">
        <f t="shared" ca="1" si="213"/>
        <v>9.9692110665506668</v>
      </c>
      <c r="G515" s="306">
        <f t="shared" ca="1" si="214"/>
        <v>26.396473550139465</v>
      </c>
      <c r="H515" s="307">
        <f t="shared" ca="1" si="215"/>
        <v>11.11978771590757</v>
      </c>
      <c r="I515" s="304">
        <f t="shared" ca="1" si="216"/>
        <v>28.643035710798205</v>
      </c>
      <c r="J515" s="306">
        <f t="shared" ca="1" si="217"/>
        <v>451.15661819123562</v>
      </c>
      <c r="K515" s="307">
        <f t="shared" ca="1" si="218"/>
        <v>1313.9989719427256</v>
      </c>
      <c r="L515" s="304">
        <f t="shared" ca="1" si="203"/>
        <v>1389.2931988620301</v>
      </c>
      <c r="M515" s="306">
        <f t="shared" ca="1" si="219"/>
        <v>0.3986988719748043</v>
      </c>
      <c r="N515" s="304">
        <f t="shared" ca="1" si="220"/>
        <v>22.843762660783025</v>
      </c>
      <c r="P515" s="310">
        <f t="shared" ca="1" si="221"/>
        <v>23</v>
      </c>
      <c r="Q515" s="304">
        <f t="shared" ca="1" si="222"/>
        <v>0</v>
      </c>
      <c r="R515" s="306">
        <f t="shared" ca="1" si="223"/>
        <v>0</v>
      </c>
      <c r="S515" s="307">
        <f t="shared" ca="1" si="224"/>
        <v>8.1379999999999981</v>
      </c>
      <c r="T515" s="304">
        <f t="shared" ca="1" si="204"/>
        <v>79.83377999999999</v>
      </c>
      <c r="U515" s="311">
        <f t="shared" ca="1" si="205"/>
        <v>0</v>
      </c>
      <c r="V515" s="306">
        <f t="shared" ca="1" si="206"/>
        <v>1.0739585419658937</v>
      </c>
      <c r="W515" s="304">
        <f t="shared" ca="1" si="207"/>
        <v>2.9104439379419187</v>
      </c>
      <c r="Y515" s="314" t="str">
        <f t="shared" ca="1" si="225"/>
        <v/>
      </c>
      <c r="Z515" s="315" t="str">
        <f t="shared" ca="1" si="226"/>
        <v/>
      </c>
      <c r="AA515" s="316" t="str">
        <f t="shared" ca="1" si="227"/>
        <v/>
      </c>
      <c r="AC515" s="310" t="e">
        <f t="shared" ca="1" si="228"/>
        <v>#N/A</v>
      </c>
      <c r="AD515" s="323" t="e">
        <f t="shared" ca="1" si="229"/>
        <v>#N/A</v>
      </c>
      <c r="AE515" s="324">
        <f t="shared" ca="1" si="208"/>
        <v>1313.9989719427256</v>
      </c>
      <c r="AG515" s="306">
        <f t="shared" ca="1" si="230"/>
        <v>-4.4565966458972133</v>
      </c>
      <c r="AH515" s="304">
        <f t="shared" ca="1" si="231"/>
        <v>-0.36854278436529769</v>
      </c>
    </row>
    <row r="516" spans="1:34" x14ac:dyDescent="0.2">
      <c r="A516" s="347">
        <f t="shared" ca="1" si="209"/>
        <v>0.1</v>
      </c>
      <c r="B516" s="304">
        <f t="shared" ca="1" si="210"/>
        <v>15.199999999999919</v>
      </c>
      <c r="D516" s="306">
        <f t="shared" ca="1" si="211"/>
        <v>-0.32958574462334261</v>
      </c>
      <c r="E516" s="307">
        <f t="shared" ca="1" si="212"/>
        <v>-9.9488414065022539</v>
      </c>
      <c r="F516" s="304">
        <f t="shared" ca="1" si="213"/>
        <v>9.9542991764760949</v>
      </c>
      <c r="G516" s="306">
        <f t="shared" ca="1" si="214"/>
        <v>26.363514975677131</v>
      </c>
      <c r="H516" s="307">
        <f t="shared" ca="1" si="215"/>
        <v>10.124903575257346</v>
      </c>
      <c r="I516" s="304">
        <f t="shared" ca="1" si="216"/>
        <v>28.240902858814753</v>
      </c>
      <c r="J516" s="306">
        <f t="shared" ca="1" si="217"/>
        <v>453.79461761752646</v>
      </c>
      <c r="K516" s="307">
        <f t="shared" ca="1" si="218"/>
        <v>1315.0612065072837</v>
      </c>
      <c r="L516" s="304">
        <f t="shared" ref="L516:L579" ca="1" si="232">SQRT(pos_x^2+pos_z^2)</f>
        <v>1391.1561852786442</v>
      </c>
      <c r="M516" s="306">
        <f t="shared" ca="1" si="219"/>
        <v>0.36668107093628133</v>
      </c>
      <c r="N516" s="304">
        <f t="shared" ca="1" si="220"/>
        <v>21.009277791986072</v>
      </c>
      <c r="P516" s="310">
        <f t="shared" ca="1" si="221"/>
        <v>23</v>
      </c>
      <c r="Q516" s="304">
        <f t="shared" ca="1" si="222"/>
        <v>0</v>
      </c>
      <c r="R516" s="306">
        <f t="shared" ca="1" si="223"/>
        <v>0</v>
      </c>
      <c r="S516" s="307">
        <f t="shared" ca="1" si="224"/>
        <v>8.1379999999999981</v>
      </c>
      <c r="T516" s="304">
        <f t="shared" ref="T516:T579" ca="1" si="233">m*g</f>
        <v>79.83377999999999</v>
      </c>
      <c r="U516" s="311">
        <f t="shared" ref="U516:U579" ca="1" si="234">IF(pos_xz&lt;L_rampe,Poids*COS(Beta),0)</f>
        <v>0</v>
      </c>
      <c r="V516" s="306">
        <f t="shared" ref="V516:V579" ca="1" si="235">Rho_moyen*(20000-Alt_rampe-pos_z)/(20000+Alt_rampe+pos_z)</f>
        <v>1.073843973529889</v>
      </c>
      <c r="W516" s="304">
        <f t="shared" ref="W516:W579" ca="1" si="236">1/2*Rho*Sref*Cx*vit_xz^2</f>
        <v>2.8289936376838338</v>
      </c>
      <c r="Y516" s="314" t="str">
        <f t="shared" ca="1" si="225"/>
        <v/>
      </c>
      <c r="Z516" s="315" t="str">
        <f t="shared" ca="1" si="226"/>
        <v/>
      </c>
      <c r="AA516" s="316" t="str">
        <f t="shared" ca="1" si="227"/>
        <v/>
      </c>
      <c r="AC516" s="310" t="e">
        <f t="shared" ca="1" si="228"/>
        <v>#N/A</v>
      </c>
      <c r="AD516" s="323" t="e">
        <f t="shared" ca="1" si="229"/>
        <v>#N/A</v>
      </c>
      <c r="AE516" s="324">
        <f t="shared" ref="AE516:AE579" ca="1" si="237">IF(t&lt;T_para, pos_z, NA())</f>
        <v>1315.0612065072837</v>
      </c>
      <c r="AG516" s="306">
        <f t="shared" ca="1" si="230"/>
        <v>-4.1660704910898589</v>
      </c>
      <c r="AH516" s="304">
        <f t="shared" ca="1" si="231"/>
        <v>-0.35763626664314568</v>
      </c>
    </row>
    <row r="517" spans="1:34" x14ac:dyDescent="0.2">
      <c r="A517" s="347">
        <f t="shared" ref="A517:A580" ca="1" si="238">IF(B516+0.01&lt;=T_ini+ROUNDUP(Temps_fin_propu,0), 0.01, IF(K516&gt;0, 0.1, 0.0001))</f>
        <v>0.1</v>
      </c>
      <c r="B517" s="304">
        <f t="shared" ref="B517:B580" ca="1" si="239">B516+pas</f>
        <v>15.299999999999919</v>
      </c>
      <c r="D517" s="306">
        <f t="shared" ref="D517:D580" ca="1" si="240">IF(AND(L516&lt;L_rampe,Poussee&lt;Poids*SIN(M516)),0,(-W516+Poussee)/m*COS(M516)-U516/m*SIN(M516))</f>
        <v>-0.32451817230695873</v>
      </c>
      <c r="E517" s="307">
        <f t="shared" ref="E517:E580" ca="1" si="241">IF(AND(L516&lt;L_rampe,Poussee&lt;Poids*SIN(M516)),0,(-W516+Poussee)/m*SIN(M516)+U516/m*COS(M516)-Poids/m)</f>
        <v>-9.9346311505145692</v>
      </c>
      <c r="F517" s="304">
        <f t="shared" ref="F517:F580" ca="1" si="242">SQRT(acc_x^2+acc_z^2)</f>
        <v>9.9399299867218325</v>
      </c>
      <c r="G517" s="306">
        <f t="shared" ref="G517:G580" ca="1" si="243">G516+acc_x*pas</f>
        <v>26.331063158446433</v>
      </c>
      <c r="H517" s="307">
        <f t="shared" ref="H517:H580" ca="1" si="244">H516+acc_z*pas</f>
        <v>9.131440460205889</v>
      </c>
      <c r="I517" s="304">
        <f t="shared" ref="I517:I580" ca="1" si="245">SQRT(vit_x^2+vit_z^2)</f>
        <v>27.869483165864057</v>
      </c>
      <c r="J517" s="306">
        <f t="shared" ref="J517:J580" ca="1" si="246">J516+0.5*(vit_x+G516)*pas*(K516&gt;=0)</f>
        <v>456.42934652423264</v>
      </c>
      <c r="K517" s="307">
        <f t="shared" ref="K517:K580" ca="1" si="247">K516+0.5*(vit_z+H516)*pas</f>
        <v>1316.0240237090568</v>
      </c>
      <c r="L517" s="304">
        <f t="shared" ca="1" si="232"/>
        <v>1392.927485315698</v>
      </c>
      <c r="M517" s="306">
        <f t="shared" ref="M517:M580" ca="1" si="248">IF(AND(L516&gt;L_rampe,G517&gt;0),ATAN2(G517,H517),$M$4)</f>
        <v>0.33381536117443328</v>
      </c>
      <c r="N517" s="304">
        <f t="shared" ref="N517:N580" ca="1" si="249">DEGREES(Beta)</f>
        <v>19.126211331930271</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8.1379999999999981</v>
      </c>
      <c r="T517" s="304">
        <f t="shared" ca="1" si="233"/>
        <v>79.83377999999999</v>
      </c>
      <c r="U517" s="311">
        <f t="shared" ca="1" si="234"/>
        <v>0</v>
      </c>
      <c r="V517" s="306">
        <f t="shared" ca="1" si="235"/>
        <v>1.0737401377245137</v>
      </c>
      <c r="W517" s="304">
        <f t="shared" ca="1" si="236"/>
        <v>2.7548036534472868</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f t="shared" ca="1" si="237"/>
        <v>1316.0240237090568</v>
      </c>
      <c r="AG517" s="306">
        <f t="shared" ref="AG517:AG580" ca="1" si="259">IF(AND(L516&lt;L_rampe,Poussee&lt;Poids*SIN(M516)),0,(-W516+Poussee)/m-Poids*SIN(M516)/m)</f>
        <v>-3.8647001725065411</v>
      </c>
      <c r="AH517" s="304">
        <f t="shared" ref="AH517:AH580" ca="1" si="260">IF(AND(L516&lt;L_rampe,Poussee&lt;Poids*SIN(M516)), g*SIN(M516), (-W516+Poussee)/m)</f>
        <v>-0.34762762812531756</v>
      </c>
    </row>
    <row r="518" spans="1:34" x14ac:dyDescent="0.2">
      <c r="A518" s="347">
        <f t="shared" ca="1" si="238"/>
        <v>0.1</v>
      </c>
      <c r="B518" s="304">
        <f t="shared" ca="1" si="239"/>
        <v>15.399999999999919</v>
      </c>
      <c r="D518" s="306">
        <f t="shared" ca="1" si="240"/>
        <v>-0.31982502659269985</v>
      </c>
      <c r="E518" s="307">
        <f t="shared" ca="1" si="241"/>
        <v>-9.9209132271052329</v>
      </c>
      <c r="F518" s="304">
        <f t="shared" ca="1" si="242"/>
        <v>9.92606706139882</v>
      </c>
      <c r="G518" s="306">
        <f t="shared" ca="1" si="243"/>
        <v>26.299080655787161</v>
      </c>
      <c r="H518" s="307">
        <f t="shared" ca="1" si="244"/>
        <v>8.1393491374953655</v>
      </c>
      <c r="I518" s="304">
        <f t="shared" ca="1" si="245"/>
        <v>27.529813797438678</v>
      </c>
      <c r="J518" s="306">
        <f t="shared" ca="1" si="246"/>
        <v>459.0608537149443</v>
      </c>
      <c r="K518" s="307">
        <f t="shared" ca="1" si="247"/>
        <v>1316.8875631889418</v>
      </c>
      <c r="L518" s="304">
        <f t="shared" ca="1" si="232"/>
        <v>1394.6073718058437</v>
      </c>
      <c r="M518" s="306">
        <f t="shared" ca="1" si="248"/>
        <v>0.30014193624492935</v>
      </c>
      <c r="N518" s="304">
        <f t="shared" ca="1" si="249"/>
        <v>17.196866201719082</v>
      </c>
      <c r="P518" s="310">
        <f t="shared" ca="1" si="250"/>
        <v>23</v>
      </c>
      <c r="Q518" s="304">
        <f t="shared" ca="1" si="251"/>
        <v>0</v>
      </c>
      <c r="R518" s="306">
        <f t="shared" ca="1" si="252"/>
        <v>0</v>
      </c>
      <c r="S518" s="307">
        <f t="shared" ca="1" si="253"/>
        <v>8.1379999999999981</v>
      </c>
      <c r="T518" s="304">
        <f t="shared" ca="1" si="233"/>
        <v>79.83377999999999</v>
      </c>
      <c r="U518" s="311">
        <f t="shared" ca="1" si="234"/>
        <v>0</v>
      </c>
      <c r="V518" s="306">
        <f t="shared" ca="1" si="235"/>
        <v>1.073647016584899</v>
      </c>
      <c r="W518" s="304">
        <f t="shared" ca="1" si="236"/>
        <v>2.6878294136866137</v>
      </c>
      <c r="Y518" s="314" t="str">
        <f t="shared" ca="1" si="254"/>
        <v/>
      </c>
      <c r="Z518" s="315" t="str">
        <f t="shared" ca="1" si="255"/>
        <v/>
      </c>
      <c r="AA518" s="316" t="str">
        <f t="shared" ca="1" si="256"/>
        <v/>
      </c>
      <c r="AC518" s="310" t="e">
        <f t="shared" ca="1" si="257"/>
        <v>#N/A</v>
      </c>
      <c r="AD518" s="323" t="e">
        <f t="shared" ca="1" si="258"/>
        <v>#N/A</v>
      </c>
      <c r="AE518" s="324">
        <f t="shared" ca="1" si="237"/>
        <v>1316.8875631889418</v>
      </c>
      <c r="AG518" s="306">
        <f t="shared" ca="1" si="259"/>
        <v>-3.5527591534356642</v>
      </c>
      <c r="AH518" s="304">
        <f t="shared" ca="1" si="260"/>
        <v>-0.33851113952411988</v>
      </c>
    </row>
    <row r="519" spans="1:34" x14ac:dyDescent="0.2">
      <c r="A519" s="347">
        <f t="shared" ca="1" si="238"/>
        <v>0.1</v>
      </c>
      <c r="B519" s="304">
        <f t="shared" ca="1" si="239"/>
        <v>15.499999999999918</v>
      </c>
      <c r="D519" s="306">
        <f t="shared" ca="1" si="240"/>
        <v>-0.31551594353575441</v>
      </c>
      <c r="E519" s="307">
        <f t="shared" ca="1" si="241"/>
        <v>-9.9076495892193357</v>
      </c>
      <c r="F519" s="304">
        <f t="shared" ca="1" si="242"/>
        <v>9.9126722276782324</v>
      </c>
      <c r="G519" s="306">
        <f t="shared" ca="1" si="243"/>
        <v>26.267529061433585</v>
      </c>
      <c r="H519" s="307">
        <f t="shared" ca="1" si="244"/>
        <v>7.1485841785734321</v>
      </c>
      <c r="I519" s="304">
        <f t="shared" ca="1" si="245"/>
        <v>27.222882631187467</v>
      </c>
      <c r="J519" s="306">
        <f t="shared" ca="1" si="246"/>
        <v>461.68918420080536</v>
      </c>
      <c r="K519" s="307">
        <f t="shared" ca="1" si="247"/>
        <v>1317.6519598547452</v>
      </c>
      <c r="L519" s="304">
        <f t="shared" ca="1" si="232"/>
        <v>1396.1961144900297</v>
      </c>
      <c r="M519" s="306">
        <f t="shared" ca="1" si="248"/>
        <v>0.26571027275000347</v>
      </c>
      <c r="N519" s="304">
        <f t="shared" ca="1" si="249"/>
        <v>15.224077201845166</v>
      </c>
      <c r="P519" s="310">
        <f t="shared" ca="1" si="250"/>
        <v>23</v>
      </c>
      <c r="Q519" s="304">
        <f t="shared" ca="1" si="251"/>
        <v>0</v>
      </c>
      <c r="R519" s="306">
        <f t="shared" ca="1" si="252"/>
        <v>0</v>
      </c>
      <c r="S519" s="307">
        <f t="shared" ca="1" si="253"/>
        <v>8.1379999999999981</v>
      </c>
      <c r="T519" s="304">
        <f t="shared" ca="1" si="233"/>
        <v>79.83377999999999</v>
      </c>
      <c r="U519" s="311">
        <f t="shared" ca="1" si="234"/>
        <v>0</v>
      </c>
      <c r="V519" s="306">
        <f t="shared" ca="1" si="235"/>
        <v>1.0735645929615729</v>
      </c>
      <c r="W519" s="304">
        <f t="shared" ca="1" si="236"/>
        <v>2.6280282769145575</v>
      </c>
      <c r="Y519" s="314" t="str">
        <f t="shared" ca="1" si="254"/>
        <v/>
      </c>
      <c r="Z519" s="315" t="str">
        <f t="shared" ca="1" si="255"/>
        <v/>
      </c>
      <c r="AA519" s="316" t="str">
        <f t="shared" ca="1" si="256"/>
        <v/>
      </c>
      <c r="AC519" s="310" t="e">
        <f t="shared" ca="1" si="257"/>
        <v>#N/A</v>
      </c>
      <c r="AD519" s="323" t="e">
        <f t="shared" ca="1" si="258"/>
        <v>#N/A</v>
      </c>
      <c r="AE519" s="324">
        <f t="shared" ca="1" si="237"/>
        <v>1317.6519598547452</v>
      </c>
      <c r="AG519" s="306">
        <f t="shared" ca="1" si="259"/>
        <v>-3.2306647273483224</v>
      </c>
      <c r="AH519" s="304">
        <f t="shared" ca="1" si="260"/>
        <v>-0.33028132387400028</v>
      </c>
    </row>
    <row r="520" spans="1:34" x14ac:dyDescent="0.2">
      <c r="A520" s="347">
        <f t="shared" ca="1" si="238"/>
        <v>0.1</v>
      </c>
      <c r="B520" s="304">
        <f t="shared" ca="1" si="239"/>
        <v>15.599999999999918</v>
      </c>
      <c r="D520" s="306">
        <f t="shared" ca="1" si="240"/>
        <v>-0.31160000714838126</v>
      </c>
      <c r="E520" s="307">
        <f t="shared" ca="1" si="241"/>
        <v>-9.8948004727028067</v>
      </c>
      <c r="F520" s="304">
        <f t="shared" ca="1" si="242"/>
        <v>9.8997055996153023</v>
      </c>
      <c r="G520" s="306">
        <f t="shared" ca="1" si="243"/>
        <v>26.236369060718747</v>
      </c>
      <c r="H520" s="307">
        <f t="shared" ca="1" si="244"/>
        <v>6.1591041313031516</v>
      </c>
      <c r="I520" s="304">
        <f t="shared" ca="1" si="245"/>
        <v>26.949612709470898</v>
      </c>
      <c r="J520" s="306">
        <f t="shared" ca="1" si="246"/>
        <v>464.31437910691295</v>
      </c>
      <c r="K520" s="307">
        <f t="shared" ca="1" si="247"/>
        <v>1318.3173442702391</v>
      </c>
      <c r="L520" s="304">
        <f t="shared" ca="1" si="232"/>
        <v>1397.6939804009942</v>
      </c>
      <c r="M520" s="306">
        <f t="shared" ca="1" si="248"/>
        <v>0.23057923919026074</v>
      </c>
      <c r="N520" s="304">
        <f t="shared" ca="1" si="249"/>
        <v>13.21121724893945</v>
      </c>
      <c r="P520" s="310">
        <f t="shared" ca="1" si="250"/>
        <v>23</v>
      </c>
      <c r="Q520" s="304">
        <f t="shared" ca="1" si="251"/>
        <v>0</v>
      </c>
      <c r="R520" s="306">
        <f t="shared" ca="1" si="252"/>
        <v>0</v>
      </c>
      <c r="S520" s="307">
        <f t="shared" ca="1" si="253"/>
        <v>8.1379999999999981</v>
      </c>
      <c r="T520" s="304">
        <f t="shared" ca="1" si="233"/>
        <v>79.83377999999999</v>
      </c>
      <c r="U520" s="311">
        <f t="shared" ca="1" si="234"/>
        <v>0</v>
      </c>
      <c r="V520" s="306">
        <f t="shared" ca="1" si="235"/>
        <v>1.0734928504767669</v>
      </c>
      <c r="W520" s="304">
        <f t="shared" ca="1" si="236"/>
        <v>2.5753594051380748</v>
      </c>
      <c r="Y520" s="314" t="str">
        <f t="shared" ca="1" si="254"/>
        <v/>
      </c>
      <c r="Z520" s="315" t="str">
        <f t="shared" ca="1" si="255"/>
        <v/>
      </c>
      <c r="AA520" s="316" t="str">
        <f t="shared" ca="1" si="256"/>
        <v/>
      </c>
      <c r="AC520" s="310" t="e">
        <f t="shared" ca="1" si="257"/>
        <v>#N/A</v>
      </c>
      <c r="AD520" s="323" t="e">
        <f t="shared" ca="1" si="258"/>
        <v>#N/A</v>
      </c>
      <c r="AE520" s="324">
        <f t="shared" ca="1" si="237"/>
        <v>1318.3173442702391</v>
      </c>
      <c r="AG520" s="306">
        <f t="shared" ca="1" si="259"/>
        <v>-2.8989867613139975</v>
      </c>
      <c r="AH520" s="304">
        <f t="shared" ca="1" si="260"/>
        <v>-0.32293294137559081</v>
      </c>
    </row>
    <row r="521" spans="1:34" x14ac:dyDescent="0.2">
      <c r="A521" s="347">
        <f t="shared" ca="1" si="238"/>
        <v>0.1</v>
      </c>
      <c r="B521" s="304">
        <f t="shared" ca="1" si="239"/>
        <v>15.699999999999918</v>
      </c>
      <c r="D521" s="306">
        <f t="shared" ca="1" si="240"/>
        <v>-0.30808557408892279</v>
      </c>
      <c r="E521" s="307">
        <f t="shared" ca="1" si="241"/>
        <v>-9.882324456473933</v>
      </c>
      <c r="F521" s="304">
        <f t="shared" ca="1" si="242"/>
        <v>9.8871256381207431</v>
      </c>
      <c r="G521" s="306">
        <f t="shared" ca="1" si="243"/>
        <v>26.205560503309854</v>
      </c>
      <c r="H521" s="307">
        <f t="shared" ca="1" si="244"/>
        <v>5.1708716856557579</v>
      </c>
      <c r="I521" s="304">
        <f t="shared" ca="1" si="245"/>
        <v>26.710846397711734</v>
      </c>
      <c r="J521" s="306">
        <f t="shared" ca="1" si="246"/>
        <v>466.93647558511441</v>
      </c>
      <c r="K521" s="307">
        <f t="shared" ca="1" si="247"/>
        <v>1318.883843061087</v>
      </c>
      <c r="L521" s="304">
        <f t="shared" ca="1" si="232"/>
        <v>1399.1012342641363</v>
      </c>
      <c r="M521" s="306">
        <f t="shared" ca="1" si="248"/>
        <v>0.19481696428946954</v>
      </c>
      <c r="N521" s="304">
        <f t="shared" ca="1" si="249"/>
        <v>11.162189831337479</v>
      </c>
      <c r="P521" s="310">
        <f t="shared" ca="1" si="250"/>
        <v>23</v>
      </c>
      <c r="Q521" s="304">
        <f t="shared" ca="1" si="251"/>
        <v>0</v>
      </c>
      <c r="R521" s="306">
        <f t="shared" ca="1" si="252"/>
        <v>0</v>
      </c>
      <c r="S521" s="307">
        <f t="shared" ca="1" si="253"/>
        <v>8.1379999999999981</v>
      </c>
      <c r="T521" s="304">
        <f t="shared" ca="1" si="233"/>
        <v>79.83377999999999</v>
      </c>
      <c r="U521" s="311">
        <f t="shared" ca="1" si="234"/>
        <v>0</v>
      </c>
      <c r="V521" s="306">
        <f t="shared" ca="1" si="235"/>
        <v>1.0734317734790142</v>
      </c>
      <c r="W521" s="304">
        <f t="shared" ca="1" si="236"/>
        <v>2.529783634136415</v>
      </c>
      <c r="Y521" s="314" t="str">
        <f t="shared" ca="1" si="254"/>
        <v/>
      </c>
      <c r="Z521" s="315" t="str">
        <f t="shared" ca="1" si="255"/>
        <v/>
      </c>
      <c r="AA521" s="316" t="str">
        <f t="shared" ca="1" si="256"/>
        <v/>
      </c>
      <c r="AC521" s="310" t="e">
        <f t="shared" ca="1" si="257"/>
        <v>#N/A</v>
      </c>
      <c r="AD521" s="323" t="e">
        <f t="shared" ca="1" si="258"/>
        <v>#N/A</v>
      </c>
      <c r="AE521" s="324">
        <f t="shared" ca="1" si="237"/>
        <v>1318.883843061087</v>
      </c>
      <c r="AG521" s="306">
        <f t="shared" ca="1" si="259"/>
        <v>-2.5584528042807948</v>
      </c>
      <c r="AH521" s="304">
        <f t="shared" ca="1" si="260"/>
        <v>-0.31646097384345973</v>
      </c>
    </row>
    <row r="522" spans="1:34" x14ac:dyDescent="0.2">
      <c r="A522" s="347">
        <f t="shared" ca="1" si="238"/>
        <v>0.1</v>
      </c>
      <c r="B522" s="304">
        <f t="shared" ca="1" si="239"/>
        <v>15.799999999999917</v>
      </c>
      <c r="D522" s="306">
        <f t="shared" ca="1" si="240"/>
        <v>-0.30498009571897583</v>
      </c>
      <c r="E522" s="307">
        <f t="shared" ca="1" si="241"/>
        <v>-9.8701785617767133</v>
      </c>
      <c r="F522" s="304">
        <f t="shared" ca="1" si="242"/>
        <v>9.8748892500190291</v>
      </c>
      <c r="G522" s="306">
        <f t="shared" ca="1" si="243"/>
        <v>26.175062493737958</v>
      </c>
      <c r="H522" s="307">
        <f t="shared" ca="1" si="244"/>
        <v>4.1838538294780863</v>
      </c>
      <c r="I522" s="304">
        <f t="shared" ca="1" si="245"/>
        <v>26.507329730048745</v>
      </c>
      <c r="J522" s="306">
        <f t="shared" ca="1" si="246"/>
        <v>469.5555067349668</v>
      </c>
      <c r="K522" s="307">
        <f t="shared" ca="1" si="247"/>
        <v>1319.3515793368435</v>
      </c>
      <c r="L522" s="304">
        <f t="shared" ca="1" si="232"/>
        <v>1400.4181389155722</v>
      </c>
      <c r="M522" s="306">
        <f t="shared" ca="1" si="248"/>
        <v>0.158500438191855</v>
      </c>
      <c r="N522" s="304">
        <f t="shared" ca="1" si="249"/>
        <v>9.0814061593674573</v>
      </c>
      <c r="P522" s="310">
        <f t="shared" ca="1" si="250"/>
        <v>23</v>
      </c>
      <c r="Q522" s="304">
        <f t="shared" ca="1" si="251"/>
        <v>0</v>
      </c>
      <c r="R522" s="306">
        <f t="shared" ca="1" si="252"/>
        <v>0</v>
      </c>
      <c r="S522" s="307">
        <f t="shared" ca="1" si="253"/>
        <v>8.1379999999999981</v>
      </c>
      <c r="T522" s="304">
        <f t="shared" ca="1" si="233"/>
        <v>79.83377999999999</v>
      </c>
      <c r="U522" s="311">
        <f t="shared" ca="1" si="234"/>
        <v>0</v>
      </c>
      <c r="V522" s="306">
        <f t="shared" ca="1" si="235"/>
        <v>1.0733813469961169</v>
      </c>
      <c r="W522" s="304">
        <f t="shared" ca="1" si="236"/>
        <v>2.4912633407552192</v>
      </c>
      <c r="Y522" s="314" t="str">
        <f t="shared" ca="1" si="254"/>
        <v/>
      </c>
      <c r="Z522" s="315" t="str">
        <f t="shared" ca="1" si="255"/>
        <v/>
      </c>
      <c r="AA522" s="316" t="str">
        <f t="shared" ca="1" si="256"/>
        <v/>
      </c>
      <c r="AC522" s="310" t="e">
        <f t="shared" ca="1" si="257"/>
        <v>#N/A</v>
      </c>
      <c r="AD522" s="323" t="e">
        <f t="shared" ca="1" si="258"/>
        <v>#N/A</v>
      </c>
      <c r="AE522" s="324">
        <f t="shared" ca="1" si="237"/>
        <v>1319.3515793368435</v>
      </c>
      <c r="AG522" s="306">
        <f t="shared" ca="1" si="259"/>
        <v>-2.2099487350271123</v>
      </c>
      <c r="AH522" s="304">
        <f t="shared" ca="1" si="260"/>
        <v>-0.31086060876584121</v>
      </c>
    </row>
    <row r="523" spans="1:34" x14ac:dyDescent="0.2">
      <c r="A523" s="347">
        <f t="shared" ca="1" si="238"/>
        <v>0.1</v>
      </c>
      <c r="B523" s="304">
        <f t="shared" ca="1" si="239"/>
        <v>15.899999999999917</v>
      </c>
      <c r="D523" s="306">
        <f t="shared" ca="1" si="240"/>
        <v>-0.30228994299322492</v>
      </c>
      <c r="E523" s="307">
        <f t="shared" ca="1" si="241"/>
        <v>-9.8583183922066091</v>
      </c>
      <c r="F523" s="304">
        <f t="shared" ca="1" si="242"/>
        <v>9.8629519278841649</v>
      </c>
      <c r="G523" s="306">
        <f t="shared" ca="1" si="243"/>
        <v>26.144833499438636</v>
      </c>
      <c r="H523" s="307">
        <f t="shared" ca="1" si="244"/>
        <v>3.1980219902574252</v>
      </c>
      <c r="I523" s="304">
        <f t="shared" ca="1" si="245"/>
        <v>26.339697480486347</v>
      </c>
      <c r="J523" s="306">
        <f t="shared" ca="1" si="246"/>
        <v>472.17150153462563</v>
      </c>
      <c r="K523" s="307">
        <f t="shared" ca="1" si="247"/>
        <v>1319.7206731278304</v>
      </c>
      <c r="L523" s="304">
        <f t="shared" ca="1" si="232"/>
        <v>1401.6449557368073</v>
      </c>
      <c r="M523" s="306">
        <f t="shared" ca="1" si="248"/>
        <v>0.12171483155149303</v>
      </c>
      <c r="N523" s="304">
        <f t="shared" ca="1" si="249"/>
        <v>6.9737461520463002</v>
      </c>
      <c r="P523" s="310">
        <f t="shared" ca="1" si="250"/>
        <v>23</v>
      </c>
      <c r="Q523" s="304">
        <f t="shared" ca="1" si="251"/>
        <v>0</v>
      </c>
      <c r="R523" s="306">
        <f t="shared" ca="1" si="252"/>
        <v>0</v>
      </c>
      <c r="S523" s="307">
        <f t="shared" ca="1" si="253"/>
        <v>8.1379999999999981</v>
      </c>
      <c r="T523" s="304">
        <f t="shared" ca="1" si="233"/>
        <v>79.83377999999999</v>
      </c>
      <c r="U523" s="311">
        <f t="shared" ca="1" si="234"/>
        <v>0</v>
      </c>
      <c r="V523" s="306">
        <f t="shared" ca="1" si="235"/>
        <v>1.0733415566865951</v>
      </c>
      <c r="W523" s="304">
        <f t="shared" ca="1" si="236"/>
        <v>2.4597623075026975</v>
      </c>
      <c r="Y523" s="314" t="str">
        <f t="shared" ca="1" si="254"/>
        <v/>
      </c>
      <c r="Z523" s="315" t="str">
        <f t="shared" ca="1" si="255"/>
        <v/>
      </c>
      <c r="AA523" s="316" t="str">
        <f t="shared" ca="1" si="256"/>
        <v/>
      </c>
      <c r="AC523" s="310" t="e">
        <f t="shared" ca="1" si="257"/>
        <v>#N/A</v>
      </c>
      <c r="AD523" s="323" t="e">
        <f t="shared" ca="1" si="258"/>
        <v>#N/A</v>
      </c>
      <c r="AE523" s="324">
        <f t="shared" ca="1" si="237"/>
        <v>1319.7206731278304</v>
      </c>
      <c r="AG523" s="306">
        <f t="shared" ca="1" si="259"/>
        <v>-1.854514272359852</v>
      </c>
      <c r="AH523" s="304">
        <f t="shared" ca="1" si="260"/>
        <v>-0.30612722299769229</v>
      </c>
    </row>
    <row r="524" spans="1:34" x14ac:dyDescent="0.2">
      <c r="A524" s="347">
        <f t="shared" ca="1" si="238"/>
        <v>0.1</v>
      </c>
      <c r="B524" s="304">
        <f t="shared" ca="1" si="239"/>
        <v>15.999999999999917</v>
      </c>
      <c r="D524" s="306">
        <f t="shared" ca="1" si="240"/>
        <v>-0.30002024025771473</v>
      </c>
      <c r="E524" s="307">
        <f t="shared" ca="1" si="241"/>
        <v>-9.8466983146359333</v>
      </c>
      <c r="F524" s="304">
        <f t="shared" ca="1" si="242"/>
        <v>9.8512679307802014</v>
      </c>
      <c r="G524" s="306">
        <f t="shared" ca="1" si="243"/>
        <v>26.114831475412863</v>
      </c>
      <c r="H524" s="307">
        <f t="shared" ca="1" si="244"/>
        <v>2.2133521587938318</v>
      </c>
      <c r="I524" s="304">
        <f t="shared" ca="1" si="245"/>
        <v>26.208459526802635</v>
      </c>
      <c r="J524" s="306">
        <f t="shared" ca="1" si="246"/>
        <v>474.78448478336821</v>
      </c>
      <c r="K524" s="307">
        <f t="shared" ca="1" si="247"/>
        <v>1319.9912418352831</v>
      </c>
      <c r="L524" s="304">
        <f t="shared" ca="1" si="232"/>
        <v>1402.7819451051048</v>
      </c>
      <c r="M524" s="306">
        <f t="shared" ca="1" si="248"/>
        <v>8.4552532175422621E-2</v>
      </c>
      <c r="N524" s="304">
        <f t="shared" ca="1" si="249"/>
        <v>4.8445032407958131</v>
      </c>
      <c r="P524" s="310">
        <f t="shared" ca="1" si="250"/>
        <v>23</v>
      </c>
      <c r="Q524" s="304">
        <f t="shared" ca="1" si="251"/>
        <v>0</v>
      </c>
      <c r="R524" s="306">
        <f t="shared" ca="1" si="252"/>
        <v>0</v>
      </c>
      <c r="S524" s="307">
        <f t="shared" ca="1" si="253"/>
        <v>8.1379999999999981</v>
      </c>
      <c r="T524" s="304">
        <f t="shared" ca="1" si="233"/>
        <v>79.83377999999999</v>
      </c>
      <c r="U524" s="311">
        <f t="shared" ca="1" si="234"/>
        <v>0</v>
      </c>
      <c r="V524" s="306">
        <f t="shared" ca="1" si="235"/>
        <v>1.0733123887897971</v>
      </c>
      <c r="W524" s="304">
        <f t="shared" ca="1" si="236"/>
        <v>2.4352455848483254</v>
      </c>
      <c r="Y524" s="314" t="str">
        <f t="shared" ca="1" si="254"/>
        <v/>
      </c>
      <c r="Z524" s="315" t="str">
        <f t="shared" ca="1" si="255"/>
        <v/>
      </c>
      <c r="AA524" s="316" t="str">
        <f t="shared" ca="1" si="256"/>
        <v/>
      </c>
      <c r="AC524" s="310">
        <f t="shared" ca="1" si="257"/>
        <v>15.999999999999917</v>
      </c>
      <c r="AD524" s="323">
        <f t="shared" ca="1" si="258"/>
        <v>474.78448478336821</v>
      </c>
      <c r="AE524" s="324">
        <f t="shared" ca="1" si="237"/>
        <v>1319.9912418352831</v>
      </c>
      <c r="AG524" s="306">
        <f t="shared" ca="1" si="259"/>
        <v>-1.4933329055421518</v>
      </c>
      <c r="AH524" s="304">
        <f t="shared" ca="1" si="260"/>
        <v>-0.30225636612222884</v>
      </c>
    </row>
    <row r="525" spans="1:34" x14ac:dyDescent="0.2">
      <c r="A525" s="347">
        <f t="shared" ca="1" si="238"/>
        <v>0.1</v>
      </c>
      <c r="B525" s="304">
        <f t="shared" ca="1" si="239"/>
        <v>16.099999999999916</v>
      </c>
      <c r="D525" s="306">
        <f t="shared" ca="1" si="240"/>
        <v>-0.29817471432724063</v>
      </c>
      <c r="E525" s="307">
        <f t="shared" ca="1" si="241"/>
        <v>-9.8352716793625614</v>
      </c>
      <c r="F525" s="304">
        <f t="shared" ca="1" si="242"/>
        <v>9.8397905042300255</v>
      </c>
      <c r="G525" s="306">
        <f t="shared" ca="1" si="243"/>
        <v>26.085014003980138</v>
      </c>
      <c r="H525" s="307">
        <f t="shared" ca="1" si="244"/>
        <v>1.2298249908575758</v>
      </c>
      <c r="I525" s="304">
        <f t="shared" ca="1" si="245"/>
        <v>26.113989069002418</v>
      </c>
      <c r="J525" s="306">
        <f t="shared" ca="1" si="246"/>
        <v>477.39447705733784</v>
      </c>
      <c r="K525" s="307">
        <f t="shared" ca="1" si="247"/>
        <v>1320.1634006927657</v>
      </c>
      <c r="L525" s="304">
        <f t="shared" ca="1" si="232"/>
        <v>1403.8293668582151</v>
      </c>
      <c r="M525" s="306">
        <f t="shared" ca="1" si="248"/>
        <v>4.7111915566774944E-2</v>
      </c>
      <c r="N525" s="304">
        <f t="shared" ca="1" si="249"/>
        <v>2.6993139267528878</v>
      </c>
      <c r="P525" s="310">
        <f t="shared" ca="1" si="250"/>
        <v>23</v>
      </c>
      <c r="Q525" s="304">
        <f t="shared" ca="1" si="251"/>
        <v>0</v>
      </c>
      <c r="R525" s="306">
        <f t="shared" ca="1" si="252"/>
        <v>0</v>
      </c>
      <c r="S525" s="307">
        <f t="shared" ca="1" si="253"/>
        <v>8.1379999999999981</v>
      </c>
      <c r="T525" s="304">
        <f t="shared" ca="1" si="233"/>
        <v>79.83377999999999</v>
      </c>
      <c r="U525" s="311">
        <f t="shared" ca="1" si="234"/>
        <v>0</v>
      </c>
      <c r="V525" s="306">
        <f t="shared" ca="1" si="235"/>
        <v>1.0732938300748587</v>
      </c>
      <c r="W525" s="304">
        <f t="shared" ca="1" si="236"/>
        <v>2.4176793517360018</v>
      </c>
      <c r="Y525" s="314" t="str">
        <f t="shared" ca="1" si="254"/>
        <v/>
      </c>
      <c r="Z525" s="315" t="str">
        <f t="shared" ca="1" si="255"/>
        <v/>
      </c>
      <c r="AA525" s="316" t="str">
        <f t="shared" ca="1" si="256"/>
        <v/>
      </c>
      <c r="AC525" s="310" t="e">
        <f t="shared" ca="1" si="257"/>
        <v>#N/A</v>
      </c>
      <c r="AD525" s="323" t="e">
        <f t="shared" ca="1" si="258"/>
        <v>#N/A</v>
      </c>
      <c r="AE525" s="324">
        <f t="shared" ca="1" si="237"/>
        <v>1320.1634006927657</v>
      </c>
      <c r="AG525" s="306">
        <f t="shared" ca="1" si="259"/>
        <v>-1.1277161173284704</v>
      </c>
      <c r="AH525" s="304">
        <f t="shared" ca="1" si="260"/>
        <v>-0.29924374353014571</v>
      </c>
    </row>
    <row r="526" spans="1:34" x14ac:dyDescent="0.2">
      <c r="A526" s="347">
        <f t="shared" ca="1" si="238"/>
        <v>0.1</v>
      </c>
      <c r="B526" s="304">
        <f t="shared" ca="1" si="239"/>
        <v>16.199999999999918</v>
      </c>
      <c r="D526" s="306">
        <f t="shared" ca="1" si="240"/>
        <v>-0.29675556511501605</v>
      </c>
      <c r="E526" s="307">
        <f t="shared" ca="1" si="241"/>
        <v>-9.8239910758759361</v>
      </c>
      <c r="F526" s="304">
        <f t="shared" ca="1" si="242"/>
        <v>9.8284721358060914</v>
      </c>
      <c r="G526" s="306">
        <f t="shared" ca="1" si="243"/>
        <v>26.055338447468635</v>
      </c>
      <c r="H526" s="307">
        <f t="shared" ca="1" si="244"/>
        <v>0.24742588326998216</v>
      </c>
      <c r="I526" s="304">
        <f t="shared" ca="1" si="245"/>
        <v>26.056513219919683</v>
      </c>
      <c r="J526" s="306">
        <f t="shared" ca="1" si="246"/>
        <v>480.00149467991025</v>
      </c>
      <c r="K526" s="307">
        <f t="shared" ca="1" si="247"/>
        <v>1320.237263236472</v>
      </c>
      <c r="L526" s="304">
        <f t="shared" ca="1" si="232"/>
        <v>1404.7874807717635</v>
      </c>
      <c r="M526" s="306">
        <f t="shared" ca="1" si="248"/>
        <v>9.4958830329070713E-3</v>
      </c>
      <c r="N526" s="304">
        <f t="shared" ca="1" si="249"/>
        <v>0.54407402053546305</v>
      </c>
      <c r="P526" s="310">
        <f t="shared" ca="1" si="250"/>
        <v>23</v>
      </c>
      <c r="Q526" s="304">
        <f t="shared" ca="1" si="251"/>
        <v>0</v>
      </c>
      <c r="R526" s="306">
        <f t="shared" ca="1" si="252"/>
        <v>0</v>
      </c>
      <c r="S526" s="307">
        <f t="shared" ca="1" si="253"/>
        <v>8.1379999999999981</v>
      </c>
      <c r="T526" s="304">
        <f t="shared" ca="1" si="233"/>
        <v>79.83377999999999</v>
      </c>
      <c r="U526" s="311">
        <f t="shared" ca="1" si="234"/>
        <v>0</v>
      </c>
      <c r="V526" s="306">
        <f t="shared" ca="1" si="235"/>
        <v>1.0732858677887744</v>
      </c>
      <c r="W526" s="304">
        <f t="shared" ca="1" si="236"/>
        <v>2.4070307749272875</v>
      </c>
      <c r="Y526" s="314" t="str">
        <f t="shared" ca="1" si="254"/>
        <v>Apogée</v>
      </c>
      <c r="Z526" s="315" t="str">
        <f t="shared" ca="1" si="255"/>
        <v>Para</v>
      </c>
      <c r="AA526" s="316" t="str">
        <f t="shared" ca="1" si="256"/>
        <v/>
      </c>
      <c r="AC526" s="310" t="e">
        <f t="shared" ca="1" si="257"/>
        <v>#N/A</v>
      </c>
      <c r="AD526" s="323" t="e">
        <f t="shared" ca="1" si="258"/>
        <v>#N/A</v>
      </c>
      <c r="AE526" s="324">
        <f t="shared" ca="1" si="237"/>
        <v>1320.237263236472</v>
      </c>
      <c r="AG526" s="306">
        <f t="shared" ca="1" si="259"/>
        <v>-0.75908214384557482</v>
      </c>
      <c r="AH526" s="304">
        <f t="shared" ca="1" si="260"/>
        <v>-0.29708519927943011</v>
      </c>
    </row>
    <row r="527" spans="1:34" x14ac:dyDescent="0.2">
      <c r="A527" s="347">
        <f t="shared" ca="1" si="238"/>
        <v>0.1</v>
      </c>
      <c r="B527" s="304">
        <f t="shared" ca="1" si="239"/>
        <v>16.299999999999919</v>
      </c>
      <c r="D527" s="306">
        <f t="shared" ca="1" si="240"/>
        <v>-0.29576336355375732</v>
      </c>
      <c r="E527" s="307">
        <f t="shared" ca="1" si="241"/>
        <v>-9.8128086187256311</v>
      </c>
      <c r="F527" s="304">
        <f t="shared" ca="1" si="242"/>
        <v>9.817264840827951</v>
      </c>
      <c r="G527" s="306">
        <f t="shared" ca="1" si="243"/>
        <v>26.025762111113259</v>
      </c>
      <c r="H527" s="307">
        <f t="shared" ca="1" si="244"/>
        <v>-0.73385497860258098</v>
      </c>
      <c r="I527" s="304">
        <f t="shared" ca="1" si="245"/>
        <v>26.036106402338241</v>
      </c>
      <c r="J527" s="306">
        <f t="shared" ca="1" si="246"/>
        <v>482.60554970783937</v>
      </c>
      <c r="K527" s="307">
        <f t="shared" ca="1" si="247"/>
        <v>1320.2129417817055</v>
      </c>
      <c r="L527" s="304">
        <f t="shared" ca="1" si="232"/>
        <v>1405.656547047219</v>
      </c>
      <c r="M527" s="306">
        <f t="shared" ca="1" si="248"/>
        <v>-2.8189782717235008E-2</v>
      </c>
      <c r="N527" s="304">
        <f t="shared" ca="1" si="249"/>
        <v>-1.6151555750883957</v>
      </c>
      <c r="P527" s="310">
        <f t="shared" ca="1" si="250"/>
        <v>23</v>
      </c>
      <c r="Q527" s="304">
        <f t="shared" ca="1" si="251"/>
        <v>0</v>
      </c>
      <c r="R527" s="306">
        <f t="shared" ca="1" si="252"/>
        <v>0</v>
      </c>
      <c r="S527" s="307">
        <f t="shared" ca="1" si="253"/>
        <v>8.1379999999999981</v>
      </c>
      <c r="T527" s="304">
        <f t="shared" ca="1" si="233"/>
        <v>79.83377999999999</v>
      </c>
      <c r="U527" s="311">
        <f t="shared" ca="1" si="234"/>
        <v>0</v>
      </c>
      <c r="V527" s="306">
        <f t="shared" ca="1" si="235"/>
        <v>1.0732884896038535</v>
      </c>
      <c r="W527" s="304">
        <f t="shared" ca="1" si="236"/>
        <v>2.4032678678806718</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-0.38892991138411326</v>
      </c>
      <c r="AH527" s="304">
        <f t="shared" ca="1" si="260"/>
        <v>-0.29577669881141411</v>
      </c>
    </row>
    <row r="528" spans="1:34" x14ac:dyDescent="0.2">
      <c r="A528" s="347">
        <f t="shared" ca="1" si="238"/>
        <v>0.1</v>
      </c>
      <c r="B528" s="304">
        <f t="shared" ca="1" si="239"/>
        <v>16.39999999999992</v>
      </c>
      <c r="D528" s="306">
        <f t="shared" ca="1" si="240"/>
        <v>-0.29519698157609198</v>
      </c>
      <c r="E528" s="307">
        <f t="shared" ca="1" si="241"/>
        <v>-9.8016762562543533</v>
      </c>
      <c r="F528" s="304">
        <f t="shared" ca="1" si="242"/>
        <v>9.8061204709279384</v>
      </c>
      <c r="G528" s="306">
        <f t="shared" ca="1" si="243"/>
        <v>25.996242412955649</v>
      </c>
      <c r="H528" s="307">
        <f t="shared" ca="1" si="244"/>
        <v>-1.7140226042280164</v>
      </c>
      <c r="I528" s="304">
        <f t="shared" ca="1" si="245"/>
        <v>26.052686868746548</v>
      </c>
      <c r="J528" s="306">
        <f t="shared" ca="1" si="246"/>
        <v>485.20664993404284</v>
      </c>
      <c r="K528" s="307">
        <f t="shared" ca="1" si="247"/>
        <v>1320.0905479025639</v>
      </c>
      <c r="L528" s="304">
        <f t="shared" ca="1" si="232"/>
        <v>1406.4368268080541</v>
      </c>
      <c r="M528" s="306">
        <f t="shared" ca="1" si="248"/>
        <v>-6.5838181117936115E-2</v>
      </c>
      <c r="N528" s="304">
        <f t="shared" ca="1" si="249"/>
        <v>-3.7722499088756476</v>
      </c>
      <c r="P528" s="310">
        <f t="shared" ca="1" si="250"/>
        <v>23</v>
      </c>
      <c r="Q528" s="304">
        <f t="shared" ca="1" si="251"/>
        <v>0</v>
      </c>
      <c r="R528" s="306">
        <f t="shared" ca="1" si="252"/>
        <v>0</v>
      </c>
      <c r="S528" s="307">
        <f t="shared" ca="1" si="253"/>
        <v>8.1379999999999981</v>
      </c>
      <c r="T528" s="304">
        <f t="shared" ca="1" si="233"/>
        <v>79.83377999999999</v>
      </c>
      <c r="U528" s="311">
        <f t="shared" ca="1" si="234"/>
        <v>0</v>
      </c>
      <c r="V528" s="306">
        <f t="shared" ca="1" si="235"/>
        <v>1.0733016835648732</v>
      </c>
      <c r="W528" s="304">
        <f t="shared" ca="1" si="236"/>
        <v>2.4063593499450002</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-1.8809167989538911E-2</v>
      </c>
      <c r="AH528" s="304">
        <f t="shared" ca="1" si="260"/>
        <v>-0.29531431160981475</v>
      </c>
    </row>
    <row r="529" spans="1:34" x14ac:dyDescent="0.2">
      <c r="A529" s="347">
        <f t="shared" ca="1" si="238"/>
        <v>0.1</v>
      </c>
      <c r="B529" s="304">
        <f t="shared" ca="1" si="239"/>
        <v>16.499999999999922</v>
      </c>
      <c r="D529" s="306">
        <f t="shared" ca="1" si="240"/>
        <v>-0.29505355756250962</v>
      </c>
      <c r="E529" s="307">
        <f t="shared" ca="1" si="241"/>
        <v>-9.7905460935820479</v>
      </c>
      <c r="F529" s="304">
        <f t="shared" ca="1" si="242"/>
        <v>9.7949910368710906</v>
      </c>
      <c r="G529" s="306">
        <f t="shared" ca="1" si="243"/>
        <v>25.966737057199399</v>
      </c>
      <c r="H529" s="307">
        <f t="shared" ca="1" si="244"/>
        <v>-2.6930772135862213</v>
      </c>
      <c r="I529" s="304">
        <f t="shared" ca="1" si="245"/>
        <v>26.106016514896904</v>
      </c>
      <c r="J529" s="306">
        <f t="shared" ca="1" si="246"/>
        <v>487.80479890755061</v>
      </c>
      <c r="K529" s="307">
        <f t="shared" ca="1" si="247"/>
        <v>1319.8701929116733</v>
      </c>
      <c r="L529" s="304">
        <f t="shared" ca="1" si="232"/>
        <v>1407.1285826014384</v>
      </c>
      <c r="M529" s="306">
        <f t="shared" ca="1" si="248"/>
        <v>-0.10334310398766493</v>
      </c>
      <c r="N529" s="304">
        <f t="shared" ca="1" si="249"/>
        <v>-5.9211237002747881</v>
      </c>
      <c r="P529" s="310">
        <f t="shared" ca="1" si="250"/>
        <v>23</v>
      </c>
      <c r="Q529" s="304">
        <f t="shared" ca="1" si="251"/>
        <v>0</v>
      </c>
      <c r="R529" s="306">
        <f t="shared" ca="1" si="252"/>
        <v>0</v>
      </c>
      <c r="S529" s="307">
        <f t="shared" ca="1" si="253"/>
        <v>8.1379999999999981</v>
      </c>
      <c r="T529" s="304">
        <f t="shared" ca="1" si="233"/>
        <v>79.83377999999999</v>
      </c>
      <c r="U529" s="311">
        <f t="shared" ca="1" si="234"/>
        <v>0</v>
      </c>
      <c r="V529" s="306">
        <f t="shared" ca="1" si="235"/>
        <v>1.0733254380362636</v>
      </c>
      <c r="W529" s="304">
        <f t="shared" ca="1" si="236"/>
        <v>2.416274506694974</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0.34971185700871715</v>
      </c>
      <c r="AH529" s="304">
        <f t="shared" ca="1" si="260"/>
        <v>-0.29569419389837809</v>
      </c>
    </row>
    <row r="530" spans="1:34" x14ac:dyDescent="0.2">
      <c r="A530" s="347">
        <f t="shared" ca="1" si="238"/>
        <v>0.1</v>
      </c>
      <c r="B530" s="304">
        <f t="shared" ca="1" si="239"/>
        <v>16.599999999999923</v>
      </c>
      <c r="D530" s="306">
        <f t="shared" ca="1" si="240"/>
        <v>-0.29532849901359087</v>
      </c>
      <c r="E530" s="307">
        <f t="shared" ca="1" si="241"/>
        <v>-9.7793707203387115</v>
      </c>
      <c r="F530" s="304">
        <f t="shared" ca="1" si="242"/>
        <v>9.7838290361262814</v>
      </c>
      <c r="G530" s="306">
        <f t="shared" ca="1" si="243"/>
        <v>25.937204207298041</v>
      </c>
      <c r="H530" s="307">
        <f t="shared" ca="1" si="244"/>
        <v>-3.6710142856200925</v>
      </c>
      <c r="I530" s="304">
        <f t="shared" ca="1" si="245"/>
        <v>26.195703998486202</v>
      </c>
      <c r="J530" s="306">
        <f t="shared" ca="1" si="246"/>
        <v>490.39999597077548</v>
      </c>
      <c r="K530" s="307">
        <f t="shared" ca="1" si="247"/>
        <v>1319.5519883367128</v>
      </c>
      <c r="L530" s="304">
        <f t="shared" ca="1" si="232"/>
        <v>1407.732078902626</v>
      </c>
      <c r="M530" s="306">
        <f t="shared" ca="1" si="248"/>
        <v>-0.14060081640271888</v>
      </c>
      <c r="N530" s="304">
        <f t="shared" ca="1" si="249"/>
        <v>-8.0558333759695486</v>
      </c>
      <c r="P530" s="310">
        <f t="shared" ca="1" si="250"/>
        <v>23</v>
      </c>
      <c r="Q530" s="304">
        <f t="shared" ca="1" si="251"/>
        <v>0</v>
      </c>
      <c r="R530" s="306">
        <f t="shared" ca="1" si="252"/>
        <v>0</v>
      </c>
      <c r="S530" s="307">
        <f t="shared" ca="1" si="253"/>
        <v>8.1379999999999981</v>
      </c>
      <c r="T530" s="304">
        <f t="shared" ca="1" si="233"/>
        <v>79.83377999999999</v>
      </c>
      <c r="U530" s="311">
        <f t="shared" ca="1" si="234"/>
        <v>0</v>
      </c>
      <c r="V530" s="306">
        <f t="shared" ca="1" si="235"/>
        <v>1.0733597416496572</v>
      </c>
      <c r="W530" s="304">
        <f t="shared" ca="1" si="236"/>
        <v>2.432983052261076</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0.71507971965468942</v>
      </c>
      <c r="AH530" s="304">
        <f t="shared" ca="1" si="260"/>
        <v>-0.29691257147886146</v>
      </c>
    </row>
    <row r="531" spans="1:34" x14ac:dyDescent="0.2">
      <c r="A531" s="347">
        <f t="shared" ca="1" si="238"/>
        <v>0.1</v>
      </c>
      <c r="B531" s="304">
        <f t="shared" ca="1" si="239"/>
        <v>16.699999999999925</v>
      </c>
      <c r="D531" s="306">
        <f t="shared" ca="1" si="240"/>
        <v>-0.29601552239480422</v>
      </c>
      <c r="E531" s="307">
        <f t="shared" ca="1" si="241"/>
        <v>-9.7681035333341431</v>
      </c>
      <c r="F531" s="304">
        <f t="shared" ca="1" si="242"/>
        <v>9.772587775376266</v>
      </c>
      <c r="G531" s="306">
        <f t="shared" ca="1" si="243"/>
        <v>25.907602655058561</v>
      </c>
      <c r="H531" s="307">
        <f t="shared" ca="1" si="244"/>
        <v>-4.6478246389535069</v>
      </c>
      <c r="I531" s="304">
        <f t="shared" ca="1" si="245"/>
        <v>26.321211013303714</v>
      </c>
      <c r="J531" s="306">
        <f t="shared" ca="1" si="246"/>
        <v>492.99223631389333</v>
      </c>
      <c r="K531" s="307">
        <f t="shared" ca="1" si="247"/>
        <v>1319.1360463904841</v>
      </c>
      <c r="L531" s="304">
        <f t="shared" ca="1" si="232"/>
        <v>1408.247582619083</v>
      </c>
      <c r="M531" s="306">
        <f t="shared" ca="1" si="248"/>
        <v>-0.17751173442771051</v>
      </c>
      <c r="N531" s="304">
        <f t="shared" ca="1" si="249"/>
        <v>-10.170673196754926</v>
      </c>
      <c r="P531" s="310">
        <f t="shared" ca="1" si="250"/>
        <v>23</v>
      </c>
      <c r="Q531" s="304">
        <f t="shared" ca="1" si="251"/>
        <v>0</v>
      </c>
      <c r="R531" s="306">
        <f t="shared" ca="1" si="252"/>
        <v>0</v>
      </c>
      <c r="S531" s="307">
        <f t="shared" ca="1" si="253"/>
        <v>8.1379999999999981</v>
      </c>
      <c r="T531" s="304">
        <f t="shared" ca="1" si="233"/>
        <v>79.83377999999999</v>
      </c>
      <c r="U531" s="311">
        <f t="shared" ca="1" si="234"/>
        <v>0</v>
      </c>
      <c r="V531" s="306">
        <f t="shared" ca="1" si="235"/>
        <v>1.0734045832521495</v>
      </c>
      <c r="W531" s="304">
        <f t="shared" ca="1" si="236"/>
        <v>2.4564549945039249</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1.0757883263236683</v>
      </c>
      <c r="AH531" s="304">
        <f t="shared" ca="1" si="260"/>
        <v>-0.29896572281409151</v>
      </c>
    </row>
    <row r="532" spans="1:34" x14ac:dyDescent="0.2">
      <c r="A532" s="347">
        <f t="shared" ca="1" si="238"/>
        <v>0.1</v>
      </c>
      <c r="B532" s="304">
        <f t="shared" ca="1" si="239"/>
        <v>16.799999999999926</v>
      </c>
      <c r="D532" s="306">
        <f t="shared" ca="1" si="240"/>
        <v>-0.2971067282929935</v>
      </c>
      <c r="E532" s="307">
        <f t="shared" ca="1" si="241"/>
        <v>-9.7566990446570934</v>
      </c>
      <c r="F532" s="304">
        <f t="shared" ca="1" si="242"/>
        <v>9.7612216784585737</v>
      </c>
      <c r="G532" s="306">
        <f t="shared" ca="1" si="243"/>
        <v>25.877891982229261</v>
      </c>
      <c r="H532" s="307">
        <f t="shared" ca="1" si="244"/>
        <v>-5.6234945434192163</v>
      </c>
      <c r="I532" s="304">
        <f t="shared" ca="1" si="245"/>
        <v>26.481861421051789</v>
      </c>
      <c r="J532" s="306">
        <f t="shared" ca="1" si="246"/>
        <v>495.58151104575774</v>
      </c>
      <c r="K532" s="307">
        <f t="shared" ca="1" si="247"/>
        <v>1318.6224804313656</v>
      </c>
      <c r="L532" s="304">
        <f t="shared" ca="1" si="232"/>
        <v>1408.6753635914001</v>
      </c>
      <c r="M532" s="306">
        <f t="shared" ca="1" si="248"/>
        <v>-0.21398193383724357</v>
      </c>
      <c r="N532" s="304">
        <f t="shared" ca="1" si="249"/>
        <v>-12.260261700921676</v>
      </c>
      <c r="P532" s="310">
        <f t="shared" ca="1" si="250"/>
        <v>23</v>
      </c>
      <c r="Q532" s="304">
        <f t="shared" ca="1" si="251"/>
        <v>0</v>
      </c>
      <c r="R532" s="306">
        <f t="shared" ca="1" si="252"/>
        <v>0</v>
      </c>
      <c r="S532" s="307">
        <f t="shared" ca="1" si="253"/>
        <v>8.1379999999999981</v>
      </c>
      <c r="T532" s="304">
        <f t="shared" ca="1" si="233"/>
        <v>79.83377999999999</v>
      </c>
      <c r="U532" s="311">
        <f t="shared" ca="1" si="234"/>
        <v>0</v>
      </c>
      <c r="V532" s="306">
        <f t="shared" ca="1" si="235"/>
        <v>1.0734599518556007</v>
      </c>
      <c r="W532" s="304">
        <f t="shared" ca="1" si="236"/>
        <v>2.4866605038541101</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1.4304092289987078</v>
      </c>
      <c r="AH532" s="304">
        <f t="shared" ca="1" si="260"/>
        <v>-0.30184996246054624</v>
      </c>
    </row>
    <row r="533" spans="1:34" x14ac:dyDescent="0.2">
      <c r="A533" s="347">
        <f t="shared" ca="1" si="238"/>
        <v>0.1</v>
      </c>
      <c r="B533" s="304">
        <f t="shared" ca="1" si="239"/>
        <v>16.899999999999928</v>
      </c>
      <c r="D533" s="306">
        <f t="shared" ca="1" si="240"/>
        <v>-0.29859270837055474</v>
      </c>
      <c r="E533" s="307">
        <f t="shared" ca="1" si="241"/>
        <v>-9.7451131665832875</v>
      </c>
      <c r="F533" s="304">
        <f t="shared" ca="1" si="242"/>
        <v>9.749686571116376</v>
      </c>
      <c r="G533" s="306">
        <f t="shared" ca="1" si="243"/>
        <v>25.848032711392207</v>
      </c>
      <c r="H533" s="307">
        <f t="shared" ca="1" si="244"/>
        <v>-6.5980058600775449</v>
      </c>
      <c r="I533" s="304">
        <f t="shared" ca="1" si="245"/>
        <v>26.676852819978954</v>
      </c>
      <c r="J533" s="306">
        <f t="shared" ca="1" si="246"/>
        <v>498.16780728043881</v>
      </c>
      <c r="K533" s="307">
        <f t="shared" ca="1" si="247"/>
        <v>1318.0114054111907</v>
      </c>
      <c r="L533" s="304">
        <f t="shared" ca="1" si="232"/>
        <v>1409.0156950880933</v>
      </c>
      <c r="M533" s="306">
        <f t="shared" ca="1" si="248"/>
        <v>-0.24992443653658794</v>
      </c>
      <c r="N533" s="304">
        <f t="shared" ca="1" si="249"/>
        <v>-14.319615410731679</v>
      </c>
      <c r="P533" s="310">
        <f t="shared" ca="1" si="250"/>
        <v>23</v>
      </c>
      <c r="Q533" s="304">
        <f t="shared" ca="1" si="251"/>
        <v>0</v>
      </c>
      <c r="R533" s="306">
        <f t="shared" ca="1" si="252"/>
        <v>0</v>
      </c>
      <c r="S533" s="307">
        <f t="shared" ca="1" si="253"/>
        <v>8.1379999999999981</v>
      </c>
      <c r="T533" s="304">
        <f t="shared" ca="1" si="233"/>
        <v>79.83377999999999</v>
      </c>
      <c r="U533" s="311">
        <f t="shared" ca="1" si="234"/>
        <v>0</v>
      </c>
      <c r="V533" s="306">
        <f t="shared" ca="1" si="235"/>
        <v>1.0735258365872831</v>
      </c>
      <c r="W533" s="304">
        <f t="shared" ca="1" si="236"/>
        <v>2.523569786584829</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1.7776182767109923</v>
      </c>
      <c r="AH533" s="304">
        <f t="shared" ca="1" si="260"/>
        <v>-0.30556162495135297</v>
      </c>
    </row>
    <row r="534" spans="1:34" x14ac:dyDescent="0.2">
      <c r="A534" s="347">
        <f t="shared" ca="1" si="238"/>
        <v>0.1</v>
      </c>
      <c r="B534" s="304">
        <f t="shared" ca="1" si="239"/>
        <v>16.999999999999929</v>
      </c>
      <c r="D534" s="306">
        <f t="shared" ca="1" si="240"/>
        <v>-0.30046267924246894</v>
      </c>
      <c r="E534" s="307">
        <f t="shared" ca="1" si="241"/>
        <v>-9.7333034660505255</v>
      </c>
      <c r="F534" s="304">
        <f t="shared" ca="1" si="242"/>
        <v>9.7379399353173639</v>
      </c>
      <c r="G534" s="306">
        <f t="shared" ca="1" si="243"/>
        <v>25.817986443467959</v>
      </c>
      <c r="H534" s="307">
        <f t="shared" ca="1" si="244"/>
        <v>-7.5713362066825978</v>
      </c>
      <c r="I534" s="304">
        <f t="shared" ca="1" si="245"/>
        <v>26.905270040453377</v>
      </c>
      <c r="J534" s="306">
        <f t="shared" ca="1" si="246"/>
        <v>500.75110823818181</v>
      </c>
      <c r="K534" s="307">
        <f t="shared" ca="1" si="247"/>
        <v>1317.3029383078526</v>
      </c>
      <c r="L534" s="304">
        <f t="shared" ca="1" si="232"/>
        <v>1409.2688542915682</v>
      </c>
      <c r="M534" s="306">
        <f t="shared" ca="1" si="248"/>
        <v>-0.28526023715712345</v>
      </c>
      <c r="N534" s="304">
        <f t="shared" ca="1" si="249"/>
        <v>-16.344207652004119</v>
      </c>
      <c r="P534" s="310">
        <f t="shared" ca="1" si="250"/>
        <v>23</v>
      </c>
      <c r="Q534" s="304">
        <f t="shared" ca="1" si="251"/>
        <v>0</v>
      </c>
      <c r="R534" s="306">
        <f t="shared" ca="1" si="252"/>
        <v>0</v>
      </c>
      <c r="S534" s="307">
        <f t="shared" ca="1" si="253"/>
        <v>8.1379999999999981</v>
      </c>
      <c r="T534" s="304">
        <f t="shared" ca="1" si="233"/>
        <v>79.83377999999999</v>
      </c>
      <c r="U534" s="311">
        <f t="shared" ca="1" si="234"/>
        <v>0</v>
      </c>
      <c r="V534" s="306">
        <f t="shared" ca="1" si="235"/>
        <v>1.0736022266421652</v>
      </c>
      <c r="W534" s="304">
        <f t="shared" ca="1" si="236"/>
        <v>2.5671529632095624</v>
      </c>
      <c r="Y534" s="314" t="str">
        <f t="shared" ca="1" si="254"/>
        <v/>
      </c>
      <c r="Z534" s="315" t="str">
        <f t="shared" ca="1" si="255"/>
        <v/>
      </c>
      <c r="AA534" s="316" t="str">
        <f t="shared" ca="1" si="256"/>
        <v/>
      </c>
      <c r="AC534" s="310">
        <f t="shared" ca="1" si="257"/>
        <v>16.999999999999929</v>
      </c>
      <c r="AD534" s="323">
        <f t="shared" ca="1" si="258"/>
        <v>500.75110823818181</v>
      </c>
      <c r="AE534" s="324" t="e">
        <f t="shared" ca="1" si="237"/>
        <v>#N/A</v>
      </c>
      <c r="AG534" s="306">
        <f t="shared" ca="1" si="259"/>
        <v>2.1162175510831904</v>
      </c>
      <c r="AH534" s="304">
        <f t="shared" ca="1" si="260"/>
        <v>-0.3100970492239899</v>
      </c>
    </row>
    <row r="535" spans="1:34" x14ac:dyDescent="0.2">
      <c r="A535" s="347">
        <f t="shared" ca="1" si="238"/>
        <v>0.1</v>
      </c>
      <c r="B535" s="304">
        <f t="shared" ca="1" si="239"/>
        <v>17.09999999999993</v>
      </c>
      <c r="D535" s="306">
        <f t="shared" ca="1" si="240"/>
        <v>-0.30270463743140447</v>
      </c>
      <c r="E535" s="307">
        <f t="shared" ca="1" si="241"/>
        <v>-9.721229383192469</v>
      </c>
      <c r="F535" s="304">
        <f t="shared" ca="1" si="242"/>
        <v>9.7259411276321792</v>
      </c>
      <c r="G535" s="306">
        <f t="shared" ca="1" si="243"/>
        <v>25.787715979724819</v>
      </c>
      <c r="H535" s="307">
        <f t="shared" ca="1" si="244"/>
        <v>-8.5434591450018438</v>
      </c>
      <c r="I535" s="304">
        <f t="shared" ca="1" si="245"/>
        <v>27.166100007422312</v>
      </c>
      <c r="J535" s="306">
        <f t="shared" ca="1" si="246"/>
        <v>503.33139335934146</v>
      </c>
      <c r="K535" s="307">
        <f t="shared" ca="1" si="247"/>
        <v>1316.4971985402683</v>
      </c>
      <c r="L535" s="304">
        <f t="shared" ca="1" si="232"/>
        <v>1409.4351227727477</v>
      </c>
      <c r="M535" s="306">
        <f t="shared" ca="1" si="248"/>
        <v>-0.31991904953184086</v>
      </c>
      <c r="N535" s="304">
        <f t="shared" ca="1" si="249"/>
        <v>-18.330011324011217</v>
      </c>
      <c r="P535" s="310">
        <f t="shared" ca="1" si="250"/>
        <v>23</v>
      </c>
      <c r="Q535" s="304">
        <f t="shared" ca="1" si="251"/>
        <v>0</v>
      </c>
      <c r="R535" s="306">
        <f t="shared" ca="1" si="252"/>
        <v>0</v>
      </c>
      <c r="S535" s="307">
        <f t="shared" ca="1" si="253"/>
        <v>8.1379999999999981</v>
      </c>
      <c r="T535" s="304">
        <f t="shared" ca="1" si="233"/>
        <v>79.83377999999999</v>
      </c>
      <c r="U535" s="311">
        <f t="shared" ca="1" si="234"/>
        <v>0</v>
      </c>
      <c r="V535" s="306">
        <f t="shared" ca="1" si="235"/>
        <v>1.073689111237069</v>
      </c>
      <c r="W535" s="304">
        <f t="shared" ca="1" si="236"/>
        <v>2.6173799526048422</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2.4451518857806791</v>
      </c>
      <c r="AH535" s="304">
        <f t="shared" ca="1" si="260"/>
        <v>-0.31545256367775409</v>
      </c>
    </row>
    <row r="536" spans="1:34" x14ac:dyDescent="0.2">
      <c r="A536" s="347">
        <f t="shared" ca="1" si="238"/>
        <v>0.1</v>
      </c>
      <c r="B536" s="304">
        <f t="shared" ca="1" si="239"/>
        <v>17.199999999999932</v>
      </c>
      <c r="D536" s="306">
        <f t="shared" ca="1" si="240"/>
        <v>-0.30530552902756575</v>
      </c>
      <c r="E536" s="307">
        <f t="shared" ca="1" si="241"/>
        <v>-9.7088524103475873</v>
      </c>
      <c r="F536" s="304">
        <f t="shared" ca="1" si="242"/>
        <v>9.7136515580891079</v>
      </c>
      <c r="G536" s="306">
        <f t="shared" ca="1" si="243"/>
        <v>25.757185426822062</v>
      </c>
      <c r="H536" s="307">
        <f t="shared" ca="1" si="244"/>
        <v>-9.514344386036603</v>
      </c>
      <c r="I536" s="304">
        <f t="shared" ca="1" si="245"/>
        <v>27.458247398692457</v>
      </c>
      <c r="J536" s="306">
        <f t="shared" ca="1" si="246"/>
        <v>505.90863842966883</v>
      </c>
      <c r="K536" s="307">
        <f t="shared" ca="1" si="247"/>
        <v>1315.5943083637164</v>
      </c>
      <c r="L536" s="304">
        <f t="shared" ca="1" si="232"/>
        <v>1409.5147869521506</v>
      </c>
      <c r="M536" s="306">
        <f t="shared" ca="1" si="248"/>
        <v>-0.35383976971820097</v>
      </c>
      <c r="N536" s="304">
        <f t="shared" ca="1" si="249"/>
        <v>-20.273525428733866</v>
      </c>
      <c r="P536" s="310">
        <f t="shared" ca="1" si="250"/>
        <v>23</v>
      </c>
      <c r="Q536" s="304">
        <f t="shared" ca="1" si="251"/>
        <v>0</v>
      </c>
      <c r="R536" s="306">
        <f t="shared" ca="1" si="252"/>
        <v>0</v>
      </c>
      <c r="S536" s="307">
        <f t="shared" ca="1" si="253"/>
        <v>8.1379999999999981</v>
      </c>
      <c r="T536" s="304">
        <f t="shared" ca="1" si="233"/>
        <v>79.83377999999999</v>
      </c>
      <c r="U536" s="311">
        <f t="shared" ca="1" si="234"/>
        <v>0</v>
      </c>
      <c r="V536" s="306">
        <f t="shared" ca="1" si="235"/>
        <v>1.073786479566915</v>
      </c>
      <c r="W536" s="304">
        <f t="shared" ca="1" si="236"/>
        <v>2.6742203623541947</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2.7635196668842092</v>
      </c>
      <c r="AH536" s="304">
        <f t="shared" ca="1" si="260"/>
        <v>-0.32162447193473126</v>
      </c>
    </row>
    <row r="537" spans="1:34" x14ac:dyDescent="0.2">
      <c r="A537" s="347">
        <f t="shared" ca="1" si="238"/>
        <v>0.1</v>
      </c>
      <c r="B537" s="304">
        <f t="shared" ca="1" si="239"/>
        <v>17.299999999999933</v>
      </c>
      <c r="D537" s="306">
        <f t="shared" ca="1" si="240"/>
        <v>-0.30825142759340879</v>
      </c>
      <c r="E537" s="307">
        <f t="shared" ca="1" si="241"/>
        <v>-9.6961362299097686</v>
      </c>
      <c r="F537" s="304">
        <f t="shared" ca="1" si="242"/>
        <v>9.7010348278718279</v>
      </c>
      <c r="G537" s="306">
        <f t="shared" ca="1" si="243"/>
        <v>25.726360284062721</v>
      </c>
      <c r="H537" s="307">
        <f t="shared" ca="1" si="244"/>
        <v>-10.48395800902758</v>
      </c>
      <c r="I537" s="304">
        <f t="shared" ca="1" si="245"/>
        <v>27.780550552508014</v>
      </c>
      <c r="J537" s="306">
        <f t="shared" ca="1" si="246"/>
        <v>508.48281571521306</v>
      </c>
      <c r="K537" s="307">
        <f t="shared" ca="1" si="247"/>
        <v>1314.5943932439632</v>
      </c>
      <c r="L537" s="304">
        <f t="shared" ca="1" si="232"/>
        <v>1409.5081385455478</v>
      </c>
      <c r="M537" s="306">
        <f t="shared" ca="1" si="248"/>
        <v>-0.38697066744129976</v>
      </c>
      <c r="N537" s="304">
        <f t="shared" ca="1" si="249"/>
        <v>-22.171786039747015</v>
      </c>
      <c r="P537" s="310">
        <f t="shared" ca="1" si="250"/>
        <v>23</v>
      </c>
      <c r="Q537" s="304">
        <f t="shared" ca="1" si="251"/>
        <v>0</v>
      </c>
      <c r="R537" s="306">
        <f t="shared" ca="1" si="252"/>
        <v>0</v>
      </c>
      <c r="S537" s="307">
        <f t="shared" ca="1" si="253"/>
        <v>8.1379999999999981</v>
      </c>
      <c r="T537" s="304">
        <f t="shared" ca="1" si="233"/>
        <v>79.83377999999999</v>
      </c>
      <c r="U537" s="311">
        <f t="shared" ca="1" si="234"/>
        <v>0</v>
      </c>
      <c r="V537" s="306">
        <f t="shared" ca="1" si="235"/>
        <v>1.0738943207632146</v>
      </c>
      <c r="W537" s="304">
        <f t="shared" ca="1" si="236"/>
        <v>2.7376433856988394</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3.0705779907386583</v>
      </c>
      <c r="AH537" s="304">
        <f t="shared" ca="1" si="260"/>
        <v>-0.32860903936522429</v>
      </c>
    </row>
    <row r="538" spans="1:34" x14ac:dyDescent="0.2">
      <c r="A538" s="347">
        <f t="shared" ca="1" si="238"/>
        <v>0.1</v>
      </c>
      <c r="B538" s="304">
        <f t="shared" ca="1" si="239"/>
        <v>17.399999999999935</v>
      </c>
      <c r="D538" s="306">
        <f t="shared" ca="1" si="240"/>
        <v>-0.31152771416494451</v>
      </c>
      <c r="E538" s="307">
        <f t="shared" ca="1" si="241"/>
        <v>-9.6830468112126642</v>
      </c>
      <c r="F538" s="304">
        <f t="shared" ca="1" si="242"/>
        <v>9.6880568260528168</v>
      </c>
      <c r="G538" s="306">
        <f t="shared" ca="1" si="243"/>
        <v>25.695207512646228</v>
      </c>
      <c r="H538" s="307">
        <f t="shared" ca="1" si="244"/>
        <v>-11.452262690148846</v>
      </c>
      <c r="I538" s="304">
        <f t="shared" ca="1" si="245"/>
        <v>28.131797131397889</v>
      </c>
      <c r="J538" s="306">
        <f t="shared" ca="1" si="246"/>
        <v>511.05389410504853</v>
      </c>
      <c r="K538" s="307">
        <f t="shared" ca="1" si="247"/>
        <v>1313.4975822090043</v>
      </c>
      <c r="L538" s="304">
        <f t="shared" ca="1" si="232"/>
        <v>1409.4154749926774</v>
      </c>
      <c r="M538" s="306">
        <f t="shared" ca="1" si="248"/>
        <v>-0.41926933019518525</v>
      </c>
      <c r="N538" s="304">
        <f t="shared" ca="1" si="249"/>
        <v>-24.022363099461042</v>
      </c>
      <c r="P538" s="310">
        <f t="shared" ca="1" si="250"/>
        <v>23</v>
      </c>
      <c r="Q538" s="304">
        <f t="shared" ca="1" si="251"/>
        <v>0</v>
      </c>
      <c r="R538" s="306">
        <f t="shared" ca="1" si="252"/>
        <v>0</v>
      </c>
      <c r="S538" s="307">
        <f t="shared" ca="1" si="253"/>
        <v>8.1379999999999981</v>
      </c>
      <c r="T538" s="304">
        <f t="shared" ca="1" si="233"/>
        <v>79.83377999999999</v>
      </c>
      <c r="U538" s="311">
        <f t="shared" ca="1" si="234"/>
        <v>0</v>
      </c>
      <c r="V538" s="306">
        <f t="shared" ca="1" si="235"/>
        <v>1.0740126238549286</v>
      </c>
      <c r="W538" s="304">
        <f t="shared" ca="1" si="236"/>
        <v>2.8076177053688745</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3.3657425823291605</v>
      </c>
      <c r="AH538" s="304">
        <f t="shared" ca="1" si="260"/>
        <v>-0.33640248042502335</v>
      </c>
    </row>
    <row r="539" spans="1:34" x14ac:dyDescent="0.2">
      <c r="A539" s="347">
        <f t="shared" ca="1" si="238"/>
        <v>0.1</v>
      </c>
      <c r="B539" s="304">
        <f t="shared" ca="1" si="239"/>
        <v>17.499999999999936</v>
      </c>
      <c r="D539" s="306">
        <f t="shared" ca="1" si="240"/>
        <v>-0.31511925383436129</v>
      </c>
      <c r="E539" s="307">
        <f t="shared" ca="1" si="241"/>
        <v>-9.6695524682235536</v>
      </c>
      <c r="F539" s="304">
        <f t="shared" ca="1" si="242"/>
        <v>9.6746857871387917</v>
      </c>
      <c r="G539" s="306">
        <f t="shared" ca="1" si="243"/>
        <v>25.66369558726279</v>
      </c>
      <c r="H539" s="307">
        <f t="shared" ca="1" si="244"/>
        <v>-12.419217936971201</v>
      </c>
      <c r="I539" s="304">
        <f t="shared" ca="1" si="245"/>
        <v>28.510739123384347</v>
      </c>
      <c r="J539" s="306">
        <f t="shared" ca="1" si="246"/>
        <v>513.621839260044</v>
      </c>
      <c r="K539" s="307">
        <f t="shared" ca="1" si="247"/>
        <v>1312.3040081776483</v>
      </c>
      <c r="L539" s="304">
        <f t="shared" ca="1" si="232"/>
        <v>1409.2370998678653</v>
      </c>
      <c r="M539" s="306">
        <f t="shared" ca="1" si="248"/>
        <v>-0.45070239315825167</v>
      </c>
      <c r="N539" s="304">
        <f t="shared" ca="1" si="249"/>
        <v>-25.82334494441373</v>
      </c>
      <c r="P539" s="310">
        <f t="shared" ca="1" si="250"/>
        <v>23</v>
      </c>
      <c r="Q539" s="304">
        <f t="shared" ca="1" si="251"/>
        <v>0</v>
      </c>
      <c r="R539" s="306">
        <f t="shared" ca="1" si="252"/>
        <v>0</v>
      </c>
      <c r="S539" s="307">
        <f t="shared" ca="1" si="253"/>
        <v>8.1379999999999981</v>
      </c>
      <c r="T539" s="304">
        <f t="shared" ca="1" si="233"/>
        <v>79.83377999999999</v>
      </c>
      <c r="U539" s="311">
        <f t="shared" ca="1" si="234"/>
        <v>0</v>
      </c>
      <c r="V539" s="306">
        <f t="shared" ca="1" si="235"/>
        <v>1.0741413777317754</v>
      </c>
      <c r="W539" s="304">
        <f t="shared" ca="1" si="236"/>
        <v>2.8841114044601999</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3.648583126927619</v>
      </c>
      <c r="AH539" s="304">
        <f t="shared" ca="1" si="260"/>
        <v>-0.3450009468381513</v>
      </c>
    </row>
    <row r="540" spans="1:34" x14ac:dyDescent="0.2">
      <c r="A540" s="347">
        <f t="shared" ca="1" si="238"/>
        <v>0.1</v>
      </c>
      <c r="B540" s="304">
        <f t="shared" ca="1" si="239"/>
        <v>17.599999999999937</v>
      </c>
      <c r="D540" s="306">
        <f t="shared" ca="1" si="240"/>
        <v>-0.31901056425773783</v>
      </c>
      <c r="E540" s="307">
        <f t="shared" ca="1" si="241"/>
        <v>-9.6556238810875197</v>
      </c>
      <c r="F540" s="304">
        <f t="shared" ca="1" si="242"/>
        <v>9.6608923124696755</v>
      </c>
      <c r="G540" s="306">
        <f t="shared" ca="1" si="243"/>
        <v>25.631794530837016</v>
      </c>
      <c r="H540" s="307">
        <f t="shared" ca="1" si="244"/>
        <v>-13.384780325079953</v>
      </c>
      <c r="I540" s="304">
        <f t="shared" ca="1" si="245"/>
        <v>28.916106847597824</v>
      </c>
      <c r="J540" s="306">
        <f t="shared" ca="1" si="246"/>
        <v>516.18661376594901</v>
      </c>
      <c r="K540" s="307">
        <f t="shared" ca="1" si="247"/>
        <v>1311.0138082645458</v>
      </c>
      <c r="L540" s="304">
        <f t="shared" ca="1" si="232"/>
        <v>1408.9733232717588</v>
      </c>
      <c r="M540" s="306">
        <f t="shared" ca="1" si="248"/>
        <v>-0.48124509340954885</v>
      </c>
      <c r="N540" s="304">
        <f t="shared" ca="1" si="249"/>
        <v>-27.57331276374622</v>
      </c>
      <c r="P540" s="310">
        <f t="shared" ca="1" si="250"/>
        <v>23</v>
      </c>
      <c r="Q540" s="304">
        <f t="shared" ca="1" si="251"/>
        <v>0</v>
      </c>
      <c r="R540" s="306">
        <f t="shared" ca="1" si="252"/>
        <v>0</v>
      </c>
      <c r="S540" s="307">
        <f t="shared" ca="1" si="253"/>
        <v>8.1379999999999981</v>
      </c>
      <c r="T540" s="304">
        <f t="shared" ca="1" si="233"/>
        <v>79.83377999999999</v>
      </c>
      <c r="U540" s="311">
        <f t="shared" ca="1" si="234"/>
        <v>0</v>
      </c>
      <c r="V540" s="306">
        <f t="shared" ca="1" si="235"/>
        <v>1.0742805711100187</v>
      </c>
      <c r="W540" s="304">
        <f t="shared" ca="1" si="236"/>
        <v>2.9670918844209759</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3.9188148298400005</v>
      </c>
      <c r="AH540" s="304">
        <f t="shared" ca="1" si="260"/>
        <v>-0.35440051664539207</v>
      </c>
    </row>
    <row r="541" spans="1:34" x14ac:dyDescent="0.2">
      <c r="A541" s="347">
        <f t="shared" ca="1" si="238"/>
        <v>0.1</v>
      </c>
      <c r="B541" s="304">
        <f t="shared" ca="1" si="239"/>
        <v>17.699999999999939</v>
      </c>
      <c r="D541" s="306">
        <f t="shared" ca="1" si="240"/>
        <v>-0.32318597241685859</v>
      </c>
      <c r="E541" s="307">
        <f t="shared" ca="1" si="241"/>
        <v>-9.6412340854736982</v>
      </c>
      <c r="F541" s="304">
        <f t="shared" ca="1" si="242"/>
        <v>9.6466493594235558</v>
      </c>
      <c r="G541" s="306">
        <f t="shared" ca="1" si="243"/>
        <v>25.599475933595329</v>
      </c>
      <c r="H541" s="307">
        <f t="shared" ca="1" si="244"/>
        <v>-14.348903733627322</v>
      </c>
      <c r="I541" s="304">
        <f t="shared" ca="1" si="245"/>
        <v>29.346621720934603</v>
      </c>
      <c r="J541" s="306">
        <f t="shared" ca="1" si="246"/>
        <v>518.7481772891706</v>
      </c>
      <c r="K541" s="307">
        <f t="shared" ca="1" si="247"/>
        <v>1309.6271240616104</v>
      </c>
      <c r="L541" s="304">
        <f t="shared" ca="1" si="232"/>
        <v>1408.6244622037207</v>
      </c>
      <c r="M541" s="306">
        <f t="shared" ca="1" si="248"/>
        <v>-0.51088068892357696</v>
      </c>
      <c r="N541" s="304">
        <f t="shared" ca="1" si="249"/>
        <v>-29.271307310056866</v>
      </c>
      <c r="P541" s="310">
        <f t="shared" ca="1" si="250"/>
        <v>23</v>
      </c>
      <c r="Q541" s="304">
        <f t="shared" ca="1" si="251"/>
        <v>0</v>
      </c>
      <c r="R541" s="306">
        <f t="shared" ca="1" si="252"/>
        <v>0</v>
      </c>
      <c r="S541" s="307">
        <f t="shared" ca="1" si="253"/>
        <v>8.1379999999999981</v>
      </c>
      <c r="T541" s="304">
        <f t="shared" ca="1" si="233"/>
        <v>79.83377999999999</v>
      </c>
      <c r="U541" s="311">
        <f t="shared" ca="1" si="234"/>
        <v>0</v>
      </c>
      <c r="V541" s="306">
        <f t="shared" ca="1" si="235"/>
        <v>1.0744301925007409</v>
      </c>
      <c r="W541" s="304">
        <f t="shared" ca="1" si="236"/>
        <v>3.0565257901199976</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4.1762870946969501</v>
      </c>
      <c r="AH541" s="304">
        <f t="shared" ca="1" si="260"/>
        <v>-0.36459718412644099</v>
      </c>
    </row>
    <row r="542" spans="1:34" x14ac:dyDescent="0.2">
      <c r="A542" s="347">
        <f t="shared" ca="1" si="238"/>
        <v>0.1</v>
      </c>
      <c r="B542" s="304">
        <f t="shared" ca="1" si="239"/>
        <v>17.79999999999994</v>
      </c>
      <c r="D542" s="306">
        <f t="shared" ca="1" si="240"/>
        <v>-0.32762975698334684</v>
      </c>
      <c r="E542" s="307">
        <f t="shared" ca="1" si="241"/>
        <v>-9.6263584342343407</v>
      </c>
      <c r="F542" s="304">
        <f t="shared" ca="1" si="242"/>
        <v>9.631932202939117</v>
      </c>
      <c r="G542" s="306">
        <f t="shared" ca="1" si="243"/>
        <v>25.566712957896993</v>
      </c>
      <c r="H542" s="307">
        <f t="shared" ca="1" si="244"/>
        <v>-15.311539577050757</v>
      </c>
      <c r="I542" s="304">
        <f t="shared" ca="1" si="245"/>
        <v>29.801007628788152</v>
      </c>
      <c r="J542" s="306">
        <f t="shared" ca="1" si="246"/>
        <v>521.30648673374526</v>
      </c>
      <c r="K542" s="307">
        <f t="shared" ca="1" si="247"/>
        <v>1308.1441018960766</v>
      </c>
      <c r="L542" s="304">
        <f t="shared" ca="1" si="232"/>
        <v>1408.1908409147438</v>
      </c>
      <c r="M542" s="306">
        <f t="shared" ca="1" si="248"/>
        <v>-0.53959978199047431</v>
      </c>
      <c r="N542" s="304">
        <f t="shared" ca="1" si="249"/>
        <v>-30.916790134233505</v>
      </c>
      <c r="P542" s="310">
        <f t="shared" ca="1" si="250"/>
        <v>23</v>
      </c>
      <c r="Q542" s="304">
        <f t="shared" ca="1" si="251"/>
        <v>0</v>
      </c>
      <c r="R542" s="306">
        <f t="shared" ca="1" si="252"/>
        <v>0</v>
      </c>
      <c r="S542" s="307">
        <f t="shared" ca="1" si="253"/>
        <v>8.1379999999999981</v>
      </c>
      <c r="T542" s="304">
        <f t="shared" ca="1" si="233"/>
        <v>79.83377999999999</v>
      </c>
      <c r="U542" s="311">
        <f t="shared" ca="1" si="234"/>
        <v>0</v>
      </c>
      <c r="V542" s="306">
        <f t="shared" ca="1" si="235"/>
        <v>1.0745902301805723</v>
      </c>
      <c r="W542" s="304">
        <f t="shared" ca="1" si="236"/>
        <v>3.1523789418898094</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4.4209702102318609</v>
      </c>
      <c r="AH542" s="304">
        <f t="shared" ca="1" si="260"/>
        <v>-0.37558685059228292</v>
      </c>
    </row>
    <row r="543" spans="1:34" x14ac:dyDescent="0.2">
      <c r="A543" s="347">
        <f t="shared" ca="1" si="238"/>
        <v>0.1</v>
      </c>
      <c r="B543" s="304">
        <f t="shared" ca="1" si="239"/>
        <v>17.899999999999942</v>
      </c>
      <c r="D543" s="306">
        <f t="shared" ca="1" si="240"/>
        <v>-0.3323262746101025</v>
      </c>
      <c r="E543" s="307">
        <f t="shared" ca="1" si="241"/>
        <v>-9.6109745361257044</v>
      </c>
      <c r="F543" s="304">
        <f t="shared" ca="1" si="242"/>
        <v>9.6167183741052185</v>
      </c>
      <c r="G543" s="306">
        <f t="shared" ca="1" si="243"/>
        <v>25.533480330435982</v>
      </c>
      <c r="H543" s="307">
        <f t="shared" ca="1" si="244"/>
        <v>-16.272637030663329</v>
      </c>
      <c r="I543" s="304">
        <f t="shared" ca="1" si="245"/>
        <v>30.278000820999999</v>
      </c>
      <c r="J543" s="306">
        <f t="shared" ca="1" si="246"/>
        <v>523.86149639816188</v>
      </c>
      <c r="K543" s="307">
        <f t="shared" ca="1" si="247"/>
        <v>1306.564893065691</v>
      </c>
      <c r="L543" s="304">
        <f t="shared" ca="1" si="232"/>
        <v>1407.672791241019</v>
      </c>
      <c r="M543" s="306">
        <f t="shared" ca="1" si="248"/>
        <v>-0.56739958372261823</v>
      </c>
      <c r="N543" s="304">
        <f t="shared" ca="1" si="249"/>
        <v>-32.509601444785829</v>
      </c>
      <c r="P543" s="310">
        <f t="shared" ca="1" si="250"/>
        <v>23</v>
      </c>
      <c r="Q543" s="304">
        <f t="shared" ca="1" si="251"/>
        <v>0</v>
      </c>
      <c r="R543" s="306">
        <f t="shared" ca="1" si="252"/>
        <v>0</v>
      </c>
      <c r="S543" s="307">
        <f t="shared" ca="1" si="253"/>
        <v>8.1379999999999981</v>
      </c>
      <c r="T543" s="304">
        <f t="shared" ca="1" si="233"/>
        <v>79.83377999999999</v>
      </c>
      <c r="U543" s="311">
        <f t="shared" ca="1" si="234"/>
        <v>0</v>
      </c>
      <c r="V543" s="306">
        <f t="shared" ca="1" si="235"/>
        <v>1.0747606721648151</v>
      </c>
      <c r="W543" s="304">
        <f t="shared" ca="1" si="236"/>
        <v>3.2546162743706386</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4.6529408750139867</v>
      </c>
      <c r="AH543" s="304">
        <f t="shared" ca="1" si="260"/>
        <v>-0.38736531603462893</v>
      </c>
    </row>
    <row r="544" spans="1:34" x14ac:dyDescent="0.2">
      <c r="A544" s="347">
        <f t="shared" ca="1" si="238"/>
        <v>0.1</v>
      </c>
      <c r="B544" s="304">
        <f t="shared" ca="1" si="239"/>
        <v>17.999999999999943</v>
      </c>
      <c r="D544" s="306">
        <f t="shared" ca="1" si="240"/>
        <v>-0.33726006935316794</v>
      </c>
      <c r="E544" s="307">
        <f t="shared" ca="1" si="241"/>
        <v>-9.5950621763074508</v>
      </c>
      <c r="F544" s="304">
        <f t="shared" ca="1" si="242"/>
        <v>9.6009875805349303</v>
      </c>
      <c r="G544" s="306">
        <f t="shared" ca="1" si="243"/>
        <v>25.499754323500664</v>
      </c>
      <c r="H544" s="307">
        <f t="shared" ca="1" si="244"/>
        <v>-17.232143248294076</v>
      </c>
      <c r="I544" s="304">
        <f t="shared" ca="1" si="245"/>
        <v>30.77635832077307</v>
      </c>
      <c r="J544" s="306">
        <f t="shared" ca="1" si="246"/>
        <v>526.41315813085873</v>
      </c>
      <c r="K544" s="307">
        <f t="shared" ca="1" si="247"/>
        <v>1304.889654051743</v>
      </c>
      <c r="L544" s="304">
        <f t="shared" ca="1" si="232"/>
        <v>1407.0706529185313</v>
      </c>
      <c r="M544" s="306">
        <f t="shared" ca="1" si="248"/>
        <v>-0.59428315186984226</v>
      </c>
      <c r="N544" s="304">
        <f t="shared" ca="1" si="249"/>
        <v>-34.049916437874096</v>
      </c>
      <c r="P544" s="310">
        <f t="shared" ca="1" si="250"/>
        <v>23</v>
      </c>
      <c r="Q544" s="304">
        <f t="shared" ca="1" si="251"/>
        <v>0</v>
      </c>
      <c r="R544" s="306">
        <f t="shared" ca="1" si="252"/>
        <v>0</v>
      </c>
      <c r="S544" s="307">
        <f t="shared" ca="1" si="253"/>
        <v>8.1379999999999981</v>
      </c>
      <c r="T544" s="304">
        <f t="shared" ca="1" si="233"/>
        <v>79.83377999999999</v>
      </c>
      <c r="U544" s="311">
        <f t="shared" ca="1" si="234"/>
        <v>0</v>
      </c>
      <c r="V544" s="306">
        <f t="shared" ca="1" si="235"/>
        <v>1.0749415061828884</v>
      </c>
      <c r="W544" s="304">
        <f t="shared" ca="1" si="236"/>
        <v>3.3632017819275184</v>
      </c>
      <c r="Y544" s="314" t="str">
        <f t="shared" ca="1" si="254"/>
        <v/>
      </c>
      <c r="Z544" s="315" t="str">
        <f t="shared" ca="1" si="255"/>
        <v/>
      </c>
      <c r="AA544" s="316" t="str">
        <f t="shared" ca="1" si="256"/>
        <v/>
      </c>
      <c r="AC544" s="310">
        <f t="shared" ca="1" si="257"/>
        <v>17.999999999999943</v>
      </c>
      <c r="AD544" s="323">
        <f t="shared" ca="1" si="258"/>
        <v>526.41315813085873</v>
      </c>
      <c r="AE544" s="324" t="e">
        <f t="shared" ca="1" si="237"/>
        <v>#N/A</v>
      </c>
      <c r="AG544" s="306">
        <f t="shared" ca="1" si="259"/>
        <v>4.8723672876152184</v>
      </c>
      <c r="AH544" s="304">
        <f t="shared" ca="1" si="260"/>
        <v>-0.3999282716110395</v>
      </c>
    </row>
    <row r="545" spans="1:34" x14ac:dyDescent="0.2">
      <c r="A545" s="347">
        <f t="shared" ca="1" si="238"/>
        <v>0.1</v>
      </c>
      <c r="B545" s="304">
        <f t="shared" ca="1" si="239"/>
        <v>18.099999999999945</v>
      </c>
      <c r="D545" s="306">
        <f t="shared" ca="1" si="240"/>
        <v>-0.34241596517140277</v>
      </c>
      <c r="E545" s="307">
        <f t="shared" ca="1" si="241"/>
        <v>-9.5786032230946443</v>
      </c>
      <c r="F545" s="304">
        <f t="shared" ca="1" si="242"/>
        <v>9.5847216129986457</v>
      </c>
      <c r="G545" s="306">
        <f t="shared" ca="1" si="243"/>
        <v>25.465512726983523</v>
      </c>
      <c r="H545" s="307">
        <f t="shared" ca="1" si="244"/>
        <v>-18.19000357060354</v>
      </c>
      <c r="I545" s="304">
        <f t="shared" ca="1" si="245"/>
        <v>31.294864887817127</v>
      </c>
      <c r="J545" s="306">
        <f t="shared" ca="1" si="246"/>
        <v>528.96142148338299</v>
      </c>
      <c r="K545" s="307">
        <f t="shared" ca="1" si="247"/>
        <v>1303.1185467107982</v>
      </c>
      <c r="L545" s="304">
        <f t="shared" ca="1" si="232"/>
        <v>1406.3847738792481</v>
      </c>
      <c r="M545" s="306">
        <f t="shared" ca="1" si="248"/>
        <v>-0.620258628927154</v>
      </c>
      <c r="N545" s="304">
        <f t="shared" ca="1" si="249"/>
        <v>-35.538201644096958</v>
      </c>
      <c r="P545" s="310">
        <f t="shared" ca="1" si="250"/>
        <v>23</v>
      </c>
      <c r="Q545" s="304">
        <f t="shared" ca="1" si="251"/>
        <v>0</v>
      </c>
      <c r="R545" s="306">
        <f t="shared" ca="1" si="252"/>
        <v>0</v>
      </c>
      <c r="S545" s="307">
        <f t="shared" ca="1" si="253"/>
        <v>8.1379999999999981</v>
      </c>
      <c r="T545" s="304">
        <f t="shared" ca="1" si="233"/>
        <v>79.83377999999999</v>
      </c>
      <c r="U545" s="311">
        <f t="shared" ca="1" si="234"/>
        <v>0</v>
      </c>
      <c r="V545" s="306">
        <f t="shared" ca="1" si="235"/>
        <v>1.0751327196559963</v>
      </c>
      <c r="W545" s="304">
        <f t="shared" ca="1" si="236"/>
        <v>3.4780984703717825</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5.0794944041545831</v>
      </c>
      <c r="AH545" s="304">
        <f t="shared" ca="1" si="260"/>
        <v>-0.41327129293776349</v>
      </c>
    </row>
    <row r="546" spans="1:34" x14ac:dyDescent="0.2">
      <c r="A546" s="347">
        <f t="shared" ca="1" si="238"/>
        <v>0.1</v>
      </c>
      <c r="B546" s="304">
        <f t="shared" ca="1" si="239"/>
        <v>18.199999999999946</v>
      </c>
      <c r="D546" s="306">
        <f t="shared" ca="1" si="240"/>
        <v>-0.34777914204550647</v>
      </c>
      <c r="E546" s="307">
        <f t="shared" ca="1" si="241"/>
        <v>-9.5615815250448115</v>
      </c>
      <c r="F546" s="304">
        <f t="shared" ca="1" si="242"/>
        <v>9.5679042423991767</v>
      </c>
      <c r="G546" s="306">
        <f t="shared" ca="1" si="243"/>
        <v>25.430734812778972</v>
      </c>
      <c r="H546" s="307">
        <f t="shared" ca="1" si="244"/>
        <v>-19.146161723108023</v>
      </c>
      <c r="I546" s="304">
        <f t="shared" ca="1" si="245"/>
        <v>31.832338617281877</v>
      </c>
      <c r="J546" s="306">
        <f t="shared" ca="1" si="246"/>
        <v>531.50623386037114</v>
      </c>
      <c r="K546" s="307">
        <f t="shared" ca="1" si="247"/>
        <v>1301.2517384461125</v>
      </c>
      <c r="L546" s="304">
        <f t="shared" ca="1" si="232"/>
        <v>1405.6155105296275</v>
      </c>
      <c r="M546" s="306">
        <f t="shared" ca="1" si="248"/>
        <v>-0.64533850203139709</v>
      </c>
      <c r="N546" s="304">
        <f t="shared" ca="1" si="249"/>
        <v>-36.975172523693757</v>
      </c>
      <c r="P546" s="310">
        <f t="shared" ca="1" si="250"/>
        <v>23</v>
      </c>
      <c r="Q546" s="304">
        <f t="shared" ca="1" si="251"/>
        <v>0</v>
      </c>
      <c r="R546" s="306">
        <f t="shared" ca="1" si="252"/>
        <v>0</v>
      </c>
      <c r="S546" s="307">
        <f t="shared" ca="1" si="253"/>
        <v>8.1379999999999981</v>
      </c>
      <c r="T546" s="304">
        <f t="shared" ca="1" si="233"/>
        <v>79.83377999999999</v>
      </c>
      <c r="U546" s="311">
        <f t="shared" ca="1" si="234"/>
        <v>0</v>
      </c>
      <c r="V546" s="306">
        <f t="shared" ca="1" si="235"/>
        <v>1.07533429967691</v>
      </c>
      <c r="W546" s="304">
        <f t="shared" ca="1" si="236"/>
        <v>3.5992683146885156</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5.2746298316022724</v>
      </c>
      <c r="AH546" s="304">
        <f t="shared" ca="1" si="260"/>
        <v>-0.42738983415726017</v>
      </c>
    </row>
    <row r="547" spans="1:34" x14ac:dyDescent="0.2">
      <c r="A547" s="347">
        <f t="shared" ca="1" si="238"/>
        <v>0.1</v>
      </c>
      <c r="B547" s="304">
        <f t="shared" ca="1" si="239"/>
        <v>18.299999999999947</v>
      </c>
      <c r="D547" s="306">
        <f t="shared" ca="1" si="240"/>
        <v>-0.35333519670124497</v>
      </c>
      <c r="E547" s="307">
        <f t="shared" ca="1" si="241"/>
        <v>-9.5439828019790927</v>
      </c>
      <c r="F547" s="304">
        <f t="shared" ca="1" si="242"/>
        <v>9.5505211106881802</v>
      </c>
      <c r="G547" s="306">
        <f t="shared" ca="1" si="243"/>
        <v>25.395401293108847</v>
      </c>
      <c r="H547" s="307">
        <f t="shared" ca="1" si="244"/>
        <v>-20.100560003305933</v>
      </c>
      <c r="I547" s="304">
        <f t="shared" ca="1" si="245"/>
        <v>32.387635283924894</v>
      </c>
      <c r="J547" s="306">
        <f t="shared" ca="1" si="246"/>
        <v>534.04754066566557</v>
      </c>
      <c r="K547" s="307">
        <f t="shared" ca="1" si="247"/>
        <v>1299.2894023597919</v>
      </c>
      <c r="L547" s="304">
        <f t="shared" ca="1" si="232"/>
        <v>1404.7632280122907</v>
      </c>
      <c r="M547" s="306">
        <f t="shared" ca="1" si="248"/>
        <v>-0.66953890082867218</v>
      </c>
      <c r="N547" s="304">
        <f t="shared" ca="1" si="249"/>
        <v>-38.361753237311092</v>
      </c>
      <c r="P547" s="310">
        <f t="shared" ca="1" si="250"/>
        <v>23</v>
      </c>
      <c r="Q547" s="304">
        <f t="shared" ca="1" si="251"/>
        <v>0</v>
      </c>
      <c r="R547" s="306">
        <f t="shared" ca="1" si="252"/>
        <v>0</v>
      </c>
      <c r="S547" s="307">
        <f t="shared" ca="1" si="253"/>
        <v>8.1379999999999981</v>
      </c>
      <c r="T547" s="304">
        <f t="shared" ca="1" si="233"/>
        <v>79.83377999999999</v>
      </c>
      <c r="U547" s="311">
        <f t="shared" ca="1" si="234"/>
        <v>0</v>
      </c>
      <c r="V547" s="306">
        <f t="shared" ca="1" si="235"/>
        <v>1.0755462329917538</v>
      </c>
      <c r="W547" s="304">
        <f t="shared" ca="1" si="236"/>
        <v>3.7266722224523101</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5.4581306956692188</v>
      </c>
      <c r="AH547" s="304">
        <f t="shared" ca="1" si="260"/>
        <v>-0.4422792227437351</v>
      </c>
    </row>
    <row r="548" spans="1:34" x14ac:dyDescent="0.2">
      <c r="A548" s="347">
        <f t="shared" ca="1" si="238"/>
        <v>0.1</v>
      </c>
      <c r="B548" s="304">
        <f t="shared" ca="1" si="239"/>
        <v>18.399999999999949</v>
      </c>
      <c r="D548" s="306">
        <f t="shared" ca="1" si="240"/>
        <v>-0.35907018922474077</v>
      </c>
      <c r="E548" s="307">
        <f t="shared" ca="1" si="241"/>
        <v>-9.525794533009849</v>
      </c>
      <c r="F548" s="304">
        <f t="shared" ca="1" si="242"/>
        <v>9.5325596187965296</v>
      </c>
      <c r="G548" s="306">
        <f t="shared" ca="1" si="243"/>
        <v>25.359494274186375</v>
      </c>
      <c r="H548" s="307">
        <f t="shared" ca="1" si="244"/>
        <v>-21.053139456606917</v>
      </c>
      <c r="I548" s="304">
        <f t="shared" ca="1" si="245"/>
        <v>32.959651557955382</v>
      </c>
      <c r="J548" s="306">
        <f t="shared" ca="1" si="246"/>
        <v>536.58528544403032</v>
      </c>
      <c r="K548" s="307">
        <f t="shared" ca="1" si="247"/>
        <v>1297.2317173867962</v>
      </c>
      <c r="L548" s="304">
        <f t="shared" ca="1" si="232"/>
        <v>1403.8283004517853</v>
      </c>
      <c r="M548" s="306">
        <f t="shared" ca="1" si="248"/>
        <v>-0.69287894464336974</v>
      </c>
      <c r="N548" s="304">
        <f t="shared" ca="1" si="249"/>
        <v>-39.699039241543687</v>
      </c>
      <c r="P548" s="310">
        <f t="shared" ca="1" si="250"/>
        <v>23</v>
      </c>
      <c r="Q548" s="304">
        <f t="shared" ca="1" si="251"/>
        <v>0</v>
      </c>
      <c r="R548" s="306">
        <f t="shared" ca="1" si="252"/>
        <v>0</v>
      </c>
      <c r="S548" s="307">
        <f t="shared" ca="1" si="253"/>
        <v>8.1379999999999981</v>
      </c>
      <c r="T548" s="304">
        <f t="shared" ca="1" si="233"/>
        <v>79.83377999999999</v>
      </c>
      <c r="U548" s="311">
        <f t="shared" ca="1" si="234"/>
        <v>0</v>
      </c>
      <c r="V548" s="306">
        <f t="shared" ca="1" si="235"/>
        <v>1.0757685059836679</v>
      </c>
      <c r="W548" s="304">
        <f t="shared" ca="1" si="236"/>
        <v>3.8602700026033361</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5.6303917048455343</v>
      </c>
      <c r="AH548" s="304">
        <f t="shared" ca="1" si="260"/>
        <v>-0.45793465500765679</v>
      </c>
    </row>
    <row r="549" spans="1:34" x14ac:dyDescent="0.2">
      <c r="A549" s="347">
        <f t="shared" ca="1" si="238"/>
        <v>0.1</v>
      </c>
      <c r="B549" s="304">
        <f t="shared" ca="1" si="239"/>
        <v>18.49999999999995</v>
      </c>
      <c r="D549" s="306">
        <f t="shared" ca="1" si="240"/>
        <v>-0.36497067703802372</v>
      </c>
      <c r="E549" s="307">
        <f t="shared" ca="1" si="241"/>
        <v>-9.5070058441159411</v>
      </c>
      <c r="F549" s="304">
        <f t="shared" ca="1" si="242"/>
        <v>9.5140088141199577</v>
      </c>
      <c r="G549" s="306">
        <f t="shared" ca="1" si="243"/>
        <v>25.322997206482572</v>
      </c>
      <c r="H549" s="307">
        <f t="shared" ca="1" si="244"/>
        <v>-22.003840041018513</v>
      </c>
      <c r="I549" s="304">
        <f t="shared" ca="1" si="245"/>
        <v>33.547327226923066</v>
      </c>
      <c r="J549" s="306">
        <f t="shared" ca="1" si="246"/>
        <v>539.11941001806372</v>
      </c>
      <c r="K549" s="307">
        <f t="shared" ca="1" si="247"/>
        <v>1295.078868411915</v>
      </c>
      <c r="L549" s="304">
        <f t="shared" ca="1" si="232"/>
        <v>1402.8111111854337</v>
      </c>
      <c r="M549" s="306">
        <f t="shared" ca="1" si="248"/>
        <v>-0.71538014606502343</v>
      </c>
      <c r="N549" s="304">
        <f t="shared" ca="1" si="249"/>
        <v>-40.98826311697821</v>
      </c>
      <c r="P549" s="310">
        <f t="shared" ca="1" si="250"/>
        <v>23</v>
      </c>
      <c r="Q549" s="304">
        <f t="shared" ca="1" si="251"/>
        <v>0</v>
      </c>
      <c r="R549" s="306">
        <f t="shared" ca="1" si="252"/>
        <v>0</v>
      </c>
      <c r="S549" s="307">
        <f t="shared" ca="1" si="253"/>
        <v>8.1379999999999981</v>
      </c>
      <c r="T549" s="304">
        <f t="shared" ca="1" si="233"/>
        <v>79.83377999999999</v>
      </c>
      <c r="U549" s="311">
        <f t="shared" ca="1" si="234"/>
        <v>0</v>
      </c>
      <c r="V549" s="306">
        <f t="shared" ca="1" si="235"/>
        <v>1.0760011046582325</v>
      </c>
      <c r="W549" s="304">
        <f t="shared" ca="1" si="236"/>
        <v>4.000020339252873</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5.7918345320092417</v>
      </c>
      <c r="AH549" s="304">
        <f t="shared" ca="1" si="260"/>
        <v>-0.47435119225895023</v>
      </c>
    </row>
    <row r="550" spans="1:34" x14ac:dyDescent="0.2">
      <c r="A550" s="347">
        <f t="shared" ca="1" si="238"/>
        <v>0.1</v>
      </c>
      <c r="B550" s="304">
        <f t="shared" ca="1" si="239"/>
        <v>18.599999999999952</v>
      </c>
      <c r="D550" s="306">
        <f t="shared" ca="1" si="240"/>
        <v>-0.37102373778191866</v>
      </c>
      <c r="E550" s="307">
        <f t="shared" ca="1" si="241"/>
        <v>-9.4876073972995503</v>
      </c>
      <c r="F550" s="304">
        <f t="shared" ca="1" si="242"/>
        <v>9.4948592795939231</v>
      </c>
      <c r="G550" s="306">
        <f t="shared" ca="1" si="243"/>
        <v>25.285894832704379</v>
      </c>
      <c r="H550" s="307">
        <f t="shared" ca="1" si="244"/>
        <v>-22.952600780748469</v>
      </c>
      <c r="I550" s="304">
        <f t="shared" ca="1" si="245"/>
        <v>34.14964655880059</v>
      </c>
      <c r="J550" s="306">
        <f t="shared" ca="1" si="246"/>
        <v>541.64985462002312</v>
      </c>
      <c r="K550" s="307">
        <f t="shared" ca="1" si="247"/>
        <v>1292.8310463708267</v>
      </c>
      <c r="L550" s="304">
        <f t="shared" ca="1" si="232"/>
        <v>1401.7120529802755</v>
      </c>
      <c r="M550" s="306">
        <f t="shared" ca="1" si="248"/>
        <v>-0.73706587456662209</v>
      </c>
      <c r="N550" s="304">
        <f t="shared" ca="1" si="249"/>
        <v>-42.230763835786369</v>
      </c>
      <c r="P550" s="310">
        <f t="shared" ca="1" si="250"/>
        <v>23</v>
      </c>
      <c r="Q550" s="304">
        <f t="shared" ca="1" si="251"/>
        <v>0</v>
      </c>
      <c r="R550" s="306">
        <f t="shared" ca="1" si="252"/>
        <v>0</v>
      </c>
      <c r="S550" s="307">
        <f t="shared" ca="1" si="253"/>
        <v>8.1379999999999981</v>
      </c>
      <c r="T550" s="304">
        <f t="shared" ca="1" si="233"/>
        <v>79.83377999999999</v>
      </c>
      <c r="U550" s="311">
        <f t="shared" ca="1" si="234"/>
        <v>0</v>
      </c>
      <c r="V550" s="306">
        <f t="shared" ca="1" si="235"/>
        <v>1.0762440146305308</v>
      </c>
      <c r="W550" s="304">
        <f t="shared" ca="1" si="236"/>
        <v>4.1458807701906384</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5.9428985539799424</v>
      </c>
      <c r="AH550" s="304">
        <f t="shared" ca="1" si="260"/>
        <v>-0.4915237575882126</v>
      </c>
    </row>
    <row r="551" spans="1:34" x14ac:dyDescent="0.2">
      <c r="A551" s="347">
        <f t="shared" ca="1" si="238"/>
        <v>0.1</v>
      </c>
      <c r="B551" s="304">
        <f t="shared" ca="1" si="239"/>
        <v>18.699999999999953</v>
      </c>
      <c r="D551" s="306">
        <f t="shared" ca="1" si="240"/>
        <v>-0.37721698265271564</v>
      </c>
      <c r="E551" s="307">
        <f t="shared" ca="1" si="241"/>
        <v>-9.467591282893892</v>
      </c>
      <c r="F551" s="304">
        <f t="shared" ca="1" si="242"/>
        <v>9.4751030259269484</v>
      </c>
      <c r="G551" s="306">
        <f t="shared" ca="1" si="243"/>
        <v>25.248173134439106</v>
      </c>
      <c r="H551" s="307">
        <f t="shared" ca="1" si="244"/>
        <v>-23.899359909037859</v>
      </c>
      <c r="I551" s="304">
        <f t="shared" ca="1" si="245"/>
        <v>34.765638936863198</v>
      </c>
      <c r="J551" s="306">
        <f t="shared" ca="1" si="246"/>
        <v>544.17655801838032</v>
      </c>
      <c r="K551" s="307">
        <f t="shared" ca="1" si="247"/>
        <v>1290.4884483363373</v>
      </c>
      <c r="L551" s="304">
        <f t="shared" ca="1" si="232"/>
        <v>1400.53152823714</v>
      </c>
      <c r="M551" s="306">
        <f t="shared" ca="1" si="248"/>
        <v>-0.75796088098057035</v>
      </c>
      <c r="N551" s="304">
        <f t="shared" ca="1" si="249"/>
        <v>-43.427959516204389</v>
      </c>
      <c r="P551" s="310">
        <f t="shared" ca="1" si="250"/>
        <v>23</v>
      </c>
      <c r="Q551" s="304">
        <f t="shared" ca="1" si="251"/>
        <v>0</v>
      </c>
      <c r="R551" s="306">
        <f t="shared" ca="1" si="252"/>
        <v>0</v>
      </c>
      <c r="S551" s="307">
        <f t="shared" ca="1" si="253"/>
        <v>8.1379999999999981</v>
      </c>
      <c r="T551" s="304">
        <f t="shared" ca="1" si="233"/>
        <v>79.83377999999999</v>
      </c>
      <c r="U551" s="311">
        <f t="shared" ca="1" si="234"/>
        <v>0</v>
      </c>
      <c r="V551" s="306">
        <f t="shared" ca="1" si="235"/>
        <v>1.0764972211137276</v>
      </c>
      <c r="W551" s="304">
        <f t="shared" ca="1" si="236"/>
        <v>4.2978076697740653</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6.0840329272909557</v>
      </c>
      <c r="AH551" s="304">
        <f t="shared" ca="1" si="260"/>
        <v>-0.5094471332256868</v>
      </c>
    </row>
    <row r="552" spans="1:34" x14ac:dyDescent="0.2">
      <c r="A552" s="347">
        <f t="shared" ca="1" si="238"/>
        <v>0.1</v>
      </c>
      <c r="B552" s="304">
        <f t="shared" ca="1" si="239"/>
        <v>18.799999999999955</v>
      </c>
      <c r="D552" s="306">
        <f t="shared" ca="1" si="240"/>
        <v>-0.38353856167970074</v>
      </c>
      <c r="E552" s="307">
        <f t="shared" ca="1" si="241"/>
        <v>-9.4469509161803558</v>
      </c>
      <c r="F552" s="304">
        <f t="shared" ca="1" si="242"/>
        <v>9.4547333881509417</v>
      </c>
      <c r="G552" s="306">
        <f t="shared" ca="1" si="243"/>
        <v>25.209819278271137</v>
      </c>
      <c r="H552" s="307">
        <f t="shared" ca="1" si="244"/>
        <v>-24.844055000655896</v>
      </c>
      <c r="I552" s="304">
        <f t="shared" ca="1" si="245"/>
        <v>35.394378888726195</v>
      </c>
      <c r="J552" s="306">
        <f t="shared" ca="1" si="246"/>
        <v>546.6994576390158</v>
      </c>
      <c r="K552" s="307">
        <f t="shared" ca="1" si="247"/>
        <v>1288.0512775908526</v>
      </c>
      <c r="L552" s="304">
        <f t="shared" ca="1" si="232"/>
        <v>1399.2699491828664</v>
      </c>
      <c r="M552" s="306">
        <f t="shared" ca="1" si="248"/>
        <v>-0.77809088153965389</v>
      </c>
      <c r="N552" s="304">
        <f t="shared" ca="1" si="249"/>
        <v>-44.581323589835868</v>
      </c>
      <c r="P552" s="310">
        <f t="shared" ca="1" si="250"/>
        <v>23</v>
      </c>
      <c r="Q552" s="304">
        <f t="shared" ca="1" si="251"/>
        <v>0</v>
      </c>
      <c r="R552" s="306">
        <f t="shared" ca="1" si="252"/>
        <v>0</v>
      </c>
      <c r="S552" s="307">
        <f t="shared" ca="1" si="253"/>
        <v>8.1379999999999981</v>
      </c>
      <c r="T552" s="304">
        <f t="shared" ca="1" si="233"/>
        <v>79.83377999999999</v>
      </c>
      <c r="U552" s="311">
        <f t="shared" ca="1" si="234"/>
        <v>0</v>
      </c>
      <c r="V552" s="306">
        <f t="shared" ca="1" si="235"/>
        <v>1.0767607089090627</v>
      </c>
      <c r="W552" s="304">
        <f t="shared" ca="1" si="236"/>
        <v>4.4557562358911573</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6.2156899337367335</v>
      </c>
      <c r="AH552" s="304">
        <f t="shared" ca="1" si="260"/>
        <v>-0.52811595843869086</v>
      </c>
    </row>
    <row r="553" spans="1:34" x14ac:dyDescent="0.2">
      <c r="A553" s="347">
        <f t="shared" ca="1" si="238"/>
        <v>0.1</v>
      </c>
      <c r="B553" s="304">
        <f t="shared" ca="1" si="239"/>
        <v>18.899999999999956</v>
      </c>
      <c r="D553" s="306">
        <f t="shared" ca="1" si="240"/>
        <v>-0.38997716233089613</v>
      </c>
      <c r="E553" s="307">
        <f t="shared" ca="1" si="241"/>
        <v>-9.4256809391212375</v>
      </c>
      <c r="F553" s="304">
        <f t="shared" ca="1" si="242"/>
        <v>9.4337449272944127</v>
      </c>
      <c r="G553" s="306">
        <f t="shared" ca="1" si="243"/>
        <v>25.170821562038046</v>
      </c>
      <c r="H553" s="307">
        <f t="shared" ca="1" si="244"/>
        <v>-25.786623094568018</v>
      </c>
      <c r="I553" s="304">
        <f t="shared" ca="1" si="245"/>
        <v>36.034985621327344</v>
      </c>
      <c r="J553" s="306">
        <f t="shared" ca="1" si="246"/>
        <v>549.21848968103131</v>
      </c>
      <c r="K553" s="307">
        <f t="shared" ca="1" si="247"/>
        <v>1285.5197436860915</v>
      </c>
      <c r="L553" s="304">
        <f t="shared" ca="1" si="232"/>
        <v>1397.9277380516733</v>
      </c>
      <c r="M553" s="306">
        <f t="shared" ca="1" si="248"/>
        <v>-0.79748219866397796</v>
      </c>
      <c r="N553" s="304">
        <f t="shared" ca="1" si="249"/>
        <v>-45.692364220259392</v>
      </c>
      <c r="P553" s="310">
        <f t="shared" ca="1" si="250"/>
        <v>23</v>
      </c>
      <c r="Q553" s="304">
        <f t="shared" ca="1" si="251"/>
        <v>0</v>
      </c>
      <c r="R553" s="306">
        <f t="shared" ca="1" si="252"/>
        <v>0</v>
      </c>
      <c r="S553" s="307">
        <f t="shared" ca="1" si="253"/>
        <v>8.1379999999999981</v>
      </c>
      <c r="T553" s="304">
        <f t="shared" ca="1" si="233"/>
        <v>79.83377999999999</v>
      </c>
      <c r="U553" s="311">
        <f t="shared" ca="1" si="234"/>
        <v>0</v>
      </c>
      <c r="V553" s="306">
        <f t="shared" ca="1" si="235"/>
        <v>1.0770344623971344</v>
      </c>
      <c r="W553" s="304">
        <f t="shared" ca="1" si="236"/>
        <v>4.6196804807023701</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6.3383194995577119</v>
      </c>
      <c r="AH553" s="304">
        <f t="shared" ca="1" si="260"/>
        <v>-0.54752472792960905</v>
      </c>
    </row>
    <row r="554" spans="1:34" x14ac:dyDescent="0.2">
      <c r="A554" s="347">
        <f t="shared" ca="1" si="238"/>
        <v>0.1</v>
      </c>
      <c r="B554" s="304">
        <f t="shared" ca="1" si="239"/>
        <v>18.999999999999957</v>
      </c>
      <c r="D554" s="306">
        <f t="shared" ca="1" si="240"/>
        <v>-0.3965220027096471</v>
      </c>
      <c r="E554" s="307">
        <f t="shared" ca="1" si="241"/>
        <v>-9.4037771277200601</v>
      </c>
      <c r="F554" s="304">
        <f t="shared" ca="1" si="242"/>
        <v>9.4121333376904417</v>
      </c>
      <c r="G554" s="306">
        <f t="shared" ca="1" si="243"/>
        <v>25.131169361767082</v>
      </c>
      <c r="H554" s="307">
        <f t="shared" ca="1" si="244"/>
        <v>-26.727000807340023</v>
      </c>
      <c r="I554" s="304">
        <f t="shared" ca="1" si="245"/>
        <v>36.686622161836794</v>
      </c>
      <c r="J554" s="306">
        <f t="shared" ca="1" si="246"/>
        <v>551.73358922722161</v>
      </c>
      <c r="K554" s="307">
        <f t="shared" ca="1" si="247"/>
        <v>1282.894062490996</v>
      </c>
      <c r="L554" s="304">
        <f t="shared" ca="1" si="232"/>
        <v>1396.5053272566504</v>
      </c>
      <c r="M554" s="306">
        <f t="shared" ca="1" si="248"/>
        <v>-0.81616145465070544</v>
      </c>
      <c r="N554" s="304">
        <f t="shared" ca="1" si="249"/>
        <v>-46.762606752743359</v>
      </c>
      <c r="P554" s="310">
        <f t="shared" ca="1" si="250"/>
        <v>23</v>
      </c>
      <c r="Q554" s="304">
        <f t="shared" ca="1" si="251"/>
        <v>0</v>
      </c>
      <c r="R554" s="306">
        <f t="shared" ca="1" si="252"/>
        <v>0</v>
      </c>
      <c r="S554" s="307">
        <f t="shared" ca="1" si="253"/>
        <v>8.1379999999999981</v>
      </c>
      <c r="T554" s="304">
        <f t="shared" ca="1" si="233"/>
        <v>79.83377999999999</v>
      </c>
      <c r="U554" s="311">
        <f t="shared" ca="1" si="234"/>
        <v>0</v>
      </c>
      <c r="V554" s="306">
        <f t="shared" ca="1" si="235"/>
        <v>1.0773184655303845</v>
      </c>
      <c r="W554" s="304">
        <f t="shared" ca="1" si="236"/>
        <v>4.7895332248825735</v>
      </c>
      <c r="Y554" s="314" t="str">
        <f t="shared" ca="1" si="254"/>
        <v/>
      </c>
      <c r="Z554" s="315" t="str">
        <f t="shared" ca="1" si="255"/>
        <v/>
      </c>
      <c r="AA554" s="316" t="str">
        <f t="shared" ca="1" si="256"/>
        <v/>
      </c>
      <c r="AC554" s="310">
        <f t="shared" ca="1" si="257"/>
        <v>18.999999999999957</v>
      </c>
      <c r="AD554" s="323">
        <f t="shared" ca="1" si="258"/>
        <v>551.73358922722161</v>
      </c>
      <c r="AE554" s="324" t="e">
        <f t="shared" ca="1" si="237"/>
        <v>#N/A</v>
      </c>
      <c r="AG554" s="306">
        <f t="shared" ca="1" si="259"/>
        <v>6.4523647747648418</v>
      </c>
      <c r="AH554" s="304">
        <f t="shared" ca="1" si="260"/>
        <v>-0.56766779069825157</v>
      </c>
    </row>
    <row r="555" spans="1:34" x14ac:dyDescent="0.2">
      <c r="A555" s="347">
        <f t="shared" ca="1" si="238"/>
        <v>0.1</v>
      </c>
      <c r="B555" s="304">
        <f t="shared" ca="1" si="239"/>
        <v>19.099999999999959</v>
      </c>
      <c r="D555" s="306">
        <f t="shared" ca="1" si="240"/>
        <v>-0.40316282046730939</v>
      </c>
      <c r="E555" s="307">
        <f t="shared" ca="1" si="241"/>
        <v>-9.3812363052826289</v>
      </c>
      <c r="F555" s="304">
        <f t="shared" ca="1" si="242"/>
        <v>9.3898953601922539</v>
      </c>
      <c r="G555" s="306">
        <f t="shared" ca="1" si="243"/>
        <v>25.09085307972035</v>
      </c>
      <c r="H555" s="307">
        <f t="shared" ca="1" si="244"/>
        <v>-27.665124437868286</v>
      </c>
      <c r="I555" s="304">
        <f t="shared" ca="1" si="245"/>
        <v>37.348494192281017</v>
      </c>
      <c r="J555" s="306">
        <f t="shared" ca="1" si="246"/>
        <v>554.24469034929598</v>
      </c>
      <c r="K555" s="307">
        <f t="shared" ca="1" si="247"/>
        <v>1280.1744562287356</v>
      </c>
      <c r="L555" s="304">
        <f t="shared" ca="1" si="232"/>
        <v>1395.0031595523094</v>
      </c>
      <c r="M555" s="306">
        <f t="shared" ca="1" si="248"/>
        <v>-0.83415531380867791</v>
      </c>
      <c r="N555" s="304">
        <f t="shared" ca="1" si="249"/>
        <v>-47.793578939648</v>
      </c>
      <c r="P555" s="310">
        <f t="shared" ca="1" si="250"/>
        <v>23</v>
      </c>
      <c r="Q555" s="304">
        <f t="shared" ca="1" si="251"/>
        <v>0</v>
      </c>
      <c r="R555" s="306">
        <f t="shared" ca="1" si="252"/>
        <v>0</v>
      </c>
      <c r="S555" s="307">
        <f t="shared" ca="1" si="253"/>
        <v>8.1379999999999981</v>
      </c>
      <c r="T555" s="304">
        <f t="shared" ca="1" si="233"/>
        <v>79.83377999999999</v>
      </c>
      <c r="U555" s="311">
        <f t="shared" ca="1" si="234"/>
        <v>0</v>
      </c>
      <c r="V555" s="306">
        <f t="shared" ca="1" si="235"/>
        <v>1.0776127018266826</v>
      </c>
      <c r="W555" s="304">
        <f t="shared" ca="1" si="236"/>
        <v>4.9652660951005299</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6.5582586514026051</v>
      </c>
      <c r="AH555" s="304">
        <f t="shared" ca="1" si="260"/>
        <v>-0.58853934933430507</v>
      </c>
    </row>
    <row r="556" spans="1:34" x14ac:dyDescent="0.2">
      <c r="A556" s="347">
        <f t="shared" ca="1" si="238"/>
        <v>0.1</v>
      </c>
      <c r="B556" s="304">
        <f t="shared" ca="1" si="239"/>
        <v>19.19999999999996</v>
      </c>
      <c r="D556" s="306">
        <f t="shared" ca="1" si="240"/>
        <v>-0.40988985841654235</v>
      </c>
      <c r="E556" s="307">
        <f t="shared" ca="1" si="241"/>
        <v>-9.358056261662977</v>
      </c>
      <c r="F556" s="304">
        <f t="shared" ca="1" si="242"/>
        <v>9.3670287013803044</v>
      </c>
      <c r="G556" s="306">
        <f t="shared" ca="1" si="243"/>
        <v>25.049864093878696</v>
      </c>
      <c r="H556" s="307">
        <f t="shared" ca="1" si="244"/>
        <v>-28.600930064034586</v>
      </c>
      <c r="I556" s="304">
        <f t="shared" ca="1" si="245"/>
        <v>38.019848653691277</v>
      </c>
      <c r="J556" s="306">
        <f t="shared" ca="1" si="246"/>
        <v>556.75172620797593</v>
      </c>
      <c r="K556" s="307">
        <f t="shared" ca="1" si="247"/>
        <v>1277.3611535036405</v>
      </c>
      <c r="L556" s="304">
        <f t="shared" ca="1" si="232"/>
        <v>1393.4216881890823</v>
      </c>
      <c r="M556" s="306">
        <f t="shared" ca="1" si="248"/>
        <v>-0.85149026828665619</v>
      </c>
      <c r="N556" s="304">
        <f t="shared" ca="1" si="249"/>
        <v>-48.786798669287563</v>
      </c>
      <c r="P556" s="310">
        <f t="shared" ca="1" si="250"/>
        <v>23</v>
      </c>
      <c r="Q556" s="304">
        <f t="shared" ca="1" si="251"/>
        <v>0</v>
      </c>
      <c r="R556" s="306">
        <f t="shared" ca="1" si="252"/>
        <v>0</v>
      </c>
      <c r="S556" s="307">
        <f t="shared" ca="1" si="253"/>
        <v>8.1379999999999981</v>
      </c>
      <c r="T556" s="304">
        <f t="shared" ca="1" si="233"/>
        <v>79.83377999999999</v>
      </c>
      <c r="U556" s="311">
        <f t="shared" ca="1" si="234"/>
        <v>0</v>
      </c>
      <c r="V556" s="306">
        <f t="shared" ca="1" si="235"/>
        <v>1.0779171543639192</v>
      </c>
      <c r="W556" s="304">
        <f t="shared" ca="1" si="236"/>
        <v>5.1468295244901459</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6.6564210990456116</v>
      </c>
      <c r="AH556" s="304">
        <f t="shared" ca="1" si="260"/>
        <v>-0.61013345970761013</v>
      </c>
    </row>
    <row r="557" spans="1:34" x14ac:dyDescent="0.2">
      <c r="A557" s="347">
        <f t="shared" ca="1" si="238"/>
        <v>0.1</v>
      </c>
      <c r="B557" s="304">
        <f t="shared" ca="1" si="239"/>
        <v>19.299999999999962</v>
      </c>
      <c r="D557" s="306">
        <f t="shared" ca="1" si="240"/>
        <v>-0.41669384769236029</v>
      </c>
      <c r="E557" s="307">
        <f t="shared" ca="1" si="241"/>
        <v>-9.3342356784332825</v>
      </c>
      <c r="F557" s="304">
        <f t="shared" ca="1" si="242"/>
        <v>9.3435319586996393</v>
      </c>
      <c r="G557" s="306">
        <f t="shared" ca="1" si="243"/>
        <v>25.008194709109461</v>
      </c>
      <c r="H557" s="307">
        <f t="shared" ca="1" si="244"/>
        <v>-29.534353631877913</v>
      </c>
      <c r="I557" s="304">
        <f t="shared" ca="1" si="245"/>
        <v>38.699972184247763</v>
      </c>
      <c r="J557" s="306">
        <f t="shared" ca="1" si="246"/>
        <v>559.25462914812533</v>
      </c>
      <c r="K557" s="307">
        <f t="shared" ca="1" si="247"/>
        <v>1274.454389318845</v>
      </c>
      <c r="L557" s="304">
        <f t="shared" ca="1" si="232"/>
        <v>1391.7613770606215</v>
      </c>
      <c r="M557" s="306">
        <f t="shared" ca="1" si="248"/>
        <v>-0.86819246279327222</v>
      </c>
      <c r="N557" s="304">
        <f t="shared" ca="1" si="249"/>
        <v>-49.743763923123254</v>
      </c>
      <c r="P557" s="310">
        <f t="shared" ca="1" si="250"/>
        <v>23</v>
      </c>
      <c r="Q557" s="304">
        <f t="shared" ca="1" si="251"/>
        <v>0</v>
      </c>
      <c r="R557" s="306">
        <f t="shared" ca="1" si="252"/>
        <v>0</v>
      </c>
      <c r="S557" s="307">
        <f t="shared" ca="1" si="253"/>
        <v>8.1379999999999981</v>
      </c>
      <c r="T557" s="304">
        <f t="shared" ca="1" si="233"/>
        <v>79.83377999999999</v>
      </c>
      <c r="U557" s="311">
        <f t="shared" ca="1" si="234"/>
        <v>0</v>
      </c>
      <c r="V557" s="306">
        <f t="shared" ca="1" si="235"/>
        <v>1.0782318057755302</v>
      </c>
      <c r="W557" s="304">
        <f t="shared" ca="1" si="236"/>
        <v>5.3341727558845609</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6.7472572003973976</v>
      </c>
      <c r="AH557" s="304">
        <f t="shared" ca="1" si="260"/>
        <v>-0.63244403102606872</v>
      </c>
    </row>
    <row r="558" spans="1:34" x14ac:dyDescent="0.2">
      <c r="A558" s="347">
        <f t="shared" ca="1" si="238"/>
        <v>0.1</v>
      </c>
      <c r="B558" s="304">
        <f t="shared" ca="1" si="239"/>
        <v>19.399999999999963</v>
      </c>
      <c r="D558" s="306">
        <f t="shared" ca="1" si="240"/>
        <v>-0.42356598917869065</v>
      </c>
      <c r="E558" s="307">
        <f t="shared" ca="1" si="241"/>
        <v>-9.3097740598091701</v>
      </c>
      <c r="F558" s="304">
        <f t="shared" ca="1" si="242"/>
        <v>9.3194045513586676</v>
      </c>
      <c r="G558" s="306">
        <f t="shared" ca="1" si="243"/>
        <v>24.965838110191591</v>
      </c>
      <c r="H558" s="307">
        <f t="shared" ca="1" si="244"/>
        <v>-30.465331037858832</v>
      </c>
      <c r="I558" s="304">
        <f t="shared" ca="1" si="245"/>
        <v>39.388189445449505</v>
      </c>
      <c r="J558" s="306">
        <f t="shared" ca="1" si="246"/>
        <v>561.75333078909034</v>
      </c>
      <c r="K558" s="307">
        <f t="shared" ca="1" si="247"/>
        <v>1271.4544050853581</v>
      </c>
      <c r="L558" s="304">
        <f t="shared" ca="1" si="232"/>
        <v>1390.0227008447016</v>
      </c>
      <c r="M558" s="306">
        <f t="shared" ca="1" si="248"/>
        <v>-0.88428755353154076</v>
      </c>
      <c r="N558" s="304">
        <f t="shared" ca="1" si="249"/>
        <v>-50.665944693306137</v>
      </c>
      <c r="P558" s="310">
        <f t="shared" ca="1" si="250"/>
        <v>23</v>
      </c>
      <c r="Q558" s="304">
        <f t="shared" ca="1" si="251"/>
        <v>0</v>
      </c>
      <c r="R558" s="306">
        <f t="shared" ca="1" si="252"/>
        <v>0</v>
      </c>
      <c r="S558" s="307">
        <f t="shared" ca="1" si="253"/>
        <v>8.1379999999999981</v>
      </c>
      <c r="T558" s="304">
        <f t="shared" ca="1" si="233"/>
        <v>79.83377999999999</v>
      </c>
      <c r="U558" s="311">
        <f t="shared" ca="1" si="234"/>
        <v>0</v>
      </c>
      <c r="V558" s="306">
        <f t="shared" ca="1" si="235"/>
        <v>1.0785566382468699</v>
      </c>
      <c r="W558" s="304">
        <f t="shared" ca="1" si="236"/>
        <v>5.5272438476003574</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6.8311557777645247</v>
      </c>
      <c r="AH558" s="304">
        <f t="shared" ca="1" si="260"/>
        <v>-0.65546482623305014</v>
      </c>
    </row>
    <row r="559" spans="1:34" x14ac:dyDescent="0.2">
      <c r="A559" s="347">
        <f t="shared" ca="1" si="238"/>
        <v>0.1</v>
      </c>
      <c r="B559" s="304">
        <f t="shared" ca="1" si="239"/>
        <v>19.499999999999964</v>
      </c>
      <c r="D559" s="306">
        <f t="shared" ca="1" si="240"/>
        <v>-0.43049793379950557</v>
      </c>
      <c r="E559" s="307">
        <f t="shared" ca="1" si="241"/>
        <v>-9.2846716690851956</v>
      </c>
      <c r="F559" s="304">
        <f t="shared" ca="1" si="242"/>
        <v>9.2946466567438115</v>
      </c>
      <c r="G559" s="306">
        <f t="shared" ca="1" si="243"/>
        <v>24.922788316811641</v>
      </c>
      <c r="H559" s="307">
        <f t="shared" ca="1" si="244"/>
        <v>-31.39379820476735</v>
      </c>
      <c r="I559" s="304">
        <f t="shared" ca="1" si="245"/>
        <v>40.083861380938046</v>
      </c>
      <c r="J559" s="306">
        <f t="shared" ca="1" si="246"/>
        <v>564.24776211044048</v>
      </c>
      <c r="K559" s="307">
        <f t="shared" ca="1" si="247"/>
        <v>1268.3614486232268</v>
      </c>
      <c r="L559" s="304">
        <f t="shared" ca="1" si="232"/>
        <v>1388.2061451384843</v>
      </c>
      <c r="M559" s="306">
        <f t="shared" ca="1" si="248"/>
        <v>-0.89980059691545333</v>
      </c>
      <c r="N559" s="304">
        <f t="shared" ca="1" si="249"/>
        <v>-51.554776606607675</v>
      </c>
      <c r="P559" s="310">
        <f t="shared" ca="1" si="250"/>
        <v>23</v>
      </c>
      <c r="Q559" s="304">
        <f t="shared" ca="1" si="251"/>
        <v>0</v>
      </c>
      <c r="R559" s="306">
        <f t="shared" ca="1" si="252"/>
        <v>0</v>
      </c>
      <c r="S559" s="307">
        <f t="shared" ca="1" si="253"/>
        <v>8.1379999999999981</v>
      </c>
      <c r="T559" s="304">
        <f t="shared" ca="1" si="233"/>
        <v>79.83377999999999</v>
      </c>
      <c r="U559" s="311">
        <f t="shared" ca="1" si="234"/>
        <v>0</v>
      </c>
      <c r="V559" s="306">
        <f t="shared" ca="1" si="235"/>
        <v>1.0788916335123664</v>
      </c>
      <c r="W559" s="304">
        <f t="shared" ca="1" si="236"/>
        <v>5.7259896815749309</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6.9084885110385903</v>
      </c>
      <c r="AH559" s="304">
        <f t="shared" ca="1" si="260"/>
        <v>-0.67918946271815661</v>
      </c>
    </row>
    <row r="560" spans="1:34" x14ac:dyDescent="0.2">
      <c r="A560" s="347">
        <f t="shared" ca="1" si="238"/>
        <v>0.1</v>
      </c>
      <c r="B560" s="304">
        <f t="shared" ca="1" si="239"/>
        <v>19.599999999999966</v>
      </c>
      <c r="D560" s="306">
        <f t="shared" ca="1" si="240"/>
        <v>-0.43748176216713347</v>
      </c>
      <c r="E560" s="307">
        <f t="shared" ca="1" si="241"/>
        <v>-9.2589294702841656</v>
      </c>
      <c r="F560" s="304">
        <f t="shared" ca="1" si="242"/>
        <v>9.2692591520533867</v>
      </c>
      <c r="G560" s="306">
        <f t="shared" ca="1" si="243"/>
        <v>24.879040140594928</v>
      </c>
      <c r="H560" s="307">
        <f t="shared" ca="1" si="244"/>
        <v>-32.319691151795766</v>
      </c>
      <c r="I560" s="304">
        <f t="shared" ca="1" si="245"/>
        <v>40.786383444291786</v>
      </c>
      <c r="J560" s="306">
        <f t="shared" ca="1" si="246"/>
        <v>566.73785353331084</v>
      </c>
      <c r="K560" s="307">
        <f t="shared" ca="1" si="247"/>
        <v>1265.1757741553986</v>
      </c>
      <c r="L560" s="304">
        <f t="shared" ca="1" si="232"/>
        <v>1386.3122065888538</v>
      </c>
      <c r="M560" s="306">
        <f t="shared" ca="1" si="248"/>
        <v>-0.91475596395662195</v>
      </c>
      <c r="N560" s="304">
        <f t="shared" ca="1" si="249"/>
        <v>-52.411656019135691</v>
      </c>
      <c r="P560" s="310">
        <f t="shared" ca="1" si="250"/>
        <v>23</v>
      </c>
      <c r="Q560" s="304">
        <f t="shared" ca="1" si="251"/>
        <v>0</v>
      </c>
      <c r="R560" s="306">
        <f t="shared" ca="1" si="252"/>
        <v>0</v>
      </c>
      <c r="S560" s="307">
        <f t="shared" ca="1" si="253"/>
        <v>8.1379999999999981</v>
      </c>
      <c r="T560" s="304">
        <f t="shared" ca="1" si="233"/>
        <v>79.83377999999999</v>
      </c>
      <c r="U560" s="311">
        <f t="shared" ca="1" si="234"/>
        <v>0</v>
      </c>
      <c r="V560" s="306">
        <f t="shared" ca="1" si="235"/>
        <v>1.0792367728533936</v>
      </c>
      <c r="W560" s="304">
        <f t="shared" ca="1" si="236"/>
        <v>5.9303559736748994</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6.9796094585927886</v>
      </c>
      <c r="AH560" s="304">
        <f t="shared" ca="1" si="260"/>
        <v>-0.70361141331714572</v>
      </c>
    </row>
    <row r="561" spans="1:34" x14ac:dyDescent="0.2">
      <c r="A561" s="347">
        <f t="shared" ca="1" si="238"/>
        <v>0.1</v>
      </c>
      <c r="B561" s="304">
        <f t="shared" ca="1" si="239"/>
        <v>19.699999999999967</v>
      </c>
      <c r="D561" s="306">
        <f t="shared" ca="1" si="240"/>
        <v>-0.44450996398655501</v>
      </c>
      <c r="E561" s="307">
        <f t="shared" ca="1" si="241"/>
        <v>-9.2325490746928089</v>
      </c>
      <c r="F561" s="304">
        <f t="shared" ca="1" si="242"/>
        <v>9.2432435608229202</v>
      </c>
      <c r="G561" s="306">
        <f t="shared" ca="1" si="243"/>
        <v>24.834589144196272</v>
      </c>
      <c r="H561" s="307">
        <f t="shared" ca="1" si="244"/>
        <v>-33.242946059265044</v>
      </c>
      <c r="I561" s="304">
        <f t="shared" ca="1" si="245"/>
        <v>41.495183824875824</v>
      </c>
      <c r="J561" s="306">
        <f t="shared" ca="1" si="246"/>
        <v>569.22353499755036</v>
      </c>
      <c r="K561" s="307">
        <f t="shared" ca="1" si="247"/>
        <v>1261.8976422948456</v>
      </c>
      <c r="L561" s="304">
        <f t="shared" ca="1" si="232"/>
        <v>1384.3413930184986</v>
      </c>
      <c r="M561" s="306">
        <f t="shared" ca="1" si="248"/>
        <v>-0.92917727657102034</v>
      </c>
      <c r="N561" s="304">
        <f t="shared" ca="1" si="249"/>
        <v>-53.237936366979497</v>
      </c>
      <c r="P561" s="310">
        <f t="shared" ca="1" si="250"/>
        <v>23</v>
      </c>
      <c r="Q561" s="304">
        <f t="shared" ca="1" si="251"/>
        <v>0</v>
      </c>
      <c r="R561" s="306">
        <f t="shared" ca="1" si="252"/>
        <v>0</v>
      </c>
      <c r="S561" s="307">
        <f t="shared" ca="1" si="253"/>
        <v>8.1379999999999981</v>
      </c>
      <c r="T561" s="304">
        <f t="shared" ca="1" si="233"/>
        <v>79.83377999999999</v>
      </c>
      <c r="U561" s="311">
        <f t="shared" ca="1" si="234"/>
        <v>0</v>
      </c>
      <c r="V561" s="306">
        <f t="shared" ca="1" si="235"/>
        <v>1.0795920370968033</v>
      </c>
      <c r="W561" s="304">
        <f t="shared" ca="1" si="236"/>
        <v>6.1402872860074567</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7.0448549034363328</v>
      </c>
      <c r="AH561" s="304">
        <f t="shared" ca="1" si="260"/>
        <v>-0.72872400757863121</v>
      </c>
    </row>
    <row r="562" spans="1:34" x14ac:dyDescent="0.2">
      <c r="A562" s="347">
        <f t="shared" ca="1" si="238"/>
        <v>0.1</v>
      </c>
      <c r="B562" s="304">
        <f t="shared" ca="1" si="239"/>
        <v>19.799999999999969</v>
      </c>
      <c r="D562" s="306">
        <f t="shared" ca="1" si="240"/>
        <v>-0.45157541753314495</v>
      </c>
      <c r="E562" s="307">
        <f t="shared" ca="1" si="241"/>
        <v>-9.2055326919409666</v>
      </c>
      <c r="F562" s="304">
        <f t="shared" ca="1" si="242"/>
        <v>9.2166020039987693</v>
      </c>
      <c r="G562" s="306">
        <f t="shared" ca="1" si="243"/>
        <v>24.789431602442956</v>
      </c>
      <c r="H562" s="307">
        <f t="shared" ca="1" si="244"/>
        <v>-34.163499328459139</v>
      </c>
      <c r="I562" s="304">
        <f t="shared" ca="1" si="245"/>
        <v>42.209721694626531</v>
      </c>
      <c r="J562" s="306">
        <f t="shared" ca="1" si="246"/>
        <v>571.70473603488233</v>
      </c>
      <c r="K562" s="307">
        <f t="shared" ca="1" si="247"/>
        <v>1258.5273200254594</v>
      </c>
      <c r="L562" s="304">
        <f t="shared" ca="1" si="232"/>
        <v>1382.2942235483658</v>
      </c>
      <c r="M562" s="306">
        <f t="shared" ca="1" si="248"/>
        <v>-0.94308736243418378</v>
      </c>
      <c r="N562" s="304">
        <f t="shared" ca="1" si="249"/>
        <v>-54.034925579603353</v>
      </c>
      <c r="P562" s="310">
        <f t="shared" ca="1" si="250"/>
        <v>23</v>
      </c>
      <c r="Q562" s="304">
        <f t="shared" ca="1" si="251"/>
        <v>0</v>
      </c>
      <c r="R562" s="306">
        <f t="shared" ca="1" si="252"/>
        <v>0</v>
      </c>
      <c r="S562" s="307">
        <f t="shared" ca="1" si="253"/>
        <v>8.1379999999999981</v>
      </c>
      <c r="T562" s="304">
        <f t="shared" ca="1" si="233"/>
        <v>79.83377999999999</v>
      </c>
      <c r="U562" s="311">
        <f t="shared" ca="1" si="234"/>
        <v>0</v>
      </c>
      <c r="V562" s="306">
        <f t="shared" ca="1" si="235"/>
        <v>1.0799574066140587</v>
      </c>
      <c r="W562" s="304">
        <f t="shared" ca="1" si="236"/>
        <v>6.3557270410795361</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7.1045434575520208</v>
      </c>
      <c r="AH562" s="304">
        <f t="shared" ca="1" si="260"/>
        <v>-0.75452043327690566</v>
      </c>
    </row>
    <row r="563" spans="1:34" x14ac:dyDescent="0.2">
      <c r="A563" s="347">
        <f t="shared" ca="1" si="238"/>
        <v>0.1</v>
      </c>
      <c r="B563" s="304">
        <f t="shared" ca="1" si="239"/>
        <v>19.89999999999997</v>
      </c>
      <c r="D563" s="306">
        <f t="shared" ca="1" si="240"/>
        <v>-0.45867136945173276</v>
      </c>
      <c r="E563" s="307">
        <f t="shared" ca="1" si="241"/>
        <v>-9.1778830852780242</v>
      </c>
      <c r="F563" s="304">
        <f t="shared" ca="1" si="242"/>
        <v>9.1893371552134919</v>
      </c>
      <c r="G563" s="306">
        <f t="shared" ca="1" si="243"/>
        <v>24.743564465497784</v>
      </c>
      <c r="H563" s="307">
        <f t="shared" ca="1" si="244"/>
        <v>-35.081287636986943</v>
      </c>
      <c r="I563" s="304">
        <f t="shared" ca="1" si="245"/>
        <v>42.929485493390871</v>
      </c>
      <c r="J563" s="306">
        <f t="shared" ca="1" si="246"/>
        <v>574.18138583827931</v>
      </c>
      <c r="K563" s="307">
        <f t="shared" ca="1" si="247"/>
        <v>1255.0650806771871</v>
      </c>
      <c r="L563" s="304">
        <f t="shared" ca="1" si="232"/>
        <v>1380.1712287170753</v>
      </c>
      <c r="M563" s="306">
        <f t="shared" ca="1" si="248"/>
        <v>-0.9565082253894821</v>
      </c>
      <c r="N563" s="304">
        <f t="shared" ca="1" si="249"/>
        <v>-54.803884384365418</v>
      </c>
      <c r="P563" s="310">
        <f t="shared" ca="1" si="250"/>
        <v>23</v>
      </c>
      <c r="Q563" s="304">
        <f t="shared" ca="1" si="251"/>
        <v>0</v>
      </c>
      <c r="R563" s="306">
        <f t="shared" ca="1" si="252"/>
        <v>0</v>
      </c>
      <c r="S563" s="307">
        <f t="shared" ca="1" si="253"/>
        <v>8.1379999999999981</v>
      </c>
      <c r="T563" s="304">
        <f t="shared" ca="1" si="233"/>
        <v>79.83377999999999</v>
      </c>
      <c r="U563" s="311">
        <f t="shared" ca="1" si="234"/>
        <v>0</v>
      </c>
      <c r="V563" s="306">
        <f t="shared" ca="1" si="235"/>
        <v>1.0803328613209242</v>
      </c>
      <c r="W563" s="304">
        <f t="shared" ca="1" si="236"/>
        <v>6.5766175376617291</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7.1589763672385978</v>
      </c>
      <c r="AH563" s="304">
        <f t="shared" ca="1" si="260"/>
        <v>-0.78099373815182327</v>
      </c>
    </row>
    <row r="564" spans="1:34" x14ac:dyDescent="0.2">
      <c r="A564" s="347">
        <f t="shared" ca="1" si="238"/>
        <v>0.1</v>
      </c>
      <c r="B564" s="304">
        <f t="shared" ca="1" si="239"/>
        <v>19.999999999999972</v>
      </c>
      <c r="D564" s="306">
        <f t="shared" ca="1" si="240"/>
        <v>-0.46579141506608723</v>
      </c>
      <c r="E564" s="307">
        <f t="shared" ca="1" si="241"/>
        <v>-9.1496035307056225</v>
      </c>
      <c r="F564" s="304">
        <f t="shared" ca="1" si="242"/>
        <v>9.161452199921694</v>
      </c>
      <c r="G564" s="306">
        <f t="shared" ca="1" si="243"/>
        <v>24.696985323991175</v>
      </c>
      <c r="H564" s="307">
        <f t="shared" ca="1" si="244"/>
        <v>-35.996247990057505</v>
      </c>
      <c r="I564" s="304">
        <f t="shared" ca="1" si="245"/>
        <v>43.65399126603608</v>
      </c>
      <c r="J564" s="306">
        <f t="shared" ca="1" si="246"/>
        <v>576.65341332775381</v>
      </c>
      <c r="K564" s="307">
        <f t="shared" ca="1" si="247"/>
        <v>1251.5112038958348</v>
      </c>
      <c r="L564" s="304">
        <f t="shared" ca="1" si="232"/>
        <v>1377.9729505978523</v>
      </c>
      <c r="M564" s="306">
        <f t="shared" ca="1" si="248"/>
        <v>-0.96946102877571783</v>
      </c>
      <c r="N564" s="304">
        <f t="shared" ca="1" si="249"/>
        <v>-55.546025351259487</v>
      </c>
      <c r="P564" s="310">
        <f t="shared" ca="1" si="250"/>
        <v>23</v>
      </c>
      <c r="Q564" s="304">
        <f t="shared" ca="1" si="251"/>
        <v>0</v>
      </c>
      <c r="R564" s="306">
        <f t="shared" ca="1" si="252"/>
        <v>0</v>
      </c>
      <c r="S564" s="307">
        <f t="shared" ca="1" si="253"/>
        <v>8.1379999999999981</v>
      </c>
      <c r="T564" s="304">
        <f t="shared" ca="1" si="233"/>
        <v>79.83377999999999</v>
      </c>
      <c r="U564" s="311">
        <f t="shared" ca="1" si="234"/>
        <v>0</v>
      </c>
      <c r="V564" s="306">
        <f t="shared" ca="1" si="235"/>
        <v>1.080718380677667</v>
      </c>
      <c r="W564" s="304">
        <f t="shared" ca="1" si="236"/>
        <v>6.8028999682250353</v>
      </c>
      <c r="Y564" s="314" t="str">
        <f t="shared" ca="1" si="254"/>
        <v/>
      </c>
      <c r="Z564" s="315" t="str">
        <f t="shared" ca="1" si="255"/>
        <v/>
      </c>
      <c r="AA564" s="316" t="str">
        <f t="shared" ca="1" si="256"/>
        <v/>
      </c>
      <c r="AC564" s="310">
        <f t="shared" ca="1" si="257"/>
        <v>19.999999999999972</v>
      </c>
      <c r="AD564" s="323">
        <f t="shared" ca="1" si="258"/>
        <v>576.65341332775381</v>
      </c>
      <c r="AE564" s="324" t="e">
        <f t="shared" ca="1" si="237"/>
        <v>#N/A</v>
      </c>
      <c r="AG564" s="306">
        <f t="shared" ca="1" si="259"/>
        <v>7.2084379712995519</v>
      </c>
      <c r="AH564" s="304">
        <f t="shared" ca="1" si="260"/>
        <v>-0.80813683185816299</v>
      </c>
    </row>
    <row r="565" spans="1:34" x14ac:dyDescent="0.2">
      <c r="A565" s="347">
        <f t="shared" ca="1" si="238"/>
        <v>0.1</v>
      </c>
      <c r="B565" s="304">
        <f t="shared" ca="1" si="239"/>
        <v>20.099999999999973</v>
      </c>
      <c r="D565" s="306">
        <f t="shared" ca="1" si="240"/>
        <v>-0.47292947933887902</v>
      </c>
      <c r="E565" s="307">
        <f t="shared" ca="1" si="241"/>
        <v>-9.120697779637343</v>
      </c>
      <c r="F565" s="304">
        <f t="shared" ca="1" si="242"/>
        <v>9.1329507980668172</v>
      </c>
      <c r="G565" s="306">
        <f t="shared" ca="1" si="243"/>
        <v>24.649692376057288</v>
      </c>
      <c r="H565" s="307">
        <f t="shared" ca="1" si="244"/>
        <v>-36.908317768021242</v>
      </c>
      <c r="I565" s="304">
        <f t="shared" ca="1" si="245"/>
        <v>44.382781060896683</v>
      </c>
      <c r="J565" s="306">
        <f t="shared" ca="1" si="246"/>
        <v>579.12074721275621</v>
      </c>
      <c r="K565" s="307">
        <f t="shared" ca="1" si="247"/>
        <v>1247.8659756079307</v>
      </c>
      <c r="L565" s="304">
        <f t="shared" ca="1" si="232"/>
        <v>1375.6999429134953</v>
      </c>
      <c r="M565" s="306">
        <f t="shared" ca="1" si="248"/>
        <v>-0.98196608937926688</v>
      </c>
      <c r="N565" s="304">
        <f t="shared" ca="1" si="249"/>
        <v>-56.262512546398163</v>
      </c>
      <c r="P565" s="310">
        <f t="shared" ca="1" si="250"/>
        <v>23</v>
      </c>
      <c r="Q565" s="304">
        <f t="shared" ca="1" si="251"/>
        <v>0</v>
      </c>
      <c r="R565" s="306">
        <f t="shared" ca="1" si="252"/>
        <v>0</v>
      </c>
      <c r="S565" s="307">
        <f t="shared" ca="1" si="253"/>
        <v>8.1379999999999981</v>
      </c>
      <c r="T565" s="304">
        <f t="shared" ca="1" si="233"/>
        <v>79.83377999999999</v>
      </c>
      <c r="U565" s="311">
        <f t="shared" ca="1" si="234"/>
        <v>0</v>
      </c>
      <c r="V565" s="306">
        <f t="shared" ca="1" si="235"/>
        <v>1.0811139436897281</v>
      </c>
      <c r="W565" s="304">
        <f t="shared" ca="1" si="236"/>
        <v>7.0345144378285775</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7.2531962719758116</v>
      </c>
      <c r="AH565" s="304">
        <f t="shared" ca="1" si="260"/>
        <v>-0.83594248810826211</v>
      </c>
    </row>
    <row r="566" spans="1:34" x14ac:dyDescent="0.2">
      <c r="A566" s="347">
        <f t="shared" ca="1" si="238"/>
        <v>0.1</v>
      </c>
      <c r="B566" s="304">
        <f t="shared" ca="1" si="239"/>
        <v>20.199999999999974</v>
      </c>
      <c r="D566" s="306">
        <f t="shared" ca="1" si="240"/>
        <v>-0.48007979858168659</v>
      </c>
      <c r="E566" s="307">
        <f t="shared" ca="1" si="241"/>
        <v>-9.0911700247719427</v>
      </c>
      <c r="F566" s="304">
        <f t="shared" ca="1" si="242"/>
        <v>9.1038370499651471</v>
      </c>
      <c r="G566" s="306">
        <f t="shared" ca="1" si="243"/>
        <v>24.601684396199119</v>
      </c>
      <c r="H566" s="307">
        <f t="shared" ca="1" si="244"/>
        <v>-37.817434770498437</v>
      </c>
      <c r="I566" s="304">
        <f t="shared" ca="1" si="245"/>
        <v>45.115421396137833</v>
      </c>
      <c r="J566" s="306">
        <f t="shared" ca="1" si="246"/>
        <v>581.58331605136902</v>
      </c>
      <c r="K566" s="307">
        <f t="shared" ca="1" si="247"/>
        <v>1244.1296879810047</v>
      </c>
      <c r="L566" s="304">
        <f t="shared" ca="1" si="232"/>
        <v>1373.3527711498671</v>
      </c>
      <c r="M566" s="306">
        <f t="shared" ca="1" si="248"/>
        <v>-0.9940428800275779</v>
      </c>
      <c r="N566" s="304">
        <f t="shared" ca="1" si="249"/>
        <v>-56.954461680609448</v>
      </c>
      <c r="P566" s="310">
        <f t="shared" ca="1" si="250"/>
        <v>23</v>
      </c>
      <c r="Q566" s="304">
        <f t="shared" ca="1" si="251"/>
        <v>0</v>
      </c>
      <c r="R566" s="306">
        <f t="shared" ca="1" si="252"/>
        <v>0</v>
      </c>
      <c r="S566" s="307">
        <f t="shared" ca="1" si="253"/>
        <v>8.1379999999999981</v>
      </c>
      <c r="T566" s="304">
        <f t="shared" ca="1" si="233"/>
        <v>79.83377999999999</v>
      </c>
      <c r="U566" s="311">
        <f t="shared" ca="1" si="234"/>
        <v>0</v>
      </c>
      <c r="V566" s="306">
        <f t="shared" ca="1" si="235"/>
        <v>1.0815195289088286</v>
      </c>
      <c r="W566" s="304">
        <f t="shared" ca="1" si="236"/>
        <v>7.2713999843457948</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7.2935035855964969</v>
      </c>
      <c r="AH566" s="304">
        <f t="shared" ca="1" si="260"/>
        <v>-0.86440334699294408</v>
      </c>
    </row>
    <row r="567" spans="1:34" x14ac:dyDescent="0.2">
      <c r="A567" s="347">
        <f t="shared" ca="1" si="238"/>
        <v>0.1</v>
      </c>
      <c r="B567" s="304">
        <f t="shared" ca="1" si="239"/>
        <v>20.299999999999976</v>
      </c>
      <c r="D567" s="306">
        <f t="shared" ca="1" si="240"/>
        <v>-0.48723690298159722</v>
      </c>
      <c r="E567" s="307">
        <f t="shared" ca="1" si="241"/>
        <v>-9.0610248688852799</v>
      </c>
      <c r="F567" s="304">
        <f t="shared" ca="1" si="242"/>
        <v>9.0741154651119906</v>
      </c>
      <c r="G567" s="306">
        <f t="shared" ca="1" si="243"/>
        <v>24.552960705900958</v>
      </c>
      <c r="H567" s="307">
        <f t="shared" ca="1" si="244"/>
        <v>-38.723537257386965</v>
      </c>
      <c r="I567" s="304">
        <f t="shared" ca="1" si="245"/>
        <v>45.851501798193617</v>
      </c>
      <c r="J567" s="306">
        <f t="shared" ca="1" si="246"/>
        <v>584.04104830647407</v>
      </c>
      <c r="K567" s="307">
        <f t="shared" ca="1" si="247"/>
        <v>1240.3026393796104</v>
      </c>
      <c r="L567" s="304">
        <f t="shared" ca="1" si="232"/>
        <v>1370.932012668372</v>
      </c>
      <c r="M567" s="306">
        <f t="shared" ca="1" si="248"/>
        <v>-1.0057100391228919</v>
      </c>
      <c r="N567" s="304">
        <f t="shared" ca="1" si="249"/>
        <v>-57.622940655678612</v>
      </c>
      <c r="P567" s="310">
        <f t="shared" ca="1" si="250"/>
        <v>23</v>
      </c>
      <c r="Q567" s="304">
        <f t="shared" ca="1" si="251"/>
        <v>0</v>
      </c>
      <c r="R567" s="306">
        <f t="shared" ca="1" si="252"/>
        <v>0</v>
      </c>
      <c r="S567" s="307">
        <f t="shared" ca="1" si="253"/>
        <v>8.1379999999999981</v>
      </c>
      <c r="T567" s="304">
        <f t="shared" ca="1" si="233"/>
        <v>79.83377999999999</v>
      </c>
      <c r="U567" s="311">
        <f t="shared" ca="1" si="234"/>
        <v>0</v>
      </c>
      <c r="V567" s="306">
        <f t="shared" ca="1" si="235"/>
        <v>1.0819351144344713</v>
      </c>
      <c r="W567" s="304">
        <f t="shared" ca="1" si="236"/>
        <v>7.5134945999249361</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7.3295972460518044</v>
      </c>
      <c r="AH567" s="304">
        <f t="shared" ca="1" si="260"/>
        <v>-0.89351191746692016</v>
      </c>
    </row>
    <row r="568" spans="1:34" x14ac:dyDescent="0.2">
      <c r="A568" s="347">
        <f t="shared" ca="1" si="238"/>
        <v>0.1</v>
      </c>
      <c r="B568" s="304">
        <f t="shared" ca="1" si="239"/>
        <v>20.399999999999977</v>
      </c>
      <c r="D568" s="306">
        <f t="shared" ca="1" si="240"/>
        <v>-0.49439559998432242</v>
      </c>
      <c r="E568" s="307">
        <f t="shared" ca="1" si="241"/>
        <v>-9.0302672962662331</v>
      </c>
      <c r="F568" s="304">
        <f t="shared" ca="1" si="242"/>
        <v>9.0437909336350391</v>
      </c>
      <c r="G568" s="306">
        <f t="shared" ca="1" si="243"/>
        <v>24.503521145902525</v>
      </c>
      <c r="H568" s="307">
        <f t="shared" ca="1" si="244"/>
        <v>-39.62656398701359</v>
      </c>
      <c r="I568" s="304">
        <f t="shared" ca="1" si="245"/>
        <v>46.59063341450269</v>
      </c>
      <c r="J568" s="306">
        <f t="shared" ca="1" si="246"/>
        <v>586.49387239906423</v>
      </c>
      <c r="K568" s="307">
        <f t="shared" ca="1" si="247"/>
        <v>1236.3851343173903</v>
      </c>
      <c r="L568" s="304">
        <f t="shared" ca="1" si="232"/>
        <v>1368.4382568178519</v>
      </c>
      <c r="M568" s="306">
        <f t="shared" ca="1" si="248"/>
        <v>-1.0169853856671403</v>
      </c>
      <c r="N568" s="304">
        <f t="shared" ca="1" si="249"/>
        <v>-58.268970425211457</v>
      </c>
      <c r="P568" s="310">
        <f t="shared" ca="1" si="250"/>
        <v>23</v>
      </c>
      <c r="Q568" s="304">
        <f t="shared" ca="1" si="251"/>
        <v>0</v>
      </c>
      <c r="R568" s="306">
        <f t="shared" ca="1" si="252"/>
        <v>0</v>
      </c>
      <c r="S568" s="307">
        <f t="shared" ca="1" si="253"/>
        <v>8.1379999999999981</v>
      </c>
      <c r="T568" s="304">
        <f t="shared" ca="1" si="233"/>
        <v>79.83377999999999</v>
      </c>
      <c r="U568" s="311">
        <f t="shared" ca="1" si="234"/>
        <v>0</v>
      </c>
      <c r="V568" s="306">
        <f t="shared" ca="1" si="235"/>
        <v>1.082360677915819</v>
      </c>
      <c r="W568" s="304">
        <f t="shared" ca="1" si="236"/>
        <v>7.7607352535874989</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7.3617003394388529</v>
      </c>
      <c r="AH568" s="304">
        <f t="shared" ca="1" si="260"/>
        <v>-0.92326057998586109</v>
      </c>
    </row>
    <row r="569" spans="1:34" x14ac:dyDescent="0.2">
      <c r="A569" s="347">
        <f t="shared" ca="1" si="238"/>
        <v>0.1</v>
      </c>
      <c r="B569" s="304">
        <f t="shared" ca="1" si="239"/>
        <v>20.499999999999979</v>
      </c>
      <c r="D569" s="306">
        <f t="shared" ca="1" si="240"/>
        <v>-0.50155095855257492</v>
      </c>
      <c r="E569" s="307">
        <f t="shared" ca="1" si="241"/>
        <v>-8.9989026465424935</v>
      </c>
      <c r="F569" s="304">
        <f t="shared" ca="1" si="242"/>
        <v>9.0128687001406202</v>
      </c>
      <c r="G569" s="306">
        <f t="shared" ca="1" si="243"/>
        <v>24.453366050047268</v>
      </c>
      <c r="H569" s="307">
        <f t="shared" ca="1" si="244"/>
        <v>-40.526454251667836</v>
      </c>
      <c r="I569" s="304">
        <f t="shared" ca="1" si="245"/>
        <v>47.332447701234827</v>
      </c>
      <c r="J569" s="306">
        <f t="shared" ca="1" si="246"/>
        <v>588.94171675886173</v>
      </c>
      <c r="K569" s="307">
        <f t="shared" ca="1" si="247"/>
        <v>1232.3774834054564</v>
      </c>
      <c r="L569" s="304">
        <f t="shared" ca="1" si="232"/>
        <v>1365.8721050463112</v>
      </c>
      <c r="M569" s="306">
        <f t="shared" ca="1" si="248"/>
        <v>-1.0278859385519274</v>
      </c>
      <c r="N569" s="304">
        <f t="shared" ca="1" si="249"/>
        <v>-58.893526099868922</v>
      </c>
      <c r="P569" s="310">
        <f t="shared" ca="1" si="250"/>
        <v>23</v>
      </c>
      <c r="Q569" s="304">
        <f t="shared" ca="1" si="251"/>
        <v>0</v>
      </c>
      <c r="R569" s="306">
        <f t="shared" ca="1" si="252"/>
        <v>0</v>
      </c>
      <c r="S569" s="307">
        <f t="shared" ca="1" si="253"/>
        <v>8.1379999999999981</v>
      </c>
      <c r="T569" s="304">
        <f t="shared" ca="1" si="233"/>
        <v>79.83377999999999</v>
      </c>
      <c r="U569" s="311">
        <f t="shared" ca="1" si="234"/>
        <v>0</v>
      </c>
      <c r="V569" s="306">
        <f t="shared" ca="1" si="235"/>
        <v>1.0827961965539104</v>
      </c>
      <c r="W569" s="304">
        <f t="shared" ca="1" si="236"/>
        <v>8.0130579148749526</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7.3900224526740637</v>
      </c>
      <c r="AH569" s="304">
        <f t="shared" ca="1" si="260"/>
        <v>-0.95364158928330067</v>
      </c>
    </row>
    <row r="570" spans="1:34" x14ac:dyDescent="0.2">
      <c r="A570" s="347">
        <f t="shared" ca="1" si="238"/>
        <v>0.1</v>
      </c>
      <c r="B570" s="304">
        <f t="shared" ca="1" si="239"/>
        <v>20.59999999999998</v>
      </c>
      <c r="D570" s="306">
        <f t="shared" ca="1" si="240"/>
        <v>-0.50869829430181068</v>
      </c>
      <c r="E570" s="307">
        <f t="shared" ca="1" si="241"/>
        <v>-8.9669365906627831</v>
      </c>
      <c r="F570" s="304">
        <f t="shared" ca="1" si="242"/>
        <v>8.9813543397191875</v>
      </c>
      <c r="G570" s="306">
        <f t="shared" ca="1" si="243"/>
        <v>24.402496220617088</v>
      </c>
      <c r="H570" s="307">
        <f t="shared" ca="1" si="244"/>
        <v>-41.423147910734116</v>
      </c>
      <c r="I570" s="304">
        <f t="shared" ca="1" si="245"/>
        <v>48.076595185513995</v>
      </c>
      <c r="J570" s="306">
        <f t="shared" ca="1" si="246"/>
        <v>591.38450987239491</v>
      </c>
      <c r="K570" s="307">
        <f t="shared" ca="1" si="247"/>
        <v>1228.2800032973362</v>
      </c>
      <c r="L570" s="304">
        <f t="shared" ca="1" si="232"/>
        <v>1363.234171012859</v>
      </c>
      <c r="M570" s="306">
        <f t="shared" ca="1" si="248"/>
        <v>-1.0384279390829219</v>
      </c>
      <c r="N570" s="304">
        <f t="shared" ca="1" si="249"/>
        <v>-59.497538237919571</v>
      </c>
      <c r="P570" s="310">
        <f t="shared" ca="1" si="250"/>
        <v>23</v>
      </c>
      <c r="Q570" s="304">
        <f t="shared" ca="1" si="251"/>
        <v>0</v>
      </c>
      <c r="R570" s="306">
        <f t="shared" ca="1" si="252"/>
        <v>0</v>
      </c>
      <c r="S570" s="307">
        <f t="shared" ca="1" si="253"/>
        <v>8.1379999999999981</v>
      </c>
      <c r="T570" s="304">
        <f t="shared" ca="1" si="233"/>
        <v>79.83377999999999</v>
      </c>
      <c r="U570" s="311">
        <f t="shared" ca="1" si="234"/>
        <v>0</v>
      </c>
      <c r="V570" s="306">
        <f t="shared" ca="1" si="235"/>
        <v>1.083241647104191</v>
      </c>
      <c r="W570" s="304">
        <f t="shared" ca="1" si="236"/>
        <v>8.2703975784606047</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7.4147604225916455</v>
      </c>
      <c r="AH570" s="304">
        <f t="shared" ca="1" si="260"/>
        <v>-0.98464707727635226</v>
      </c>
    </row>
    <row r="571" spans="1:34" x14ac:dyDescent="0.2">
      <c r="A571" s="347">
        <f t="shared" ca="1" si="238"/>
        <v>0.1</v>
      </c>
      <c r="B571" s="304">
        <f t="shared" ca="1" si="239"/>
        <v>20.699999999999982</v>
      </c>
      <c r="D571" s="306">
        <f t="shared" ca="1" si="240"/>
        <v>-0.51583315550264353</v>
      </c>
      <c r="E571" s="307">
        <f t="shared" ca="1" si="241"/>
        <v>-8.9343751088221097</v>
      </c>
      <c r="F571" s="304">
        <f t="shared" ca="1" si="242"/>
        <v>8.9492537358964128</v>
      </c>
      <c r="G571" s="306">
        <f t="shared" ca="1" si="243"/>
        <v>24.350912905066824</v>
      </c>
      <c r="H571" s="307">
        <f t="shared" ca="1" si="244"/>
        <v>-42.316585421616324</v>
      </c>
      <c r="I571" s="304">
        <f t="shared" ca="1" si="245"/>
        <v>48.822744300736524</v>
      </c>
      <c r="J571" s="306">
        <f t="shared" ca="1" si="246"/>
        <v>593.82218032867911</v>
      </c>
      <c r="K571" s="307">
        <f t="shared" ca="1" si="247"/>
        <v>1224.0930166307187</v>
      </c>
      <c r="L571" s="304">
        <f t="shared" ca="1" si="232"/>
        <v>1360.5250807002417</v>
      </c>
      <c r="M571" s="306">
        <f t="shared" ca="1" si="248"/>
        <v>-1.0486268758779196</v>
      </c>
      <c r="N571" s="304">
        <f t="shared" ca="1" si="249"/>
        <v>-60.081894271793622</v>
      </c>
      <c r="P571" s="310">
        <f t="shared" ca="1" si="250"/>
        <v>23</v>
      </c>
      <c r="Q571" s="304">
        <f t="shared" ca="1" si="251"/>
        <v>0</v>
      </c>
      <c r="R571" s="306">
        <f t="shared" ca="1" si="252"/>
        <v>0</v>
      </c>
      <c r="S571" s="307">
        <f t="shared" ca="1" si="253"/>
        <v>8.1379999999999981</v>
      </c>
      <c r="T571" s="304">
        <f t="shared" ca="1" si="233"/>
        <v>79.83377999999999</v>
      </c>
      <c r="U571" s="311">
        <f t="shared" ca="1" si="234"/>
        <v>0</v>
      </c>
      <c r="V571" s="306">
        <f t="shared" ca="1" si="235"/>
        <v>1.0836970058793425</v>
      </c>
      <c r="W571" s="304">
        <f t="shared" ca="1" si="236"/>
        <v>8.5326882896489149</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7.4360990751445026</v>
      </c>
      <c r="AH571" s="304">
        <f t="shared" ca="1" si="260"/>
        <v>-1.0162690560900229</v>
      </c>
    </row>
    <row r="572" spans="1:34" x14ac:dyDescent="0.2">
      <c r="A572" s="347">
        <f t="shared" ca="1" si="238"/>
        <v>0.1</v>
      </c>
      <c r="B572" s="304">
        <f t="shared" ca="1" si="239"/>
        <v>20.799999999999983</v>
      </c>
      <c r="D572" s="306">
        <f t="shared" ca="1" si="240"/>
        <v>-0.52295130992953109</v>
      </c>
      <c r="E572" s="307">
        <f t="shared" ca="1" si="241"/>
        <v>-8.9012244701357979</v>
      </c>
      <c r="F572" s="304">
        <f t="shared" ca="1" si="242"/>
        <v>8.91657306033553</v>
      </c>
      <c r="G572" s="306">
        <f t="shared" ca="1" si="243"/>
        <v>24.298617774073872</v>
      </c>
      <c r="H572" s="307">
        <f t="shared" ca="1" si="244"/>
        <v>-43.206707868629906</v>
      </c>
      <c r="I572" s="304">
        <f t="shared" ca="1" si="245"/>
        <v>49.570580292908254</v>
      </c>
      <c r="J572" s="306">
        <f t="shared" ca="1" si="246"/>
        <v>596.25465686263612</v>
      </c>
      <c r="K572" s="307">
        <f t="shared" ca="1" si="247"/>
        <v>1219.8168519662063</v>
      </c>
      <c r="L572" s="304">
        <f t="shared" ca="1" si="232"/>
        <v>1357.7454725283108</v>
      </c>
      <c r="M572" s="306">
        <f t="shared" ca="1" si="248"/>
        <v>-1.0584975114246333</v>
      </c>
      <c r="N572" s="304">
        <f t="shared" ca="1" si="249"/>
        <v>-60.647440029732131</v>
      </c>
      <c r="P572" s="310">
        <f t="shared" ca="1" si="250"/>
        <v>23</v>
      </c>
      <c r="Q572" s="304">
        <f t="shared" ca="1" si="251"/>
        <v>0</v>
      </c>
      <c r="R572" s="306">
        <f t="shared" ca="1" si="252"/>
        <v>0</v>
      </c>
      <c r="S572" s="307">
        <f t="shared" ca="1" si="253"/>
        <v>8.1379999999999981</v>
      </c>
      <c r="T572" s="304">
        <f t="shared" ca="1" si="233"/>
        <v>79.83377999999999</v>
      </c>
      <c r="U572" s="311">
        <f t="shared" ca="1" si="234"/>
        <v>0</v>
      </c>
      <c r="V572" s="306">
        <f t="shared" ca="1" si="235"/>
        <v>1.0841622487523832</v>
      </c>
      <c r="W572" s="304">
        <f t="shared" ca="1" si="236"/>
        <v>8.7998631706898909</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7.4542119468755086</v>
      </c>
      <c r="AH572" s="304">
        <f t="shared" ca="1" si="260"/>
        <v>-1.0484994211905772</v>
      </c>
    </row>
    <row r="573" spans="1:34" x14ac:dyDescent="0.2">
      <c r="A573" s="347">
        <f t="shared" ca="1" si="238"/>
        <v>0.1</v>
      </c>
      <c r="B573" s="304">
        <f t="shared" ca="1" si="239"/>
        <v>20.899999999999984</v>
      </c>
      <c r="D573" s="306">
        <f t="shared" ca="1" si="240"/>
        <v>-0.53004873252823526</v>
      </c>
      <c r="E573" s="307">
        <f t="shared" ca="1" si="241"/>
        <v>-8.8674912138862236</v>
      </c>
      <c r="F573" s="304">
        <f t="shared" ca="1" si="242"/>
        <v>8.8833187541145993</v>
      </c>
      <c r="G573" s="306">
        <f t="shared" ca="1" si="243"/>
        <v>24.245612900821047</v>
      </c>
      <c r="H573" s="307">
        <f t="shared" ca="1" si="244"/>
        <v>-44.093456990018531</v>
      </c>
      <c r="I573" s="304">
        <f t="shared" ca="1" si="245"/>
        <v>50.319804195436546</v>
      </c>
      <c r="J573" s="306">
        <f t="shared" ca="1" si="246"/>
        <v>598.68186839638088</v>
      </c>
      <c r="K573" s="307">
        <f t="shared" ca="1" si="247"/>
        <v>1215.4518437232739</v>
      </c>
      <c r="L573" s="304">
        <f t="shared" ca="1" si="232"/>
        <v>1354.895997468768</v>
      </c>
      <c r="M573" s="306">
        <f t="shared" ca="1" si="248"/>
        <v>-1.0680539097102668</v>
      </c>
      <c r="N573" s="304">
        <f t="shared" ca="1" si="249"/>
        <v>-61.194981318844981</v>
      </c>
      <c r="P573" s="310">
        <f t="shared" ca="1" si="250"/>
        <v>23</v>
      </c>
      <c r="Q573" s="304">
        <f t="shared" ca="1" si="251"/>
        <v>0</v>
      </c>
      <c r="R573" s="306">
        <f t="shared" ca="1" si="252"/>
        <v>0</v>
      </c>
      <c r="S573" s="307">
        <f t="shared" ca="1" si="253"/>
        <v>8.1379999999999981</v>
      </c>
      <c r="T573" s="304">
        <f t="shared" ca="1" si="233"/>
        <v>79.83377999999999</v>
      </c>
      <c r="U573" s="311">
        <f t="shared" ca="1" si="234"/>
        <v>0</v>
      </c>
      <c r="V573" s="306">
        <f t="shared" ca="1" si="235"/>
        <v>1.0846373511600209</v>
      </c>
      <c r="W573" s="304">
        <f t="shared" ca="1" si="236"/>
        <v>9.0718544478405487</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7.4692619829116396</v>
      </c>
      <c r="AH573" s="304">
        <f t="shared" ca="1" si="260"/>
        <v>-1.0813299546190578</v>
      </c>
    </row>
    <row r="574" spans="1:34" x14ac:dyDescent="0.2">
      <c r="A574" s="347">
        <f t="shared" ca="1" si="238"/>
        <v>0.1</v>
      </c>
      <c r="B574" s="304">
        <f t="shared" ca="1" si="239"/>
        <v>20.999999999999986</v>
      </c>
      <c r="D574" s="306">
        <f t="shared" ca="1" si="240"/>
        <v>-0.53712159386948821</v>
      </c>
      <c r="E574" s="307">
        <f t="shared" ca="1" si="241"/>
        <v>-8.8331821321830777</v>
      </c>
      <c r="F574" s="304">
        <f t="shared" ca="1" si="242"/>
        <v>8.8494975104194058</v>
      </c>
      <c r="G574" s="306">
        <f t="shared" ca="1" si="243"/>
        <v>24.1919007414341</v>
      </c>
      <c r="H574" s="307">
        <f t="shared" ca="1" si="244"/>
        <v>-44.976775203236841</v>
      </c>
      <c r="I574" s="304">
        <f t="shared" ca="1" si="245"/>
        <v>51.070131869478274</v>
      </c>
      <c r="J574" s="306">
        <f t="shared" ca="1" si="246"/>
        <v>601.10374407849361</v>
      </c>
      <c r="K574" s="307">
        <f t="shared" ca="1" si="247"/>
        <v>1210.998332113611</v>
      </c>
      <c r="L574" s="304">
        <f t="shared" ca="1" si="232"/>
        <v>1351.9773191615052</v>
      </c>
      <c r="M574" s="306">
        <f t="shared" ca="1" si="248"/>
        <v>-1.0773094644424859</v>
      </c>
      <c r="N574" s="304">
        <f t="shared" ca="1" si="249"/>
        <v>-61.72528554205347</v>
      </c>
      <c r="P574" s="310">
        <f t="shared" ca="1" si="250"/>
        <v>23</v>
      </c>
      <c r="Q574" s="304">
        <f t="shared" ca="1" si="251"/>
        <v>0</v>
      </c>
      <c r="R574" s="306">
        <f t="shared" ca="1" si="252"/>
        <v>0</v>
      </c>
      <c r="S574" s="307">
        <f t="shared" ca="1" si="253"/>
        <v>8.1379999999999981</v>
      </c>
      <c r="T574" s="304">
        <f t="shared" ca="1" si="233"/>
        <v>79.83377999999999</v>
      </c>
      <c r="U574" s="311">
        <f t="shared" ca="1" si="234"/>
        <v>0</v>
      </c>
      <c r="V574" s="306">
        <f t="shared" ca="1" si="235"/>
        <v>1.0851222881062432</v>
      </c>
      <c r="W574" s="304">
        <f t="shared" ca="1" si="236"/>
        <v>9.3485934791099012</v>
      </c>
      <c r="Y574" s="314" t="str">
        <f t="shared" ca="1" si="254"/>
        <v/>
      </c>
      <c r="Z574" s="315" t="str">
        <f t="shared" ca="1" si="255"/>
        <v/>
      </c>
      <c r="AA574" s="316" t="str">
        <f t="shared" ca="1" si="256"/>
        <v/>
      </c>
      <c r="AC574" s="310">
        <f t="shared" ca="1" si="257"/>
        <v>20.999999999999986</v>
      </c>
      <c r="AD574" s="323">
        <f t="shared" ca="1" si="258"/>
        <v>601.10374407849361</v>
      </c>
      <c r="AE574" s="324" t="e">
        <f t="shared" ca="1" si="237"/>
        <v>#N/A</v>
      </c>
      <c r="AG574" s="306">
        <f t="shared" ca="1" si="259"/>
        <v>7.4814022074220254</v>
      </c>
      <c r="AH574" s="304">
        <f t="shared" ca="1" si="260"/>
        <v>-1.1147523283166074</v>
      </c>
    </row>
    <row r="575" spans="1:34" x14ac:dyDescent="0.2">
      <c r="A575" s="347">
        <f t="shared" ca="1" si="238"/>
        <v>0.1</v>
      </c>
      <c r="B575" s="304">
        <f t="shared" ca="1" si="239"/>
        <v>21.099999999999987</v>
      </c>
      <c r="D575" s="306">
        <f t="shared" ca="1" si="240"/>
        <v>-0.54416624935295677</v>
      </c>
      <c r="E575" s="307">
        <f t="shared" ca="1" si="241"/>
        <v>-8.7983042538936296</v>
      </c>
      <c r="F575" s="304">
        <f t="shared" ca="1" si="242"/>
        <v>8.8151162585083132</v>
      </c>
      <c r="G575" s="306">
        <f t="shared" ca="1" si="243"/>
        <v>24.137484116498804</v>
      </c>
      <c r="H575" s="307">
        <f t="shared" ca="1" si="244"/>
        <v>-45.856605628626205</v>
      </c>
      <c r="I575" s="304">
        <f t="shared" ca="1" si="245"/>
        <v>51.821293106729641</v>
      </c>
      <c r="J575" s="306">
        <f t="shared" ca="1" si="246"/>
        <v>603.5202133213902</v>
      </c>
      <c r="K575" s="307">
        <f t="shared" ca="1" si="247"/>
        <v>1206.4566630720178</v>
      </c>
      <c r="L575" s="304">
        <f t="shared" ca="1" si="232"/>
        <v>1348.9901140328511</v>
      </c>
      <c r="M575" s="306">
        <f t="shared" ca="1" si="248"/>
        <v>-1.0862769274727411</v>
      </c>
      <c r="N575" s="304">
        <f t="shared" ca="1" si="249"/>
        <v>-62.239083326626691</v>
      </c>
      <c r="P575" s="310">
        <f t="shared" ca="1" si="250"/>
        <v>23</v>
      </c>
      <c r="Q575" s="304">
        <f t="shared" ca="1" si="251"/>
        <v>0</v>
      </c>
      <c r="R575" s="306">
        <f t="shared" ca="1" si="252"/>
        <v>0</v>
      </c>
      <c r="S575" s="307">
        <f t="shared" ca="1" si="253"/>
        <v>8.1379999999999981</v>
      </c>
      <c r="T575" s="304">
        <f t="shared" ca="1" si="233"/>
        <v>79.83377999999999</v>
      </c>
      <c r="U575" s="311">
        <f t="shared" ca="1" si="234"/>
        <v>0</v>
      </c>
      <c r="V575" s="306">
        <f t="shared" ca="1" si="235"/>
        <v>1.0856170341661286</v>
      </c>
      <c r="W575" s="304">
        <f t="shared" ca="1" si="236"/>
        <v>9.6300107826274282</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7.4907763638359128</v>
      </c>
      <c r="AH575" s="304">
        <f t="shared" ca="1" si="260"/>
        <v>-1.1487581075337803</v>
      </c>
    </row>
    <row r="576" spans="1:34" x14ac:dyDescent="0.2">
      <c r="A576" s="347">
        <f t="shared" ca="1" si="238"/>
        <v>0.1</v>
      </c>
      <c r="B576" s="304">
        <f t="shared" ca="1" si="239"/>
        <v>21.199999999999989</v>
      </c>
      <c r="D576" s="306">
        <f t="shared" ca="1" si="240"/>
        <v>-0.5511792291235208</v>
      </c>
      <c r="E576" s="307">
        <f t="shared" ca="1" si="241"/>
        <v>-8.7628648297139211</v>
      </c>
      <c r="F576" s="304">
        <f t="shared" ca="1" si="242"/>
        <v>8.7801821488198293</v>
      </c>
      <c r="G576" s="306">
        <f t="shared" ca="1" si="243"/>
        <v>24.082366193586452</v>
      </c>
      <c r="H576" s="307">
        <f t="shared" ca="1" si="244"/>
        <v>-46.7328921115976</v>
      </c>
      <c r="I576" s="304">
        <f t="shared" ca="1" si="245"/>
        <v>52.573030791425907</v>
      </c>
      <c r="J576" s="306">
        <f t="shared" ca="1" si="246"/>
        <v>605.93120583689449</v>
      </c>
      <c r="K576" s="307">
        <f t="shared" ca="1" si="247"/>
        <v>1201.8271881850067</v>
      </c>
      <c r="L576" s="304">
        <f t="shared" ca="1" si="232"/>
        <v>1345.9350714160146</v>
      </c>
      <c r="M576" s="306">
        <f t="shared" ca="1" si="248"/>
        <v>-1.0949684371100652</v>
      </c>
      <c r="N576" s="304">
        <f t="shared" ca="1" si="249"/>
        <v>-62.73707014644264</v>
      </c>
      <c r="P576" s="310">
        <f t="shared" ca="1" si="250"/>
        <v>23</v>
      </c>
      <c r="Q576" s="304">
        <f t="shared" ca="1" si="251"/>
        <v>0</v>
      </c>
      <c r="R576" s="306">
        <f t="shared" ca="1" si="252"/>
        <v>0</v>
      </c>
      <c r="S576" s="307">
        <f t="shared" ca="1" si="253"/>
        <v>8.1379999999999981</v>
      </c>
      <c r="T576" s="304">
        <f t="shared" ca="1" si="233"/>
        <v>79.83377999999999</v>
      </c>
      <c r="U576" s="311">
        <f t="shared" ca="1" si="234"/>
        <v>0</v>
      </c>
      <c r="V576" s="306">
        <f t="shared" ca="1" si="235"/>
        <v>1.0861215634898624</v>
      </c>
      <c r="W576" s="304">
        <f t="shared" ca="1" si="236"/>
        <v>9.9160360655786306</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7.4975195231934784</v>
      </c>
      <c r="AH576" s="304">
        <f t="shared" ca="1" si="260"/>
        <v>-1.1833387543164697</v>
      </c>
    </row>
    <row r="577" spans="1:34" x14ac:dyDescent="0.2">
      <c r="A577" s="347">
        <f t="shared" ca="1" si="238"/>
        <v>0.1</v>
      </c>
      <c r="B577" s="304">
        <f t="shared" ca="1" si="239"/>
        <v>21.29999999999999</v>
      </c>
      <c r="D577" s="306">
        <f t="shared" ca="1" si="240"/>
        <v>-0.55815722866090578</v>
      </c>
      <c r="E577" s="307">
        <f t="shared" ca="1" si="241"/>
        <v>-8.7268713182650171</v>
      </c>
      <c r="F577" s="304">
        <f t="shared" ca="1" si="242"/>
        <v>8.7447025391069193</v>
      </c>
      <c r="G577" s="306">
        <f t="shared" ca="1" si="243"/>
        <v>24.026550470720363</v>
      </c>
      <c r="H577" s="307">
        <f t="shared" ca="1" si="244"/>
        <v>-47.605579243424103</v>
      </c>
      <c r="I577" s="304">
        <f t="shared" ca="1" si="245"/>
        <v>53.325100118274555</v>
      </c>
      <c r="J577" s="306">
        <f t="shared" ca="1" si="246"/>
        <v>608.33665167010986</v>
      </c>
      <c r="K577" s="307">
        <f t="shared" ca="1" si="247"/>
        <v>1197.1102646172556</v>
      </c>
      <c r="L577" s="304">
        <f t="shared" ca="1" si="232"/>
        <v>1342.8128936740204</v>
      </c>
      <c r="M577" s="306">
        <f t="shared" ca="1" si="248"/>
        <v>-1.1033955460783718</v>
      </c>
      <c r="N577" s="304">
        <f t="shared" ca="1" si="249"/>
        <v>-63.219907923823456</v>
      </c>
      <c r="P577" s="310">
        <f t="shared" ca="1" si="250"/>
        <v>23</v>
      </c>
      <c r="Q577" s="304">
        <f t="shared" ca="1" si="251"/>
        <v>0</v>
      </c>
      <c r="R577" s="306">
        <f t="shared" ca="1" si="252"/>
        <v>0</v>
      </c>
      <c r="S577" s="307">
        <f t="shared" ca="1" si="253"/>
        <v>8.1379999999999981</v>
      </c>
      <c r="T577" s="304">
        <f t="shared" ca="1" si="233"/>
        <v>79.83377999999999</v>
      </c>
      <c r="U577" s="311">
        <f t="shared" ca="1" si="234"/>
        <v>0</v>
      </c>
      <c r="V577" s="306">
        <f t="shared" ca="1" si="235"/>
        <v>1.0866358498069439</v>
      </c>
      <c r="W577" s="304">
        <f t="shared" ca="1" si="236"/>
        <v>10.206598253654141</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7.5017586598485773</v>
      </c>
      <c r="AH577" s="304">
        <f t="shared" ca="1" si="260"/>
        <v>-1.218485631061518</v>
      </c>
    </row>
    <row r="578" spans="1:34" x14ac:dyDescent="0.2">
      <c r="A578" s="347">
        <f t="shared" ca="1" si="238"/>
        <v>0.1</v>
      </c>
      <c r="B578" s="304">
        <f t="shared" ca="1" si="239"/>
        <v>21.399999999999991</v>
      </c>
      <c r="D578" s="306">
        <f t="shared" ca="1" si="240"/>
        <v>-0.565097100003494</v>
      </c>
      <c r="E578" s="307">
        <f t="shared" ca="1" si="241"/>
        <v>-8.6903313731103857</v>
      </c>
      <c r="F578" s="304">
        <f t="shared" ca="1" si="242"/>
        <v>8.7086849814939917</v>
      </c>
      <c r="G578" s="306">
        <f t="shared" ca="1" si="243"/>
        <v>23.970040760720014</v>
      </c>
      <c r="H578" s="307">
        <f t="shared" ca="1" si="244"/>
        <v>-48.474612380735138</v>
      </c>
      <c r="I578" s="304">
        <f t="shared" ca="1" si="245"/>
        <v>54.077267863059603</v>
      </c>
      <c r="J578" s="306">
        <f t="shared" ca="1" si="246"/>
        <v>610.73648123168186</v>
      </c>
      <c r="K578" s="307">
        <f t="shared" ca="1" si="247"/>
        <v>1192.3062550360476</v>
      </c>
      <c r="L578" s="304">
        <f t="shared" ca="1" si="232"/>
        <v>1339.6242963254067</v>
      </c>
      <c r="M578" s="306">
        <f t="shared" ca="1" si="248"/>
        <v>-1.1115692489245879</v>
      </c>
      <c r="N578" s="304">
        <f t="shared" ca="1" si="249"/>
        <v>-63.688226599905704</v>
      </c>
      <c r="P578" s="310">
        <f t="shared" ca="1" si="250"/>
        <v>23</v>
      </c>
      <c r="Q578" s="304">
        <f t="shared" ca="1" si="251"/>
        <v>0</v>
      </c>
      <c r="R578" s="306">
        <f t="shared" ca="1" si="252"/>
        <v>0</v>
      </c>
      <c r="S578" s="307">
        <f t="shared" ca="1" si="253"/>
        <v>8.1379999999999981</v>
      </c>
      <c r="T578" s="304">
        <f t="shared" ca="1" si="233"/>
        <v>79.83377999999999</v>
      </c>
      <c r="U578" s="311">
        <f t="shared" ca="1" si="234"/>
        <v>0</v>
      </c>
      <c r="V578" s="306">
        <f t="shared" ca="1" si="235"/>
        <v>1.0871598664305755</v>
      </c>
      <c r="W578" s="304">
        <f t="shared" ca="1" si="236"/>
        <v>10.501625520961827</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7.5036131943989401</v>
      </c>
      <c r="AH578" s="304">
        <f t="shared" ca="1" si="260"/>
        <v>-1.2541900041354317</v>
      </c>
    </row>
    <row r="579" spans="1:34" x14ac:dyDescent="0.2">
      <c r="A579" s="347">
        <f t="shared" ca="1" si="238"/>
        <v>0.1</v>
      </c>
      <c r="B579" s="304">
        <f t="shared" ca="1" si="239"/>
        <v>21.499999999999993</v>
      </c>
      <c r="D579" s="306">
        <f t="shared" ca="1" si="240"/>
        <v>-0.57199584356758526</v>
      </c>
      <c r="E579" s="307">
        <f t="shared" ca="1" si="241"/>
        <v>-8.6532528306014687</v>
      </c>
      <c r="F579" s="304">
        <f t="shared" ca="1" si="242"/>
        <v>8.6721372103634824</v>
      </c>
      <c r="G579" s="306">
        <f t="shared" ca="1" si="243"/>
        <v>23.912841176363255</v>
      </c>
      <c r="H579" s="307">
        <f t="shared" ca="1" si="244"/>
        <v>-49.339937663795283</v>
      </c>
      <c r="I579" s="304">
        <f t="shared" ca="1" si="245"/>
        <v>54.829311702712246</v>
      </c>
      <c r="J579" s="306">
        <f t="shared" ca="1" si="246"/>
        <v>613.13062532853598</v>
      </c>
      <c r="K579" s="307">
        <f t="shared" ca="1" si="247"/>
        <v>1187.415527533821</v>
      </c>
      <c r="L579" s="304">
        <f t="shared" ca="1" si="232"/>
        <v>1336.3700081729551</v>
      </c>
      <c r="M579" s="306">
        <f t="shared" ca="1" si="248"/>
        <v>-1.1195000087301998</v>
      </c>
      <c r="N579" s="304">
        <f t="shared" ca="1" si="249"/>
        <v>-64.14262566509926</v>
      </c>
      <c r="P579" s="310">
        <f t="shared" ca="1" si="250"/>
        <v>23</v>
      </c>
      <c r="Q579" s="304">
        <f t="shared" ca="1" si="251"/>
        <v>0</v>
      </c>
      <c r="R579" s="306">
        <f t="shared" ca="1" si="252"/>
        <v>0</v>
      </c>
      <c r="S579" s="307">
        <f t="shared" ca="1" si="253"/>
        <v>8.1379999999999981</v>
      </c>
      <c r="T579" s="304">
        <f t="shared" ca="1" si="233"/>
        <v>79.83377999999999</v>
      </c>
      <c r="U579" s="311">
        <f t="shared" ca="1" si="234"/>
        <v>0</v>
      </c>
      <c r="V579" s="306">
        <f t="shared" ca="1" si="235"/>
        <v>1.0876935862622186</v>
      </c>
      <c r="W579" s="304">
        <f t="shared" ca="1" si="236"/>
        <v>10.801045320353861</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7.5031955042203391</v>
      </c>
      <c r="AH579" s="304">
        <f t="shared" ca="1" si="260"/>
        <v>-1.2904430475499913</v>
      </c>
    </row>
    <row r="580" spans="1:34" x14ac:dyDescent="0.2">
      <c r="A580" s="347">
        <f t="shared" ca="1" si="238"/>
        <v>0.1</v>
      </c>
      <c r="B580" s="304">
        <f t="shared" ca="1" si="239"/>
        <v>21.599999999999994</v>
      </c>
      <c r="D580" s="306">
        <f t="shared" ca="1" si="240"/>
        <v>-0.57885060052425408</v>
      </c>
      <c r="E580" s="307">
        <f t="shared" ca="1" si="241"/>
        <v>-8.6156436984682596</v>
      </c>
      <c r="F580" s="304">
        <f t="shared" ca="1" si="242"/>
        <v>8.6350671309887979</v>
      </c>
      <c r="G580" s="306">
        <f t="shared" ca="1" si="243"/>
        <v>23.854956116310831</v>
      </c>
      <c r="H580" s="307">
        <f t="shared" ca="1" si="244"/>
        <v>-50.201502033642107</v>
      </c>
      <c r="I580" s="304">
        <f t="shared" ca="1" si="245"/>
        <v>55.581019581732107</v>
      </c>
      <c r="J580" s="306">
        <f t="shared" ca="1" si="246"/>
        <v>615.51901519316971</v>
      </c>
      <c r="K580" s="307">
        <f t="shared" ca="1" si="247"/>
        <v>1182.4384555489492</v>
      </c>
      <c r="L580" s="304">
        <f t="shared" ref="L580:L643" ca="1" si="261">SQRT(pos_x^2+pos_z^2)</f>
        <v>1333.0507714357145</v>
      </c>
      <c r="M580" s="306">
        <f t="shared" ca="1" si="248"/>
        <v>-1.1271977830162674</v>
      </c>
      <c r="N580" s="304">
        <f t="shared" ca="1" si="249"/>
        <v>-64.583675643335269</v>
      </c>
      <c r="P580" s="310">
        <f t="shared" ca="1" si="250"/>
        <v>23</v>
      </c>
      <c r="Q580" s="304">
        <f t="shared" ca="1" si="251"/>
        <v>0</v>
      </c>
      <c r="R580" s="306">
        <f t="shared" ca="1" si="252"/>
        <v>0</v>
      </c>
      <c r="S580" s="307">
        <f t="shared" ca="1" si="253"/>
        <v>8.1379999999999981</v>
      </c>
      <c r="T580" s="304">
        <f t="shared" ref="T580:T643" ca="1" si="262">m*g</f>
        <v>79.83377999999999</v>
      </c>
      <c r="U580" s="311">
        <f t="shared" ref="U580:U643" ca="1" si="263">IF(pos_xz&lt;L_rampe,Poids*COS(Beta),0)</f>
        <v>0</v>
      </c>
      <c r="V580" s="306">
        <f t="shared" ref="V580:V643" ca="1" si="264">Rho_moyen*(20000-Alt_rampe-pos_z)/(20000+Alt_rampe+pos_z)</f>
        <v>1.0882369817963033</v>
      </c>
      <c r="W580" s="304">
        <f t="shared" ref="W580:W643" ca="1" si="265">1/2*Rho*Sref*Cx*vit_xz^2</f>
        <v>11.104784414122832</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7.5006114023563804</v>
      </c>
      <c r="AH580" s="304">
        <f t="shared" ca="1" si="260"/>
        <v>-1.3272358466888503</v>
      </c>
    </row>
    <row r="581" spans="1:34" x14ac:dyDescent="0.2">
      <c r="A581" s="347">
        <f t="shared" ref="A581:A644" ca="1" si="267">IF(B580+0.01&lt;=T_ini+ROUNDUP(Temps_fin_propu,0), 0.01, IF(K580&gt;0, 0.1, 0.0001))</f>
        <v>0.1</v>
      </c>
      <c r="B581" s="304">
        <f t="shared" ref="B581:B644" ca="1" si="268">B580+pas</f>
        <v>21.699999999999996</v>
      </c>
      <c r="D581" s="306">
        <f t="shared" ref="D581:D644" ca="1" si="269">IF(AND(L580&lt;L_rampe,Poussee&lt;Poids*SIN(M580)),0,(-W580+Poussee)/m*COS(M580)-U580/m*SIN(M580))</f>
        <v>-0.58565864569717552</v>
      </c>
      <c r="E581" s="307">
        <f t="shared" ref="E581:E644" ca="1" si="270">IF(AND(L580&lt;L_rampe,Poussee&lt;Poids*SIN(M580)),0,(-W580+Poussee)/m*SIN(M580)+U580/m*COS(M580)-Poids/m)</f>
        <v>-8.5775121450806644</v>
      </c>
      <c r="F581" s="304">
        <f t="shared" ref="F581:F644" ca="1" si="271">SQRT(acc_x^2+acc_z^2)</f>
        <v>8.5974828088392332</v>
      </c>
      <c r="G581" s="306">
        <f t="shared" ref="G581:G644" ca="1" si="272">G580+acc_x*pas</f>
        <v>23.796390251741112</v>
      </c>
      <c r="H581" s="307">
        <f t="shared" ref="H581:H644" ca="1" si="273">H580+acc_z*pas</f>
        <v>-51.059253248150171</v>
      </c>
      <c r="I581" s="304">
        <f t="shared" ref="I581:I644" ca="1" si="274">SQRT(vit_x^2+vit_z^2)</f>
        <v>56.332189121956667</v>
      </c>
      <c r="J581" s="306">
        <f t="shared" ref="J581:J644" ca="1" si="275">J580+0.5*(vit_x+G580)*pas*(K580&gt;=0)</f>
        <v>617.90158251157231</v>
      </c>
      <c r="K581" s="307">
        <f t="shared" ref="K581:K644" ca="1" si="276">K580+0.5*(vit_z+H580)*pas</f>
        <v>1177.3754177848596</v>
      </c>
      <c r="L581" s="304">
        <f t="shared" ca="1" si="261"/>
        <v>1329.6673418845701</v>
      </c>
      <c r="M581" s="306">
        <f t="shared" ref="M581:M644" ca="1" si="277">IF(AND(L580&gt;L_rampe,G581&gt;0),ATAN2(G581,H581),$M$4)</f>
        <v>-1.1346720487628685</v>
      </c>
      <c r="N581" s="304">
        <f t="shared" ref="N581:N644" ca="1" si="278">DEGREES(Beta)</f>
        <v>-65.011919525574712</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8.1379999999999981</v>
      </c>
      <c r="T581" s="304">
        <f t="shared" ca="1" si="262"/>
        <v>79.83377999999999</v>
      </c>
      <c r="U581" s="311">
        <f t="shared" ca="1" si="263"/>
        <v>0</v>
      </c>
      <c r="V581" s="306">
        <f t="shared" ca="1" si="264"/>
        <v>1.088790025125095</v>
      </c>
      <c r="W581" s="304">
        <f t="shared" ca="1" si="265"/>
        <v>11.412768905023535</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7.4959605857886809</v>
      </c>
      <c r="AH581" s="304">
        <f t="shared" ref="AH581:AH644" ca="1" si="289">IF(AND(L580&lt;L_rampe,Poussee&lt;Poids*SIN(M580)), g*SIN(M580), (-W580+Poussee)/m)</f>
        <v>-1.3645594020794833</v>
      </c>
    </row>
    <row r="582" spans="1:34" x14ac:dyDescent="0.2">
      <c r="A582" s="347">
        <f t="shared" ca="1" si="267"/>
        <v>0.1</v>
      </c>
      <c r="B582" s="304">
        <f t="shared" ca="1" si="268"/>
        <v>21.799999999999997</v>
      </c>
      <c r="D582" s="306">
        <f t="shared" ca="1" si="269"/>
        <v>-0.59241738094627272</v>
      </c>
      <c r="E582" s="307">
        <f t="shared" ca="1" si="270"/>
        <v>-8.5388664893143442</v>
      </c>
      <c r="F582" s="304">
        <f t="shared" ca="1" si="271"/>
        <v>8.5593924594904927</v>
      </c>
      <c r="G582" s="306">
        <f t="shared" ca="1" si="272"/>
        <v>23.737148513646485</v>
      </c>
      <c r="H582" s="307">
        <f t="shared" ca="1" si="273"/>
        <v>-51.913139897081606</v>
      </c>
      <c r="I582" s="304">
        <f t="shared" ca="1" si="274"/>
        <v>57.08262707280452</v>
      </c>
      <c r="J582" s="306">
        <f t="shared" ca="1" si="275"/>
        <v>620.2782594498417</v>
      </c>
      <c r="K582" s="307">
        <f t="shared" ca="1" si="276"/>
        <v>1172.2267981275979</v>
      </c>
      <c r="L582" s="304">
        <f t="shared" ca="1" si="261"/>
        <v>1326.2204889816041</v>
      </c>
      <c r="M582" s="306">
        <f t="shared" ca="1" si="277"/>
        <v>-1.1419318264892546</v>
      </c>
      <c r="N582" s="304">
        <f t="shared" ca="1" si="278"/>
        <v>-65.427874149499715</v>
      </c>
      <c r="P582" s="310">
        <f t="shared" ca="1" si="279"/>
        <v>23</v>
      </c>
      <c r="Q582" s="304">
        <f t="shared" ca="1" si="280"/>
        <v>0</v>
      </c>
      <c r="R582" s="306">
        <f t="shared" ca="1" si="281"/>
        <v>0</v>
      </c>
      <c r="S582" s="307">
        <f t="shared" ca="1" si="282"/>
        <v>8.1379999999999981</v>
      </c>
      <c r="T582" s="304">
        <f t="shared" ca="1" si="262"/>
        <v>79.83377999999999</v>
      </c>
      <c r="U582" s="311">
        <f t="shared" ca="1" si="263"/>
        <v>0</v>
      </c>
      <c r="V582" s="306">
        <f t="shared" ca="1" si="264"/>
        <v>1.0893526879436886</v>
      </c>
      <c r="W582" s="304">
        <f t="shared" ca="1" si="265"/>
        <v>11.724924267578478</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7.4893370543040252</v>
      </c>
      <c r="AH582" s="304">
        <f t="shared" ca="1" si="289"/>
        <v>-1.4024046332051534</v>
      </c>
    </row>
    <row r="583" spans="1:34" x14ac:dyDescent="0.2">
      <c r="A583" s="347">
        <f t="shared" ca="1" si="267"/>
        <v>0.1</v>
      </c>
      <c r="B583" s="304">
        <f t="shared" ca="1" si="268"/>
        <v>21.9</v>
      </c>
      <c r="D583" s="306">
        <f t="shared" ca="1" si="269"/>
        <v>-0.59912432900362977</v>
      </c>
      <c r="E583" s="307">
        <f t="shared" ca="1" si="270"/>
        <v>-8.4997151909619735</v>
      </c>
      <c r="F583" s="304">
        <f t="shared" ca="1" si="271"/>
        <v>8.5208044390816635</v>
      </c>
      <c r="G583" s="306">
        <f t="shared" ca="1" si="272"/>
        <v>23.677236080746123</v>
      </c>
      <c r="H583" s="307">
        <f t="shared" ca="1" si="273"/>
        <v>-52.763111416177807</v>
      </c>
      <c r="I583" s="304">
        <f t="shared" ca="1" si="274"/>
        <v>57.832148799256792</v>
      </c>
      <c r="J583" s="306">
        <f t="shared" ca="1" si="275"/>
        <v>622.64897867956131</v>
      </c>
      <c r="K583" s="307">
        <f t="shared" ca="1" si="276"/>
        <v>1166.992985561935</v>
      </c>
      <c r="L583" s="304">
        <f t="shared" ca="1" si="261"/>
        <v>1322.7109960234925</v>
      </c>
      <c r="M583" s="306">
        <f t="shared" ca="1" si="277"/>
        <v>-1.148985703361604</v>
      </c>
      <c r="N583" s="304">
        <f t="shared" ca="1" si="278"/>
        <v>-65.832031523490272</v>
      </c>
      <c r="P583" s="310">
        <f t="shared" ca="1" si="279"/>
        <v>23</v>
      </c>
      <c r="Q583" s="304">
        <f t="shared" ca="1" si="280"/>
        <v>0</v>
      </c>
      <c r="R583" s="306">
        <f t="shared" ca="1" si="281"/>
        <v>0</v>
      </c>
      <c r="S583" s="307">
        <f t="shared" ca="1" si="282"/>
        <v>8.1379999999999981</v>
      </c>
      <c r="T583" s="304">
        <f t="shared" ca="1" si="262"/>
        <v>79.83377999999999</v>
      </c>
      <c r="U583" s="311">
        <f t="shared" ca="1" si="263"/>
        <v>0</v>
      </c>
      <c r="V583" s="306">
        <f t="shared" ca="1" si="264"/>
        <v>1.0899249415551393</v>
      </c>
      <c r="W583" s="304">
        <f t="shared" ca="1" si="265"/>
        <v>12.041175379627377</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7.4808295013020771</v>
      </c>
      <c r="AH583" s="304">
        <f t="shared" ca="1" si="289"/>
        <v>-1.4407623823517426</v>
      </c>
    </row>
    <row r="584" spans="1:34" x14ac:dyDescent="0.2">
      <c r="A584" s="347">
        <f t="shared" ca="1" si="267"/>
        <v>0.1</v>
      </c>
      <c r="B584" s="304">
        <f t="shared" ca="1" si="268"/>
        <v>22</v>
      </c>
      <c r="D584" s="306">
        <f t="shared" ca="1" si="269"/>
        <v>-0.6057771277298597</v>
      </c>
      <c r="E584" s="307">
        <f t="shared" ca="1" si="270"/>
        <v>-8.4600668416372216</v>
      </c>
      <c r="F584" s="304">
        <f t="shared" ca="1" si="271"/>
        <v>8.4817272352658346</v>
      </c>
      <c r="G584" s="306">
        <f t="shared" ca="1" si="272"/>
        <v>23.616658367973137</v>
      </c>
      <c r="H584" s="307">
        <f t="shared" ca="1" si="273"/>
        <v>-53.609118100341533</v>
      </c>
      <c r="I584" s="304">
        <f t="shared" ca="1" si="274"/>
        <v>58.580577804985175</v>
      </c>
      <c r="J584" s="306">
        <f t="shared" ca="1" si="275"/>
        <v>625.01367340199727</v>
      </c>
      <c r="K584" s="307">
        <f t="shared" ca="1" si="276"/>
        <v>1161.6743740861091</v>
      </c>
      <c r="L584" s="304">
        <f t="shared" ca="1" si="261"/>
        <v>1319.1396602891643</v>
      </c>
      <c r="M584" s="306">
        <f t="shared" ca="1" si="277"/>
        <v>-1.155841855311925</v>
      </c>
      <c r="N584" s="304">
        <f t="shared" ca="1" si="278"/>
        <v>-66.224860093944059</v>
      </c>
      <c r="P584" s="310">
        <f t="shared" ca="1" si="279"/>
        <v>23</v>
      </c>
      <c r="Q584" s="304">
        <f t="shared" ca="1" si="280"/>
        <v>0</v>
      </c>
      <c r="R584" s="306">
        <f t="shared" ca="1" si="281"/>
        <v>0</v>
      </c>
      <c r="S584" s="307">
        <f t="shared" ca="1" si="282"/>
        <v>8.1379999999999981</v>
      </c>
      <c r="T584" s="304">
        <f t="shared" ca="1" si="262"/>
        <v>79.83377999999999</v>
      </c>
      <c r="U584" s="311">
        <f t="shared" ca="1" si="263"/>
        <v>0</v>
      </c>
      <c r="V584" s="306">
        <f t="shared" ca="1" si="264"/>
        <v>1.0905067568757125</v>
      </c>
      <c r="W584" s="304">
        <f t="shared" ca="1" si="265"/>
        <v>12.361446554082299</v>
      </c>
      <c r="Y584" s="314" t="str">
        <f t="shared" ca="1" si="283"/>
        <v/>
      </c>
      <c r="Z584" s="315" t="str">
        <f t="shared" ca="1" si="284"/>
        <v/>
      </c>
      <c r="AA584" s="316" t="str">
        <f t="shared" ca="1" si="285"/>
        <v/>
      </c>
      <c r="AC584" s="310">
        <f t="shared" ca="1" si="286"/>
        <v>22</v>
      </c>
      <c r="AD584" s="323">
        <f t="shared" ca="1" si="287"/>
        <v>625.01367340199727</v>
      </c>
      <c r="AE584" s="324" t="e">
        <f t="shared" ca="1" si="266"/>
        <v>#N/A</v>
      </c>
      <c r="AG584" s="306">
        <f t="shared" ca="1" si="288"/>
        <v>7.4705216779631778</v>
      </c>
      <c r="AH584" s="304">
        <f t="shared" ca="1" si="289"/>
        <v>-1.4796234184845638</v>
      </c>
    </row>
    <row r="585" spans="1:34" x14ac:dyDescent="0.2">
      <c r="A585" s="347">
        <f t="shared" ca="1" si="267"/>
        <v>0.1</v>
      </c>
      <c r="B585" s="304">
        <f t="shared" ca="1" si="268"/>
        <v>22.1</v>
      </c>
      <c r="D585" s="306">
        <f t="shared" ca="1" si="269"/>
        <v>-0.61237352476085694</v>
      </c>
      <c r="E585" s="307">
        <f t="shared" ca="1" si="270"/>
        <v>-8.4199301561245949</v>
      </c>
      <c r="F585" s="304">
        <f t="shared" ca="1" si="271"/>
        <v>8.4421694586074487</v>
      </c>
      <c r="G585" s="306">
        <f t="shared" ca="1" si="272"/>
        <v>23.555421015497053</v>
      </c>
      <c r="H585" s="307">
        <f t="shared" ca="1" si="273"/>
        <v>-54.451111115953992</v>
      </c>
      <c r="I585" s="304">
        <f t="shared" ca="1" si="274"/>
        <v>59.327745288181049</v>
      </c>
      <c r="J585" s="306">
        <f t="shared" ca="1" si="275"/>
        <v>627.37227737117075</v>
      </c>
      <c r="K585" s="307">
        <f t="shared" ca="1" si="276"/>
        <v>1156.2713626252944</v>
      </c>
      <c r="L585" s="304">
        <f t="shared" ca="1" si="261"/>
        <v>1315.5072931919626</v>
      </c>
      <c r="M585" s="306">
        <f t="shared" ca="1" si="277"/>
        <v>-1.1625080681649946</v>
      </c>
      <c r="N585" s="304">
        <f t="shared" ca="1" si="278"/>
        <v>-66.606805955760805</v>
      </c>
      <c r="P585" s="310">
        <f t="shared" ca="1" si="279"/>
        <v>23</v>
      </c>
      <c r="Q585" s="304">
        <f t="shared" ca="1" si="280"/>
        <v>0</v>
      </c>
      <c r="R585" s="306">
        <f t="shared" ca="1" si="281"/>
        <v>0</v>
      </c>
      <c r="S585" s="307">
        <f t="shared" ca="1" si="282"/>
        <v>8.1379999999999981</v>
      </c>
      <c r="T585" s="304">
        <f t="shared" ca="1" si="262"/>
        <v>79.83377999999999</v>
      </c>
      <c r="U585" s="311">
        <f t="shared" ca="1" si="263"/>
        <v>0</v>
      </c>
      <c r="V585" s="306">
        <f t="shared" ca="1" si="264"/>
        <v>1.0910981044402506</v>
      </c>
      <c r="W585" s="304">
        <f t="shared" ca="1" si="265"/>
        <v>12.68566157085178</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7.4584927322321484</v>
      </c>
      <c r="AH585" s="304">
        <f t="shared" ca="1" si="289"/>
        <v>-1.5189784411504426</v>
      </c>
    </row>
    <row r="586" spans="1:34" x14ac:dyDescent="0.2">
      <c r="A586" s="347">
        <f t="shared" ca="1" si="267"/>
        <v>0.1</v>
      </c>
      <c r="B586" s="304">
        <f t="shared" ca="1" si="268"/>
        <v>22.200000000000003</v>
      </c>
      <c r="D586" s="306">
        <f t="shared" ca="1" si="269"/>
        <v>-0.61891137251664219</v>
      </c>
      <c r="E586" s="307">
        <f t="shared" ca="1" si="270"/>
        <v>-8.3793139641333578</v>
      </c>
      <c r="F586" s="304">
        <f t="shared" ca="1" si="271"/>
        <v>8.4021398343844957</v>
      </c>
      <c r="G586" s="306">
        <f t="shared" ca="1" si="272"/>
        <v>23.49352987824539</v>
      </c>
      <c r="H586" s="307">
        <f t="shared" ca="1" si="273"/>
        <v>-55.289042512367331</v>
      </c>
      <c r="I586" s="304">
        <f t="shared" ca="1" si="274"/>
        <v>60.07348972778567</v>
      </c>
      <c r="J586" s="306">
        <f t="shared" ca="1" si="275"/>
        <v>629.72472491585791</v>
      </c>
      <c r="K586" s="307">
        <f t="shared" ca="1" si="276"/>
        <v>1150.7843549438783</v>
      </c>
      <c r="L586" s="304">
        <f t="shared" ca="1" si="261"/>
        <v>1311.8147204365223</v>
      </c>
      <c r="M586" s="306">
        <f t="shared" ca="1" si="277"/>
        <v>-1.1689917577807938</v>
      </c>
      <c r="N586" s="304">
        <f t="shared" ca="1" si="278"/>
        <v>-66.978294006418892</v>
      </c>
      <c r="P586" s="310">
        <f t="shared" ca="1" si="279"/>
        <v>23</v>
      </c>
      <c r="Q586" s="304">
        <f t="shared" ca="1" si="280"/>
        <v>0</v>
      </c>
      <c r="R586" s="306">
        <f t="shared" ca="1" si="281"/>
        <v>0</v>
      </c>
      <c r="S586" s="307">
        <f t="shared" ca="1" si="282"/>
        <v>8.1379999999999981</v>
      </c>
      <c r="T586" s="304">
        <f t="shared" ca="1" si="262"/>
        <v>79.83377999999999</v>
      </c>
      <c r="U586" s="311">
        <f t="shared" ca="1" si="263"/>
        <v>0</v>
      </c>
      <c r="V586" s="306">
        <f t="shared" ca="1" si="264"/>
        <v>1.0916989544076425</v>
      </c>
      <c r="W586" s="304">
        <f t="shared" ca="1" si="265"/>
        <v>13.013743708898485</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7.4448175240796104</v>
      </c>
      <c r="AH586" s="304">
        <f t="shared" ca="1" si="289"/>
        <v>-1.558818084400563</v>
      </c>
    </row>
    <row r="587" spans="1:34" x14ac:dyDescent="0.2">
      <c r="A587" s="347">
        <f t="shared" ca="1" si="267"/>
        <v>0.1</v>
      </c>
      <c r="B587" s="304">
        <f t="shared" ca="1" si="268"/>
        <v>22.300000000000004</v>
      </c>
      <c r="D587" s="306">
        <f t="shared" ca="1" si="269"/>
        <v>-0.62538862354574876</v>
      </c>
      <c r="E587" s="307">
        <f t="shared" ca="1" si="270"/>
        <v>-8.3382272024184143</v>
      </c>
      <c r="F587" s="304">
        <f t="shared" ca="1" si="271"/>
        <v>8.3616471947583904</v>
      </c>
      <c r="G587" s="306">
        <f t="shared" ca="1" si="272"/>
        <v>23.430991015890815</v>
      </c>
      <c r="H587" s="307">
        <f t="shared" ca="1" si="273"/>
        <v>-56.122865232609172</v>
      </c>
      <c r="I587" s="304">
        <f t="shared" ca="1" si="274"/>
        <v>60.817656497964201</v>
      </c>
      <c r="J587" s="306">
        <f t="shared" ca="1" si="275"/>
        <v>632.07095096056469</v>
      </c>
      <c r="K587" s="307">
        <f t="shared" ca="1" si="276"/>
        <v>1145.2137595566294</v>
      </c>
      <c r="L587" s="304">
        <f t="shared" ca="1" si="261"/>
        <v>1308.0627821805886</v>
      </c>
      <c r="M587" s="306">
        <f t="shared" ca="1" si="277"/>
        <v>-1.1752999892281715</v>
      </c>
      <c r="N587" s="304">
        <f t="shared" ca="1" si="278"/>
        <v>-67.339729044545336</v>
      </c>
      <c r="P587" s="310">
        <f t="shared" ca="1" si="279"/>
        <v>23</v>
      </c>
      <c r="Q587" s="304">
        <f t="shared" ca="1" si="280"/>
        <v>0</v>
      </c>
      <c r="R587" s="306">
        <f t="shared" ca="1" si="281"/>
        <v>0</v>
      </c>
      <c r="S587" s="307">
        <f t="shared" ca="1" si="282"/>
        <v>8.1379999999999981</v>
      </c>
      <c r="T587" s="304">
        <f t="shared" ca="1" si="262"/>
        <v>79.83377999999999</v>
      </c>
      <c r="U587" s="311">
        <f t="shared" ca="1" si="263"/>
        <v>0</v>
      </c>
      <c r="V587" s="306">
        <f t="shared" ca="1" si="264"/>
        <v>1.0923092765663971</v>
      </c>
      <c r="W587" s="304">
        <f t="shared" ca="1" si="265"/>
        <v>13.345615778396523</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7.4295669184849622</v>
      </c>
      <c r="AH587" s="304">
        <f t="shared" ca="1" si="289"/>
        <v>-1.5991329207297231</v>
      </c>
    </row>
    <row r="588" spans="1:34" x14ac:dyDescent="0.2">
      <c r="A588" s="347">
        <f t="shared" ca="1" si="267"/>
        <v>0.1</v>
      </c>
      <c r="B588" s="304">
        <f t="shared" ca="1" si="268"/>
        <v>22.400000000000006</v>
      </c>
      <c r="D588" s="306">
        <f t="shared" ca="1" si="269"/>
        <v>-0.63180332618031432</v>
      </c>
      <c r="E588" s="307">
        <f t="shared" ca="1" si="270"/>
        <v>-8.296678907235119</v>
      </c>
      <c r="F588" s="304">
        <f t="shared" ca="1" si="271"/>
        <v>8.3207004712784034</v>
      </c>
      <c r="G588" s="306">
        <f t="shared" ca="1" si="272"/>
        <v>23.367810683272783</v>
      </c>
      <c r="H588" s="307">
        <f t="shared" ca="1" si="273"/>
        <v>-56.952533123332685</v>
      </c>
      <c r="I588" s="304">
        <f t="shared" ca="1" si="274"/>
        <v>61.560097508805043</v>
      </c>
      <c r="J588" s="306">
        <f t="shared" ca="1" si="275"/>
        <v>634.41089104552282</v>
      </c>
      <c r="K588" s="307">
        <f t="shared" ca="1" si="276"/>
        <v>1139.5599896388323</v>
      </c>
      <c r="L588" s="304">
        <f t="shared" ca="1" si="261"/>
        <v>1304.2523332019882</v>
      </c>
      <c r="M588" s="306">
        <f t="shared" ca="1" si="277"/>
        <v>-1.1814394950118374</v>
      </c>
      <c r="N588" s="304">
        <f t="shared" ca="1" si="278"/>
        <v>-67.691496814245554</v>
      </c>
      <c r="P588" s="310">
        <f t="shared" ca="1" si="279"/>
        <v>23</v>
      </c>
      <c r="Q588" s="304">
        <f t="shared" ca="1" si="280"/>
        <v>0</v>
      </c>
      <c r="R588" s="306">
        <f t="shared" ca="1" si="281"/>
        <v>0</v>
      </c>
      <c r="S588" s="307">
        <f t="shared" ca="1" si="282"/>
        <v>8.1379999999999981</v>
      </c>
      <c r="T588" s="304">
        <f t="shared" ca="1" si="262"/>
        <v>79.83377999999999</v>
      </c>
      <c r="U588" s="311">
        <f t="shared" ca="1" si="263"/>
        <v>0</v>
      </c>
      <c r="V588" s="306">
        <f t="shared" ca="1" si="264"/>
        <v>1.092929040340312</v>
      </c>
      <c r="W588" s="304">
        <f t="shared" ca="1" si="265"/>
        <v>13.681200152955633</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7.4128080575504898</v>
      </c>
      <c r="AH588" s="304">
        <f t="shared" ca="1" si="289"/>
        <v>-1.6399134650278355</v>
      </c>
    </row>
    <row r="589" spans="1:34" x14ac:dyDescent="0.2">
      <c r="A589" s="347">
        <f t="shared" ca="1" si="267"/>
        <v>0.1</v>
      </c>
      <c r="B589" s="304">
        <f t="shared" ca="1" si="268"/>
        <v>22.500000000000007</v>
      </c>
      <c r="D589" s="306">
        <f t="shared" ca="1" si="269"/>
        <v>-0.63815362047868296</v>
      </c>
      <c r="E589" s="307">
        <f t="shared" ca="1" si="270"/>
        <v>-8.254678207098662</v>
      </c>
      <c r="F589" s="304">
        <f t="shared" ca="1" si="271"/>
        <v>8.2793086876912394</v>
      </c>
      <c r="G589" s="306">
        <f t="shared" ca="1" si="272"/>
        <v>23.303995321224914</v>
      </c>
      <c r="H589" s="307">
        <f t="shared" ca="1" si="273"/>
        <v>-57.778000944042553</v>
      </c>
      <c r="I589" s="304">
        <f t="shared" ca="1" si="274"/>
        <v>62.300670871359436</v>
      </c>
      <c r="J589" s="306">
        <f t="shared" ca="1" si="275"/>
        <v>636.74448134574766</v>
      </c>
      <c r="K589" s="307">
        <f t="shared" ca="1" si="276"/>
        <v>1133.8234629354636</v>
      </c>
      <c r="L589" s="304">
        <f t="shared" ca="1" si="261"/>
        <v>1300.3842430709592</v>
      </c>
      <c r="M589" s="306">
        <f t="shared" ca="1" si="277"/>
        <v>-1.1874166923795673</v>
      </c>
      <c r="N589" s="304">
        <f t="shared" ca="1" si="278"/>
        <v>-68.033964996733189</v>
      </c>
      <c r="P589" s="310">
        <f t="shared" ca="1" si="279"/>
        <v>23</v>
      </c>
      <c r="Q589" s="304">
        <f t="shared" ca="1" si="280"/>
        <v>0</v>
      </c>
      <c r="R589" s="306">
        <f t="shared" ca="1" si="281"/>
        <v>0</v>
      </c>
      <c r="S589" s="307">
        <f t="shared" ca="1" si="282"/>
        <v>8.1379999999999981</v>
      </c>
      <c r="T589" s="304">
        <f t="shared" ca="1" si="262"/>
        <v>79.83377999999999</v>
      </c>
      <c r="U589" s="311">
        <f t="shared" ca="1" si="263"/>
        <v>0</v>
      </c>
      <c r="V589" s="306">
        <f t="shared" ca="1" si="264"/>
        <v>1.0935582147942273</v>
      </c>
      <c r="W589" s="304">
        <f t="shared" ca="1" si="265"/>
        <v>14.020418801880529</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7.3946046131089744</v>
      </c>
      <c r="AH589" s="304">
        <f t="shared" ca="1" si="289"/>
        <v>-1.6811501785396457</v>
      </c>
    </row>
    <row r="590" spans="1:34" x14ac:dyDescent="0.2">
      <c r="A590" s="347">
        <f t="shared" ca="1" si="267"/>
        <v>0.1</v>
      </c>
      <c r="B590" s="304">
        <f t="shared" ca="1" si="268"/>
        <v>22.600000000000009</v>
      </c>
      <c r="D590" s="306">
        <f t="shared" ca="1" si="269"/>
        <v>-0.64443773443390628</v>
      </c>
      <c r="E590" s="307">
        <f t="shared" ca="1" si="270"/>
        <v>-8.2122343158219557</v>
      </c>
      <c r="F590" s="304">
        <f t="shared" ca="1" si="271"/>
        <v>8.2374809530296336</v>
      </c>
      <c r="G590" s="306">
        <f t="shared" ca="1" si="272"/>
        <v>23.239551547781524</v>
      </c>
      <c r="H590" s="307">
        <f t="shared" ca="1" si="273"/>
        <v>-58.59922437562475</v>
      </c>
      <c r="I590" s="304">
        <f t="shared" ca="1" si="274"/>
        <v>63.039240585264096</v>
      </c>
      <c r="J590" s="306">
        <f t="shared" ca="1" si="275"/>
        <v>639.07165868919799</v>
      </c>
      <c r="K590" s="307">
        <f t="shared" ca="1" si="276"/>
        <v>1128.0046016694803</v>
      </c>
      <c r="L590" s="304">
        <f t="shared" ca="1" si="261"/>
        <v>1296.4593963280477</v>
      </c>
      <c r="M590" s="306">
        <f t="shared" ca="1" si="277"/>
        <v>-1.19323769974001</v>
      </c>
      <c r="N590" s="304">
        <f t="shared" ca="1" si="278"/>
        <v>-68.36748415100115</v>
      </c>
      <c r="P590" s="310">
        <f t="shared" ca="1" si="279"/>
        <v>23</v>
      </c>
      <c r="Q590" s="304">
        <f t="shared" ca="1" si="280"/>
        <v>0</v>
      </c>
      <c r="R590" s="306">
        <f t="shared" ca="1" si="281"/>
        <v>0</v>
      </c>
      <c r="S590" s="307">
        <f t="shared" ca="1" si="282"/>
        <v>8.1379999999999981</v>
      </c>
      <c r="T590" s="304">
        <f t="shared" ca="1" si="262"/>
        <v>79.83377999999999</v>
      </c>
      <c r="U590" s="311">
        <f t="shared" ca="1" si="263"/>
        <v>0</v>
      </c>
      <c r="V590" s="306">
        <f t="shared" ca="1" si="264"/>
        <v>1.0941967686398624</v>
      </c>
      <c r="W590" s="304">
        <f t="shared" ca="1" si="265"/>
        <v>14.363193322435079</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7.3750170211315593</v>
      </c>
      <c r="AH590" s="304">
        <f t="shared" ca="1" si="289"/>
        <v>-1.7228334728287702</v>
      </c>
    </row>
    <row r="591" spans="1:34" x14ac:dyDescent="0.2">
      <c r="A591" s="347">
        <f t="shared" ca="1" si="267"/>
        <v>0.1</v>
      </c>
      <c r="B591" s="304">
        <f t="shared" ca="1" si="268"/>
        <v>22.70000000000001</v>
      </c>
      <c r="D591" s="306">
        <f t="shared" ca="1" si="269"/>
        <v>-0.65065398042804601</v>
      </c>
      <c r="E591" s="307">
        <f t="shared" ca="1" si="270"/>
        <v>-8.1693565258088583</v>
      </c>
      <c r="F591" s="304">
        <f t="shared" ca="1" si="271"/>
        <v>8.19522645495673</v>
      </c>
      <c r="G591" s="306">
        <f t="shared" ca="1" si="272"/>
        <v>23.174486149738719</v>
      </c>
      <c r="H591" s="307">
        <f t="shared" ca="1" si="273"/>
        <v>-59.416160028205638</v>
      </c>
      <c r="I591" s="304">
        <f t="shared" ca="1" si="274"/>
        <v>63.775676247310564</v>
      </c>
      <c r="J591" s="306">
        <f t="shared" ca="1" si="275"/>
        <v>641.39236057407402</v>
      </c>
      <c r="K591" s="307">
        <f t="shared" ca="1" si="276"/>
        <v>1122.1038324492888</v>
      </c>
      <c r="L591" s="304">
        <f t="shared" ca="1" si="261"/>
        <v>1292.4786926677612</v>
      </c>
      <c r="M591" s="306">
        <f t="shared" ca="1" si="277"/>
        <v>-1.1989083522239246</v>
      </c>
      <c r="N591" s="304">
        <f t="shared" ca="1" si="278"/>
        <v>-68.69238860541482</v>
      </c>
      <c r="P591" s="310">
        <f t="shared" ca="1" si="279"/>
        <v>23</v>
      </c>
      <c r="Q591" s="304">
        <f t="shared" ca="1" si="280"/>
        <v>0</v>
      </c>
      <c r="R591" s="306">
        <f t="shared" ca="1" si="281"/>
        <v>0</v>
      </c>
      <c r="S591" s="307">
        <f t="shared" ca="1" si="282"/>
        <v>8.1379999999999981</v>
      </c>
      <c r="T591" s="304">
        <f t="shared" ca="1" si="262"/>
        <v>79.83377999999999</v>
      </c>
      <c r="U591" s="311">
        <f t="shared" ca="1" si="263"/>
        <v>0</v>
      </c>
      <c r="V591" s="306">
        <f t="shared" ca="1" si="264"/>
        <v>1.0948446702417349</v>
      </c>
      <c r="W591" s="304">
        <f t="shared" ca="1" si="265"/>
        <v>14.709444972081743</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7.354102699181154</v>
      </c>
      <c r="AH591" s="304">
        <f t="shared" ca="1" si="289"/>
        <v>-1.7649537137423301</v>
      </c>
    </row>
    <row r="592" spans="1:34" x14ac:dyDescent="0.2">
      <c r="A592" s="347">
        <f t="shared" ca="1" si="267"/>
        <v>0.1</v>
      </c>
      <c r="B592" s="304">
        <f t="shared" ca="1" si="268"/>
        <v>22.800000000000011</v>
      </c>
      <c r="D592" s="306">
        <f t="shared" ca="1" si="269"/>
        <v>-0.65680075191359755</v>
      </c>
      <c r="E592" s="307">
        <f t="shared" ca="1" si="270"/>
        <v>-8.1260542015821962</v>
      </c>
      <c r="F592" s="304">
        <f t="shared" ca="1" si="271"/>
        <v>8.1525544533456458</v>
      </c>
      <c r="G592" s="306">
        <f t="shared" ca="1" si="272"/>
        <v>23.10880607454736</v>
      </c>
      <c r="H592" s="307">
        <f t="shared" ca="1" si="273"/>
        <v>-60.228765448363859</v>
      </c>
      <c r="I592" s="304">
        <f t="shared" ca="1" si="274"/>
        <v>64.509852779440337</v>
      </c>
      <c r="J592" s="306">
        <f t="shared" ca="1" si="275"/>
        <v>643.70652518528834</v>
      </c>
      <c r="K592" s="307">
        <f t="shared" ca="1" si="276"/>
        <v>1116.1215861754604</v>
      </c>
      <c r="L592" s="304">
        <f t="shared" ca="1" si="261"/>
        <v>1288.4430471281778</v>
      </c>
      <c r="M592" s="306">
        <f t="shared" ca="1" si="277"/>
        <v>-1.2044342164232582</v>
      </c>
      <c r="N592" s="304">
        <f t="shared" ca="1" si="278"/>
        <v>-69.008997302199077</v>
      </c>
      <c r="P592" s="310">
        <f t="shared" ca="1" si="279"/>
        <v>23</v>
      </c>
      <c r="Q592" s="304">
        <f t="shared" ca="1" si="280"/>
        <v>0</v>
      </c>
      <c r="R592" s="306">
        <f t="shared" ca="1" si="281"/>
        <v>0</v>
      </c>
      <c r="S592" s="307">
        <f t="shared" ca="1" si="282"/>
        <v>8.1379999999999981</v>
      </c>
      <c r="T592" s="304">
        <f t="shared" ca="1" si="262"/>
        <v>79.83377999999999</v>
      </c>
      <c r="U592" s="311">
        <f t="shared" ca="1" si="263"/>
        <v>0</v>
      </c>
      <c r="V592" s="306">
        <f t="shared" ca="1" si="264"/>
        <v>1.0955018876231453</v>
      </c>
      <c r="W592" s="304">
        <f t="shared" ca="1" si="265"/>
        <v>15.059094700667828</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7.3319162480921509</v>
      </c>
      <c r="AH592" s="304">
        <f t="shared" ca="1" si="289"/>
        <v>-1.807501225372542</v>
      </c>
    </row>
    <row r="593" spans="1:34" x14ac:dyDescent="0.2">
      <c r="A593" s="347">
        <f t="shared" ca="1" si="267"/>
        <v>0.1</v>
      </c>
      <c r="B593" s="304">
        <f t="shared" ca="1" si="268"/>
        <v>22.900000000000013</v>
      </c>
      <c r="D593" s="306">
        <f t="shared" ca="1" si="269"/>
        <v>-0.66287652030470889</v>
      </c>
      <c r="E593" s="307">
        <f t="shared" ca="1" si="270"/>
        <v>-8.0823367735283611</v>
      </c>
      <c r="F593" s="304">
        <f t="shared" ca="1" si="271"/>
        <v>8.1094742740759784</v>
      </c>
      <c r="G593" s="306">
        <f t="shared" ca="1" si="272"/>
        <v>23.042518422516888</v>
      </c>
      <c r="H593" s="307">
        <f t="shared" ca="1" si="273"/>
        <v>-61.036999125716697</v>
      </c>
      <c r="I593" s="304">
        <f t="shared" ca="1" si="274"/>
        <v>65.241650174752408</v>
      </c>
      <c r="J593" s="306">
        <f t="shared" ca="1" si="275"/>
        <v>646.01409141014153</v>
      </c>
      <c r="K593" s="307">
        <f t="shared" ca="1" si="276"/>
        <v>1110.0582979467563</v>
      </c>
      <c r="L593" s="304">
        <f t="shared" ca="1" si="261"/>
        <v>1284.3533902866923</v>
      </c>
      <c r="M593" s="306">
        <f t="shared" ca="1" si="277"/>
        <v>-1.2098206043433664</v>
      </c>
      <c r="N593" s="304">
        <f t="shared" ca="1" si="278"/>
        <v>-69.317614596841523</v>
      </c>
      <c r="P593" s="310">
        <f t="shared" ca="1" si="279"/>
        <v>23</v>
      </c>
      <c r="Q593" s="304">
        <f t="shared" ca="1" si="280"/>
        <v>0</v>
      </c>
      <c r="R593" s="306">
        <f t="shared" ca="1" si="281"/>
        <v>0</v>
      </c>
      <c r="S593" s="307">
        <f t="shared" ca="1" si="282"/>
        <v>8.1379999999999981</v>
      </c>
      <c r="T593" s="304">
        <f t="shared" ca="1" si="262"/>
        <v>79.83377999999999</v>
      </c>
      <c r="U593" s="311">
        <f t="shared" ca="1" si="263"/>
        <v>0</v>
      </c>
      <c r="V593" s="306">
        <f t="shared" ca="1" si="264"/>
        <v>1.0961683884722346</v>
      </c>
      <c r="W593" s="304">
        <f t="shared" ca="1" si="265"/>
        <v>15.412063182531098</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7.3085096389910511</v>
      </c>
      <c r="AH593" s="304">
        <f t="shared" ca="1" si="289"/>
        <v>-1.8504662940117758</v>
      </c>
    </row>
    <row r="594" spans="1:34" x14ac:dyDescent="0.2">
      <c r="A594" s="347">
        <f t="shared" ca="1" si="267"/>
        <v>0.1</v>
      </c>
      <c r="B594" s="304">
        <f t="shared" ca="1" si="268"/>
        <v>23.000000000000014</v>
      </c>
      <c r="D594" s="306">
        <f t="shared" ca="1" si="269"/>
        <v>-0.66887983206214241</v>
      </c>
      <c r="E594" s="307">
        <f t="shared" ca="1" si="270"/>
        <v>-8.0382137318422888</v>
      </c>
      <c r="F594" s="304">
        <f t="shared" ca="1" si="271"/>
        <v>8.0659953030309541</v>
      </c>
      <c r="G594" s="306">
        <f t="shared" ca="1" si="272"/>
        <v>22.975630439310674</v>
      </c>
      <c r="H594" s="307">
        <f t="shared" ca="1" si="273"/>
        <v>-61.840820498900925</v>
      </c>
      <c r="I594" s="304">
        <f t="shared" ca="1" si="274"/>
        <v>65.970953260211914</v>
      </c>
      <c r="J594" s="306">
        <f t="shared" ca="1" si="275"/>
        <v>648.31499885323296</v>
      </c>
      <c r="K594" s="307">
        <f t="shared" ca="1" si="276"/>
        <v>1103.9144069655254</v>
      </c>
      <c r="L594" s="304">
        <f t="shared" ca="1" si="261"/>
        <v>1280.2106684620758</v>
      </c>
      <c r="M594" s="306">
        <f t="shared" ca="1" si="277"/>
        <v>-1.2150725866040135</v>
      </c>
      <c r="N594" s="304">
        <f t="shared" ca="1" si="278"/>
        <v>-69.618531014454177</v>
      </c>
      <c r="P594" s="310">
        <f t="shared" ca="1" si="279"/>
        <v>23</v>
      </c>
      <c r="Q594" s="304">
        <f t="shared" ca="1" si="280"/>
        <v>0</v>
      </c>
      <c r="R594" s="306">
        <f t="shared" ca="1" si="281"/>
        <v>0</v>
      </c>
      <c r="S594" s="307">
        <f t="shared" ca="1" si="282"/>
        <v>8.1379999999999981</v>
      </c>
      <c r="T594" s="304">
        <f t="shared" ca="1" si="262"/>
        <v>79.83377999999999</v>
      </c>
      <c r="U594" s="311">
        <f t="shared" ca="1" si="263"/>
        <v>0</v>
      </c>
      <c r="V594" s="306">
        <f t="shared" ca="1" si="264"/>
        <v>1.0968441401481013</v>
      </c>
      <c r="W594" s="304">
        <f t="shared" ca="1" si="265"/>
        <v>15.768270848498148</v>
      </c>
      <c r="Y594" s="314" t="str">
        <f t="shared" ca="1" si="283"/>
        <v/>
      </c>
      <c r="Z594" s="315" t="str">
        <f t="shared" ca="1" si="284"/>
        <v/>
      </c>
      <c r="AA594" s="316" t="str">
        <f t="shared" ca="1" si="285"/>
        <v/>
      </c>
      <c r="AC594" s="310">
        <f t="shared" ca="1" si="286"/>
        <v>23.000000000000014</v>
      </c>
      <c r="AD594" s="323">
        <f t="shared" ca="1" si="287"/>
        <v>648.31499885323296</v>
      </c>
      <c r="AE594" s="324" t="e">
        <f t="shared" ca="1" si="266"/>
        <v>#N/A</v>
      </c>
      <c r="AG594" s="306">
        <f t="shared" ca="1" si="288"/>
        <v>7.2839323867062715</v>
      </c>
      <c r="AH594" s="304">
        <f t="shared" ca="1" si="289"/>
        <v>-1.8938391720977024</v>
      </c>
    </row>
    <row r="595" spans="1:34" x14ac:dyDescent="0.2">
      <c r="A595" s="347">
        <f t="shared" ca="1" si="267"/>
        <v>0.1</v>
      </c>
      <c r="B595" s="304">
        <f t="shared" ca="1" si="268"/>
        <v>23.100000000000016</v>
      </c>
      <c r="D595" s="306">
        <f t="shared" ca="1" si="269"/>
        <v>-0.67480930595710142</v>
      </c>
      <c r="E595" s="307">
        <f t="shared" ca="1" si="270"/>
        <v>-7.9936946206585562</v>
      </c>
      <c r="F595" s="304">
        <f t="shared" ca="1" si="271"/>
        <v>8.0221269802809676</v>
      </c>
      <c r="G595" s="306">
        <f t="shared" ca="1" si="272"/>
        <v>22.908149508714963</v>
      </c>
      <c r="H595" s="307">
        <f t="shared" ca="1" si="273"/>
        <v>-62.640189960966779</v>
      </c>
      <c r="I595" s="304">
        <f t="shared" ca="1" si="274"/>
        <v>66.697651474843113</v>
      </c>
      <c r="J595" s="306">
        <f t="shared" ca="1" si="275"/>
        <v>650.60918785063427</v>
      </c>
      <c r="K595" s="307">
        <f t="shared" ca="1" si="276"/>
        <v>1097.690356442532</v>
      </c>
      <c r="L595" s="304">
        <f t="shared" ca="1" si="261"/>
        <v>1276.015843923027</v>
      </c>
      <c r="M595" s="306">
        <f t="shared" ca="1" si="277"/>
        <v>-1.2201950049246868</v>
      </c>
      <c r="N595" s="304">
        <f t="shared" ca="1" si="278"/>
        <v>-69.912023965129251</v>
      </c>
      <c r="P595" s="310">
        <f t="shared" ca="1" si="279"/>
        <v>23</v>
      </c>
      <c r="Q595" s="304">
        <f t="shared" ca="1" si="280"/>
        <v>0</v>
      </c>
      <c r="R595" s="306">
        <f t="shared" ca="1" si="281"/>
        <v>0</v>
      </c>
      <c r="S595" s="307">
        <f t="shared" ca="1" si="282"/>
        <v>8.1379999999999981</v>
      </c>
      <c r="T595" s="304">
        <f t="shared" ca="1" si="262"/>
        <v>79.83377999999999</v>
      </c>
      <c r="U595" s="311">
        <f t="shared" ca="1" si="263"/>
        <v>0</v>
      </c>
      <c r="V595" s="306">
        <f t="shared" ca="1" si="264"/>
        <v>1.0975291096869775</v>
      </c>
      <c r="W595" s="304">
        <f t="shared" ca="1" si="265"/>
        <v>16.127637917749745</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7.2582317105502385</v>
      </c>
      <c r="AH595" s="304">
        <f t="shared" ca="1" si="289"/>
        <v>-1.9376100821452631</v>
      </c>
    </row>
    <row r="596" spans="1:34" x14ac:dyDescent="0.2">
      <c r="A596" s="347">
        <f t="shared" ca="1" si="267"/>
        <v>0.1</v>
      </c>
      <c r="B596" s="304">
        <f t="shared" ca="1" si="268"/>
        <v>23.200000000000017</v>
      </c>
      <c r="D596" s="306">
        <f t="shared" ca="1" si="269"/>
        <v>-0.68066363050016432</v>
      </c>
      <c r="E596" s="307">
        <f t="shared" ca="1" si="270"/>
        <v>-7.9487890323558776</v>
      </c>
      <c r="F596" s="304">
        <f t="shared" ca="1" si="271"/>
        <v>7.9778787944407092</v>
      </c>
      <c r="G596" s="306">
        <f t="shared" ca="1" si="272"/>
        <v>22.840083145664948</v>
      </c>
      <c r="H596" s="307">
        <f t="shared" ca="1" si="273"/>
        <v>-63.435068864202364</v>
      </c>
      <c r="I596" s="304">
        <f t="shared" ca="1" si="274"/>
        <v>67.42163866227952</v>
      </c>
      <c r="J596" s="306">
        <f t="shared" ca="1" si="275"/>
        <v>652.89659948335327</v>
      </c>
      <c r="K596" s="307">
        <f t="shared" ca="1" si="276"/>
        <v>1091.3865935012736</v>
      </c>
      <c r="L596" s="304">
        <f t="shared" ca="1" si="261"/>
        <v>1271.7698951033715</v>
      </c>
      <c r="M596" s="306">
        <f t="shared" ca="1" si="277"/>
        <v>-1.2251924839292994</v>
      </c>
      <c r="N596" s="304">
        <f t="shared" ca="1" si="278"/>
        <v>-70.198358420298788</v>
      </c>
      <c r="P596" s="310">
        <f t="shared" ca="1" si="279"/>
        <v>23</v>
      </c>
      <c r="Q596" s="304">
        <f t="shared" ca="1" si="280"/>
        <v>0</v>
      </c>
      <c r="R596" s="306">
        <f t="shared" ca="1" si="281"/>
        <v>0</v>
      </c>
      <c r="S596" s="307">
        <f t="shared" ca="1" si="282"/>
        <v>8.1379999999999981</v>
      </c>
      <c r="T596" s="304">
        <f t="shared" ca="1" si="262"/>
        <v>79.83377999999999</v>
      </c>
      <c r="U596" s="311">
        <f t="shared" ca="1" si="263"/>
        <v>0</v>
      </c>
      <c r="V596" s="306">
        <f t="shared" ca="1" si="264"/>
        <v>1.098223263808459</v>
      </c>
      <c r="W596" s="304">
        <f t="shared" ca="1" si="265"/>
        <v>16.490084429528412</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7.2314526833932078</v>
      </c>
      <c r="AH596" s="304">
        <f t="shared" ca="1" si="289"/>
        <v>-1.9817692206622939</v>
      </c>
    </row>
    <row r="597" spans="1:34" x14ac:dyDescent="0.2">
      <c r="A597" s="347">
        <f t="shared" ca="1" si="267"/>
        <v>0.1</v>
      </c>
      <c r="B597" s="304">
        <f t="shared" ca="1" si="268"/>
        <v>23.300000000000018</v>
      </c>
      <c r="D597" s="306">
        <f t="shared" ca="1" si="269"/>
        <v>-0.68644156152261038</v>
      </c>
      <c r="E597" s="307">
        <f t="shared" ca="1" si="270"/>
        <v>-7.9035066020238149</v>
      </c>
      <c r="F597" s="304">
        <f t="shared" ca="1" si="271"/>
        <v>7.9332602771886682</v>
      </c>
      <c r="G597" s="306">
        <f t="shared" ca="1" si="272"/>
        <v>22.771438989512689</v>
      </c>
      <c r="H597" s="307">
        <f t="shared" ca="1" si="273"/>
        <v>-64.225419524404742</v>
      </c>
      <c r="I597" s="304">
        <f t="shared" ca="1" si="274"/>
        <v>68.142812876626166</v>
      </c>
      <c r="J597" s="306">
        <f t="shared" ca="1" si="275"/>
        <v>655.17717559011214</v>
      </c>
      <c r="K597" s="307">
        <f t="shared" ca="1" si="276"/>
        <v>1085.0035690818434</v>
      </c>
      <c r="L597" s="304">
        <f t="shared" ca="1" si="261"/>
        <v>1267.4738168240694</v>
      </c>
      <c r="M597" s="306">
        <f t="shared" ca="1" si="277"/>
        <v>-1.2300694423046565</v>
      </c>
      <c r="N597" s="304">
        <f t="shared" ca="1" si="278"/>
        <v>-70.477787552067738</v>
      </c>
      <c r="P597" s="310">
        <f t="shared" ca="1" si="279"/>
        <v>23</v>
      </c>
      <c r="Q597" s="304">
        <f t="shared" ca="1" si="280"/>
        <v>0</v>
      </c>
      <c r="R597" s="306">
        <f t="shared" ca="1" si="281"/>
        <v>0</v>
      </c>
      <c r="S597" s="307">
        <f t="shared" ca="1" si="282"/>
        <v>8.1379999999999981</v>
      </c>
      <c r="T597" s="304">
        <f t="shared" ca="1" si="262"/>
        <v>79.83377999999999</v>
      </c>
      <c r="U597" s="311">
        <f t="shared" ca="1" si="263"/>
        <v>0</v>
      </c>
      <c r="V597" s="306">
        <f t="shared" ca="1" si="264"/>
        <v>1.0989265689217869</v>
      </c>
      <c r="W597" s="304">
        <f t="shared" ca="1" si="265"/>
        <v>16.855530274664197</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7.2036383698868311</v>
      </c>
      <c r="AH597" s="304">
        <f t="shared" ca="1" si="289"/>
        <v>-2.0263067620457624</v>
      </c>
    </row>
    <row r="598" spans="1:34" x14ac:dyDescent="0.2">
      <c r="A598" s="347">
        <f t="shared" ca="1" si="267"/>
        <v>0.1</v>
      </c>
      <c r="B598" s="304">
        <f t="shared" ca="1" si="268"/>
        <v>23.40000000000002</v>
      </c>
      <c r="D598" s="306">
        <f t="shared" ca="1" si="269"/>
        <v>-0.69214191989836582</v>
      </c>
      <c r="E598" s="307">
        <f t="shared" ca="1" si="270"/>
        <v>-7.857857002081766</v>
      </c>
      <c r="F598" s="304">
        <f t="shared" ca="1" si="271"/>
        <v>7.8882809979390336</v>
      </c>
      <c r="G598" s="306">
        <f t="shared" ca="1" si="272"/>
        <v>22.702224797522852</v>
      </c>
      <c r="H598" s="307">
        <f t="shared" ca="1" si="273"/>
        <v>-65.011205224612922</v>
      </c>
      <c r="I598" s="304">
        <f t="shared" ca="1" si="274"/>
        <v>68.861076200666517</v>
      </c>
      <c r="J598" s="306">
        <f t="shared" ca="1" si="275"/>
        <v>657.45085877946394</v>
      </c>
      <c r="K598" s="307">
        <f t="shared" ca="1" si="276"/>
        <v>1078.5417378443924</v>
      </c>
      <c r="L598" s="304">
        <f t="shared" ca="1" si="261"/>
        <v>1263.1286205221766</v>
      </c>
      <c r="M598" s="306">
        <f t="shared" ca="1" si="277"/>
        <v>-1.234830103346118</v>
      </c>
      <c r="N598" s="304">
        <f t="shared" ca="1" si="278"/>
        <v>-70.750553337435832</v>
      </c>
      <c r="P598" s="310">
        <f t="shared" ca="1" si="279"/>
        <v>23</v>
      </c>
      <c r="Q598" s="304">
        <f t="shared" ca="1" si="280"/>
        <v>0</v>
      </c>
      <c r="R598" s="306">
        <f t="shared" ca="1" si="281"/>
        <v>0</v>
      </c>
      <c r="S598" s="307">
        <f t="shared" ca="1" si="282"/>
        <v>8.1379999999999981</v>
      </c>
      <c r="T598" s="304">
        <f t="shared" ca="1" si="262"/>
        <v>79.83377999999999</v>
      </c>
      <c r="U598" s="311">
        <f t="shared" ca="1" si="263"/>
        <v>0</v>
      </c>
      <c r="V598" s="306">
        <f t="shared" ca="1" si="264"/>
        <v>1.0996389911321736</v>
      </c>
      <c r="W598" s="304">
        <f t="shared" ca="1" si="265"/>
        <v>17.223895226895358</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7.174829954636877</v>
      </c>
      <c r="AH598" s="304">
        <f t="shared" ca="1" si="289"/>
        <v>-2.0712128624556647</v>
      </c>
    </row>
    <row r="599" spans="1:34" x14ac:dyDescent="0.2">
      <c r="A599" s="347">
        <f t="shared" ca="1" si="267"/>
        <v>0.1</v>
      </c>
      <c r="B599" s="304">
        <f t="shared" ca="1" si="268"/>
        <v>23.500000000000021</v>
      </c>
      <c r="D599" s="306">
        <f t="shared" ca="1" si="269"/>
        <v>-0.69776358939572725</v>
      </c>
      <c r="E599" s="307">
        <f t="shared" ca="1" si="270"/>
        <v>-7.8118499370415062</v>
      </c>
      <c r="F599" s="304">
        <f t="shared" ca="1" si="271"/>
        <v>7.8429505586572326</v>
      </c>
      <c r="G599" s="306">
        <f t="shared" ca="1" si="272"/>
        <v>22.632448438583278</v>
      </c>
      <c r="H599" s="307">
        <f t="shared" ca="1" si="273"/>
        <v>-65.792390218317067</v>
      </c>
      <c r="I599" s="304">
        <f t="shared" ca="1" si="274"/>
        <v>69.576334575518089</v>
      </c>
      <c r="J599" s="306">
        <f t="shared" ca="1" si="275"/>
        <v>659.71759244126929</v>
      </c>
      <c r="K599" s="307">
        <f t="shared" ca="1" si="276"/>
        <v>1072.0015580722459</v>
      </c>
      <c r="L599" s="304">
        <f t="shared" ca="1" si="261"/>
        <v>1258.7353344868918</v>
      </c>
      <c r="M599" s="306">
        <f t="shared" ca="1" si="277"/>
        <v>-1.239478504922841</v>
      </c>
      <c r="N599" s="304">
        <f t="shared" ca="1" si="278"/>
        <v>-71.01688712926402</v>
      </c>
      <c r="P599" s="310">
        <f t="shared" ca="1" si="279"/>
        <v>23</v>
      </c>
      <c r="Q599" s="304">
        <f t="shared" ca="1" si="280"/>
        <v>0</v>
      </c>
      <c r="R599" s="306">
        <f t="shared" ca="1" si="281"/>
        <v>0</v>
      </c>
      <c r="S599" s="307">
        <f t="shared" ca="1" si="282"/>
        <v>8.1379999999999981</v>
      </c>
      <c r="T599" s="304">
        <f t="shared" ca="1" si="262"/>
        <v>79.83377999999999</v>
      </c>
      <c r="U599" s="311">
        <f t="shared" ca="1" si="263"/>
        <v>0</v>
      </c>
      <c r="V599" s="306">
        <f t="shared" ca="1" si="264"/>
        <v>1.1003604962471691</v>
      </c>
      <c r="W599" s="304">
        <f t="shared" ca="1" si="265"/>
        <v>17.595098973961584</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7.1450668610685231</v>
      </c>
      <c r="AH599" s="304">
        <f t="shared" ca="1" si="289"/>
        <v>-2.116477663663721</v>
      </c>
    </row>
    <row r="600" spans="1:34" x14ac:dyDescent="0.2">
      <c r="A600" s="347">
        <f t="shared" ca="1" si="267"/>
        <v>0.1</v>
      </c>
      <c r="B600" s="304">
        <f t="shared" ca="1" si="268"/>
        <v>23.600000000000023</v>
      </c>
      <c r="D600" s="306">
        <f t="shared" ca="1" si="269"/>
        <v>-0.70330551464881907</v>
      </c>
      <c r="E600" s="307">
        <f t="shared" ca="1" si="270"/>
        <v>-7.7654951384055426</v>
      </c>
      <c r="F600" s="304">
        <f t="shared" ca="1" si="271"/>
        <v>7.7972785888113272</v>
      </c>
      <c r="G600" s="306">
        <f t="shared" ca="1" si="272"/>
        <v>22.562117887118397</v>
      </c>
      <c r="H600" s="307">
        <f t="shared" ca="1" si="273"/>
        <v>-66.568939732157617</v>
      </c>
      <c r="I600" s="304">
        <f t="shared" ca="1" si="274"/>
        <v>70.288497640907508</v>
      </c>
      <c r="J600" s="306">
        <f t="shared" ca="1" si="275"/>
        <v>661.97732075755437</v>
      </c>
      <c r="K600" s="307">
        <f t="shared" ca="1" si="276"/>
        <v>1065.383491574722</v>
      </c>
      <c r="L600" s="304">
        <f t="shared" ca="1" si="261"/>
        <v>1254.2950041028212</v>
      </c>
      <c r="M600" s="306">
        <f t="shared" ca="1" si="277"/>
        <v>-1.2440185088938038</v>
      </c>
      <c r="N600" s="304">
        <f t="shared" ca="1" si="278"/>
        <v>-71.277010195772831</v>
      </c>
      <c r="P600" s="310">
        <f t="shared" ca="1" si="279"/>
        <v>23</v>
      </c>
      <c r="Q600" s="304">
        <f t="shared" ca="1" si="280"/>
        <v>0</v>
      </c>
      <c r="R600" s="306">
        <f t="shared" ca="1" si="281"/>
        <v>0</v>
      </c>
      <c r="S600" s="307">
        <f t="shared" ca="1" si="282"/>
        <v>8.1379999999999981</v>
      </c>
      <c r="T600" s="304">
        <f t="shared" ca="1" si="262"/>
        <v>79.83377999999999</v>
      </c>
      <c r="U600" s="311">
        <f t="shared" ca="1" si="263"/>
        <v>0</v>
      </c>
      <c r="V600" s="306">
        <f t="shared" ca="1" si="264"/>
        <v>1.1010910497830704</v>
      </c>
      <c r="W600" s="304">
        <f t="shared" ca="1" si="265"/>
        <v>17.96906114844823</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7.1143868616748698</v>
      </c>
      <c r="AH600" s="304">
        <f t="shared" ca="1" si="289"/>
        <v>-2.1620912968741197</v>
      </c>
    </row>
    <row r="601" spans="1:34" x14ac:dyDescent="0.2">
      <c r="A601" s="347">
        <f t="shared" ca="1" si="267"/>
        <v>0.1</v>
      </c>
      <c r="B601" s="304">
        <f t="shared" ca="1" si="268"/>
        <v>23.700000000000024</v>
      </c>
      <c r="D601" s="306">
        <f t="shared" ca="1" si="269"/>
        <v>-0.70876669923954339</v>
      </c>
      <c r="E601" s="307">
        <f t="shared" ca="1" si="270"/>
        <v>-7.7188023596944584</v>
      </c>
      <c r="F601" s="304">
        <f t="shared" ca="1" si="271"/>
        <v>7.7512747404524154</v>
      </c>
      <c r="G601" s="306">
        <f t="shared" ca="1" si="272"/>
        <v>22.491241217194442</v>
      </c>
      <c r="H601" s="307">
        <f t="shared" ca="1" si="273"/>
        <v>-67.340819968127064</v>
      </c>
      <c r="I601" s="304">
        <f t="shared" ca="1" si="274"/>
        <v>70.997478585297145</v>
      </c>
      <c r="J601" s="306">
        <f t="shared" ca="1" si="275"/>
        <v>664.22998871277002</v>
      </c>
      <c r="K601" s="307">
        <f t="shared" ca="1" si="276"/>
        <v>1058.6880035897077</v>
      </c>
      <c r="L601" s="304">
        <f t="shared" ca="1" si="261"/>
        <v>1249.8086921005661</v>
      </c>
      <c r="M601" s="306">
        <f t="shared" ca="1" si="277"/>
        <v>-1.2484538100045639</v>
      </c>
      <c r="N601" s="304">
        <f t="shared" ca="1" si="278"/>
        <v>-71.531134230289069</v>
      </c>
      <c r="P601" s="310">
        <f t="shared" ca="1" si="279"/>
        <v>23</v>
      </c>
      <c r="Q601" s="304">
        <f t="shared" ca="1" si="280"/>
        <v>0</v>
      </c>
      <c r="R601" s="306">
        <f t="shared" ca="1" si="281"/>
        <v>0</v>
      </c>
      <c r="S601" s="307">
        <f t="shared" ca="1" si="282"/>
        <v>8.1379999999999981</v>
      </c>
      <c r="T601" s="304">
        <f t="shared" ca="1" si="262"/>
        <v>79.83377999999999</v>
      </c>
      <c r="U601" s="311">
        <f t="shared" ca="1" si="263"/>
        <v>0</v>
      </c>
      <c r="V601" s="306">
        <f t="shared" ca="1" si="264"/>
        <v>1.1018306169713592</v>
      </c>
      <c r="W601" s="304">
        <f t="shared" ca="1" si="265"/>
        <v>18.345701358360419</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7.082826180289409</v>
      </c>
      <c r="AH601" s="304">
        <f t="shared" ca="1" si="289"/>
        <v>-2.2080438865136682</v>
      </c>
    </row>
    <row r="602" spans="1:34" x14ac:dyDescent="0.2">
      <c r="A602" s="347">
        <f t="shared" ca="1" si="267"/>
        <v>0.1</v>
      </c>
      <c r="B602" s="304">
        <f t="shared" ca="1" si="268"/>
        <v>23.800000000000026</v>
      </c>
      <c r="D602" s="306">
        <f t="shared" ca="1" si="269"/>
        <v>-0.71414620388147687</v>
      </c>
      <c r="E602" s="307">
        <f t="shared" ca="1" si="270"/>
        <v>-7.6717813715972945</v>
      </c>
      <c r="F602" s="304">
        <f t="shared" ca="1" si="271"/>
        <v>7.7049486834180527</v>
      </c>
      <c r="G602" s="306">
        <f t="shared" ca="1" si="272"/>
        <v>22.419826596806296</v>
      </c>
      <c r="H602" s="307">
        <f t="shared" ca="1" si="273"/>
        <v>-68.107998105286796</v>
      </c>
      <c r="I602" s="304">
        <f t="shared" ca="1" si="274"/>
        <v>71.703194005153023</v>
      </c>
      <c r="J602" s="306">
        <f t="shared" ca="1" si="275"/>
        <v>666.47554210347005</v>
      </c>
      <c r="K602" s="307">
        <f t="shared" ca="1" si="276"/>
        <v>1051.915562686037</v>
      </c>
      <c r="L602" s="304">
        <f t="shared" ca="1" si="261"/>
        <v>1245.2774788147403</v>
      </c>
      <c r="M602" s="306">
        <f t="shared" ca="1" si="277"/>
        <v>-1.2527879442934251</v>
      </c>
      <c r="N602" s="304">
        <f t="shared" ca="1" si="278"/>
        <v>-71.77946183288374</v>
      </c>
      <c r="P602" s="310">
        <f t="shared" ca="1" si="279"/>
        <v>23</v>
      </c>
      <c r="Q602" s="304">
        <f t="shared" ca="1" si="280"/>
        <v>0</v>
      </c>
      <c r="R602" s="306">
        <f t="shared" ca="1" si="281"/>
        <v>0</v>
      </c>
      <c r="S602" s="307">
        <f t="shared" ca="1" si="282"/>
        <v>8.1379999999999981</v>
      </c>
      <c r="T602" s="304">
        <f t="shared" ca="1" si="262"/>
        <v>79.83377999999999</v>
      </c>
      <c r="U602" s="311">
        <f t="shared" ca="1" si="263"/>
        <v>0</v>
      </c>
      <c r="V602" s="306">
        <f t="shared" ca="1" si="264"/>
        <v>1.1025791627651786</v>
      </c>
      <c r="W602" s="304">
        <f t="shared" ca="1" si="265"/>
        <v>18.724939217407197</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7.0504195869764823</v>
      </c>
      <c r="AH602" s="304">
        <f t="shared" ca="1" si="289"/>
        <v>-2.254325553988747</v>
      </c>
    </row>
    <row r="603" spans="1:34" x14ac:dyDescent="0.2">
      <c r="A603" s="347">
        <f t="shared" ca="1" si="267"/>
        <v>0.1</v>
      </c>
      <c r="B603" s="304">
        <f t="shared" ca="1" si="268"/>
        <v>23.900000000000027</v>
      </c>
      <c r="D603" s="306">
        <f t="shared" ca="1" si="269"/>
        <v>-0.71944314469784321</v>
      </c>
      <c r="E603" s="307">
        <f t="shared" ca="1" si="270"/>
        <v>-7.6244419572396565</v>
      </c>
      <c r="F603" s="304">
        <f t="shared" ca="1" si="271"/>
        <v>7.6583101006533552</v>
      </c>
      <c r="G603" s="306">
        <f t="shared" ca="1" si="272"/>
        <v>22.34788228233651</v>
      </c>
      <c r="H603" s="307">
        <f t="shared" ca="1" si="273"/>
        <v>-68.870442301010769</v>
      </c>
      <c r="I603" s="304">
        <f t="shared" ca="1" si="274"/>
        <v>72.405563772696524</v>
      </c>
      <c r="J603" s="306">
        <f t="shared" ca="1" si="275"/>
        <v>668.71392754742715</v>
      </c>
      <c r="K603" s="307">
        <f t="shared" ca="1" si="276"/>
        <v>1045.0666406657222</v>
      </c>
      <c r="L603" s="304">
        <f t="shared" ca="1" si="261"/>
        <v>1240.7024624494961</v>
      </c>
      <c r="M603" s="306">
        <f t="shared" ca="1" si="277"/>
        <v>-1.2570242970343746</v>
      </c>
      <c r="N603" s="304">
        <f t="shared" ca="1" si="278"/>
        <v>-72.022186965468833</v>
      </c>
      <c r="P603" s="310">
        <f t="shared" ca="1" si="279"/>
        <v>23</v>
      </c>
      <c r="Q603" s="304">
        <f t="shared" ca="1" si="280"/>
        <v>0</v>
      </c>
      <c r="R603" s="306">
        <f t="shared" ca="1" si="281"/>
        <v>0</v>
      </c>
      <c r="S603" s="307">
        <f t="shared" ca="1" si="282"/>
        <v>8.1379999999999981</v>
      </c>
      <c r="T603" s="304">
        <f t="shared" ca="1" si="262"/>
        <v>79.83377999999999</v>
      </c>
      <c r="U603" s="311">
        <f t="shared" ca="1" si="263"/>
        <v>0</v>
      </c>
      <c r="V603" s="306">
        <f t="shared" ca="1" si="264"/>
        <v>1.1033366518458301</v>
      </c>
      <c r="W603" s="304">
        <f t="shared" ca="1" si="265"/>
        <v>19.106694374976065</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7.0172004860899388</v>
      </c>
      <c r="AH603" s="304">
        <f t="shared" ca="1" si="289"/>
        <v>-2.3009264214066358</v>
      </c>
    </row>
    <row r="604" spans="1:34" x14ac:dyDescent="0.2">
      <c r="A604" s="347">
        <f t="shared" ca="1" si="267"/>
        <v>0.1</v>
      </c>
      <c r="B604" s="304">
        <f t="shared" ca="1" si="268"/>
        <v>24.000000000000028</v>
      </c>
      <c r="D604" s="306">
        <f t="shared" ca="1" si="269"/>
        <v>-0.72465669158629753</v>
      </c>
      <c r="E604" s="307">
        <f t="shared" ca="1" si="270"/>
        <v>-7.5767939075649391</v>
      </c>
      <c r="F604" s="304">
        <f t="shared" ca="1" si="271"/>
        <v>7.611368683645142</v>
      </c>
      <c r="G604" s="306">
        <f t="shared" ca="1" si="272"/>
        <v>22.275416613177882</v>
      </c>
      <c r="H604" s="307">
        <f t="shared" ca="1" si="273"/>
        <v>-69.628121691767262</v>
      </c>
      <c r="I604" s="304">
        <f t="shared" ca="1" si="274"/>
        <v>73.10451091153125</v>
      </c>
      <c r="J604" s="306">
        <f t="shared" ca="1" si="275"/>
        <v>670.94509249220289</v>
      </c>
      <c r="K604" s="307">
        <f t="shared" ca="1" si="276"/>
        <v>1038.1417124660832</v>
      </c>
      <c r="L604" s="304">
        <f t="shared" ca="1" si="261"/>
        <v>1236.0847593516323</v>
      </c>
      <c r="M604" s="306">
        <f t="shared" ca="1" si="277"/>
        <v>-1.2611661102428462</v>
      </c>
      <c r="N604" s="304">
        <f t="shared" ca="1" si="278"/>
        <v>-72.259495381845795</v>
      </c>
      <c r="P604" s="310">
        <f t="shared" ca="1" si="279"/>
        <v>23</v>
      </c>
      <c r="Q604" s="304">
        <f t="shared" ca="1" si="280"/>
        <v>0</v>
      </c>
      <c r="R604" s="306">
        <f t="shared" ca="1" si="281"/>
        <v>0</v>
      </c>
      <c r="S604" s="307">
        <f t="shared" ca="1" si="282"/>
        <v>8.1379999999999981</v>
      </c>
      <c r="T604" s="304">
        <f t="shared" ca="1" si="262"/>
        <v>79.83377999999999</v>
      </c>
      <c r="U604" s="311">
        <f t="shared" ca="1" si="263"/>
        <v>0</v>
      </c>
      <c r="V604" s="306">
        <f t="shared" ca="1" si="264"/>
        <v>1.1041030486293002</v>
      </c>
      <c r="W604" s="304">
        <f t="shared" ca="1" si="265"/>
        <v>19.490886545779428</v>
      </c>
      <c r="Y604" s="314" t="str">
        <f t="shared" ca="1" si="283"/>
        <v/>
      </c>
      <c r="Z604" s="315" t="str">
        <f t="shared" ca="1" si="284"/>
        <v/>
      </c>
      <c r="AA604" s="316" t="str">
        <f t="shared" ca="1" si="285"/>
        <v/>
      </c>
      <c r="AC604" s="310">
        <f t="shared" ca="1" si="286"/>
        <v>24.000000000000028</v>
      </c>
      <c r="AD604" s="323">
        <f t="shared" ca="1" si="287"/>
        <v>670.94509249220289</v>
      </c>
      <c r="AE604" s="324" t="e">
        <f t="shared" ca="1" si="266"/>
        <v>#N/A</v>
      </c>
      <c r="AG604" s="306">
        <f t="shared" ca="1" si="288"/>
        <v>6.9832009980093375</v>
      </c>
      <c r="AH604" s="304">
        <f t="shared" ca="1" si="289"/>
        <v>-2.3478366152587946</v>
      </c>
    </row>
    <row r="605" spans="1:34" x14ac:dyDescent="0.2">
      <c r="A605" s="347">
        <f t="shared" ca="1" si="267"/>
        <v>0.1</v>
      </c>
      <c r="B605" s="304">
        <f t="shared" ca="1" si="268"/>
        <v>24.10000000000003</v>
      </c>
      <c r="D605" s="306">
        <f t="shared" ca="1" si="269"/>
        <v>-0.72978606666383095</v>
      </c>
      <c r="E605" s="307">
        <f t="shared" ca="1" si="270"/>
        <v>-7.5288470168246082</v>
      </c>
      <c r="F605" s="304">
        <f t="shared" ca="1" si="271"/>
        <v>7.5641341279650423</v>
      </c>
      <c r="G605" s="306">
        <f t="shared" ca="1" si="272"/>
        <v>22.2024380065115</v>
      </c>
      <c r="H605" s="307">
        <f t="shared" ca="1" si="273"/>
        <v>-70.381006393449724</v>
      </c>
      <c r="I605" s="304">
        <f t="shared" ca="1" si="274"/>
        <v>73.799961479582066</v>
      </c>
      <c r="J605" s="306">
        <f t="shared" ca="1" si="275"/>
        <v>673.16898522318741</v>
      </c>
      <c r="K605" s="307">
        <f t="shared" ca="1" si="276"/>
        <v>1031.1412560618223</v>
      </c>
      <c r="L605" s="304">
        <f t="shared" ca="1" si="261"/>
        <v>1231.4255042913348</v>
      </c>
      <c r="M605" s="306">
        <f t="shared" ca="1" si="277"/>
        <v>-1.265216489769071</v>
      </c>
      <c r="N605" s="304">
        <f t="shared" ca="1" si="278"/>
        <v>-72.491565034124662</v>
      </c>
      <c r="P605" s="310">
        <f t="shared" ca="1" si="279"/>
        <v>23</v>
      </c>
      <c r="Q605" s="304">
        <f t="shared" ca="1" si="280"/>
        <v>0</v>
      </c>
      <c r="R605" s="306">
        <f t="shared" ca="1" si="281"/>
        <v>0</v>
      </c>
      <c r="S605" s="307">
        <f t="shared" ca="1" si="282"/>
        <v>8.1379999999999981</v>
      </c>
      <c r="T605" s="304">
        <f t="shared" ca="1" si="262"/>
        <v>79.83377999999999</v>
      </c>
      <c r="U605" s="311">
        <f t="shared" ca="1" si="263"/>
        <v>0</v>
      </c>
      <c r="V605" s="306">
        <f t="shared" ca="1" si="264"/>
        <v>1.1048783172728056</v>
      </c>
      <c r="W605" s="304">
        <f t="shared" ca="1" si="265"/>
        <v>19.877435539154909</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6.9484520350249586</v>
      </c>
      <c r="AH605" s="304">
        <f t="shared" ca="1" si="289"/>
        <v>-2.395046270063828</v>
      </c>
    </row>
    <row r="606" spans="1:34" x14ac:dyDescent="0.2">
      <c r="A606" s="347">
        <f t="shared" ca="1" si="267"/>
        <v>0.1</v>
      </c>
      <c r="B606" s="304">
        <f t="shared" ca="1" si="268"/>
        <v>24.200000000000031</v>
      </c>
      <c r="D606" s="306">
        <f t="shared" ca="1" si="269"/>
        <v>-0.73483054278562254</v>
      </c>
      <c r="E606" s="307">
        <f t="shared" ca="1" si="270"/>
        <v>-7.4806110781739719</v>
      </c>
      <c r="F606" s="304">
        <f t="shared" ca="1" si="271"/>
        <v>7.5166161289179705</v>
      </c>
      <c r="G606" s="306">
        <f t="shared" ca="1" si="272"/>
        <v>22.128954952232938</v>
      </c>
      <c r="H606" s="307">
        <f t="shared" ca="1" si="273"/>
        <v>-71.129067501267116</v>
      </c>
      <c r="I606" s="304">
        <f t="shared" ca="1" si="274"/>
        <v>74.491844458824943</v>
      </c>
      <c r="J606" s="306">
        <f t="shared" ca="1" si="275"/>
        <v>675.38555487112467</v>
      </c>
      <c r="K606" s="307">
        <f t="shared" ca="1" si="276"/>
        <v>1024.0657523670866</v>
      </c>
      <c r="L606" s="304">
        <f t="shared" ca="1" si="261"/>
        <v>1226.725850750584</v>
      </c>
      <c r="M606" s="306">
        <f t="shared" ca="1" si="277"/>
        <v>-1.269178412002504</v>
      </c>
      <c r="N606" s="304">
        <f t="shared" ca="1" si="278"/>
        <v>-72.718566456859421</v>
      </c>
      <c r="P606" s="310">
        <f t="shared" ca="1" si="279"/>
        <v>23</v>
      </c>
      <c r="Q606" s="304">
        <f t="shared" ca="1" si="280"/>
        <v>0</v>
      </c>
      <c r="R606" s="306">
        <f t="shared" ca="1" si="281"/>
        <v>0</v>
      </c>
      <c r="S606" s="307">
        <f t="shared" ca="1" si="282"/>
        <v>8.1379999999999981</v>
      </c>
      <c r="T606" s="304">
        <f t="shared" ca="1" si="262"/>
        <v>79.83377999999999</v>
      </c>
      <c r="U606" s="311">
        <f t="shared" ca="1" si="263"/>
        <v>0</v>
      </c>
      <c r="V606" s="306">
        <f t="shared" ca="1" si="264"/>
        <v>1.1056624216813595</v>
      </c>
      <c r="W606" s="304">
        <f t="shared" ca="1" si="265"/>
        <v>20.26626128800234</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6.9129833718074902</v>
      </c>
      <c r="AH606" s="304">
        <f t="shared" ca="1" si="289"/>
        <v>-2.4425455319679177</v>
      </c>
    </row>
    <row r="607" spans="1:34" x14ac:dyDescent="0.2">
      <c r="A607" s="347">
        <f t="shared" ca="1" si="267"/>
        <v>0.1</v>
      </c>
      <c r="B607" s="304">
        <f t="shared" ca="1" si="268"/>
        <v>24.300000000000033</v>
      </c>
      <c r="D607" s="306">
        <f t="shared" ca="1" si="269"/>
        <v>-0.73978944213215503</v>
      </c>
      <c r="E607" s="307">
        <f t="shared" ca="1" si="270"/>
        <v>-7.4320958793703422</v>
      </c>
      <c r="F607" s="304">
        <f t="shared" ca="1" si="271"/>
        <v>7.4688243772928429</v>
      </c>
      <c r="G607" s="306">
        <f t="shared" ca="1" si="272"/>
        <v>22.054976008019722</v>
      </c>
      <c r="H607" s="307">
        <f t="shared" ca="1" si="273"/>
        <v>-71.872277089204147</v>
      </c>
      <c r="I607" s="304">
        <f t="shared" ca="1" si="274"/>
        <v>75.180091651325256</v>
      </c>
      <c r="J607" s="306">
        <f t="shared" ca="1" si="275"/>
        <v>677.59475141913731</v>
      </c>
      <c r="K607" s="307">
        <f t="shared" ca="1" si="276"/>
        <v>1016.9156851375631</v>
      </c>
      <c r="L607" s="304">
        <f t="shared" ca="1" si="261"/>
        <v>1221.986971219236</v>
      </c>
      <c r="M607" s="306">
        <f t="shared" ca="1" si="277"/>
        <v>-1.2730547302095785</v>
      </c>
      <c r="N607" s="304">
        <f t="shared" ca="1" si="278"/>
        <v>-72.940663130174514</v>
      </c>
      <c r="P607" s="310">
        <f t="shared" ca="1" si="279"/>
        <v>23</v>
      </c>
      <c r="Q607" s="304">
        <f t="shared" ca="1" si="280"/>
        <v>0</v>
      </c>
      <c r="R607" s="306">
        <f t="shared" ca="1" si="281"/>
        <v>0</v>
      </c>
      <c r="S607" s="307">
        <f t="shared" ca="1" si="282"/>
        <v>8.1379999999999981</v>
      </c>
      <c r="T607" s="304">
        <f t="shared" ca="1" si="262"/>
        <v>79.83377999999999</v>
      </c>
      <c r="U607" s="311">
        <f t="shared" ca="1" si="263"/>
        <v>0</v>
      </c>
      <c r="V607" s="306">
        <f t="shared" ca="1" si="264"/>
        <v>1.1064553255143481</v>
      </c>
      <c r="W607" s="304">
        <f t="shared" ca="1" si="265"/>
        <v>20.657283877340841</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6.8768237108653683</v>
      </c>
      <c r="AH607" s="304">
        <f t="shared" ca="1" si="289"/>
        <v>-2.4903245623006076</v>
      </c>
    </row>
    <row r="608" spans="1:34" x14ac:dyDescent="0.2">
      <c r="A608" s="347">
        <f t="shared" ca="1" si="267"/>
        <v>0.1</v>
      </c>
      <c r="B608" s="304">
        <f t="shared" ca="1" si="268"/>
        <v>24.400000000000034</v>
      </c>
      <c r="D608" s="306">
        <f t="shared" ca="1" si="269"/>
        <v>-0.74466213485935284</v>
      </c>
      <c r="E608" s="307">
        <f t="shared" ca="1" si="270"/>
        <v>-7.3833111985708655</v>
      </c>
      <c r="F608" s="304">
        <f t="shared" ca="1" si="271"/>
        <v>7.4207685552128115</v>
      </c>
      <c r="G608" s="306">
        <f t="shared" ca="1" si="272"/>
        <v>21.980509794533788</v>
      </c>
      <c r="H608" s="307">
        <f t="shared" ca="1" si="273"/>
        <v>-72.61060820906124</v>
      </c>
      <c r="I608" s="304">
        <f t="shared" ca="1" si="274"/>
        <v>75.864637581137814</v>
      </c>
      <c r="J608" s="306">
        <f t="shared" ca="1" si="275"/>
        <v>679.79652570926498</v>
      </c>
      <c r="K608" s="307">
        <f t="shared" ca="1" si="276"/>
        <v>1009.6915408726497</v>
      </c>
      <c r="L608" s="304">
        <f t="shared" ca="1" si="261"/>
        <v>1217.2100574987758</v>
      </c>
      <c r="M608" s="306">
        <f t="shared" ca="1" si="277"/>
        <v>-1.2768481805258329</v>
      </c>
      <c r="N608" s="304">
        <f t="shared" ca="1" si="278"/>
        <v>-73.158011823088458</v>
      </c>
      <c r="P608" s="310">
        <f t="shared" ca="1" si="279"/>
        <v>23</v>
      </c>
      <c r="Q608" s="304">
        <f t="shared" ca="1" si="280"/>
        <v>0</v>
      </c>
      <c r="R608" s="306">
        <f t="shared" ca="1" si="281"/>
        <v>0</v>
      </c>
      <c r="S608" s="307">
        <f t="shared" ca="1" si="282"/>
        <v>8.1379999999999981</v>
      </c>
      <c r="T608" s="304">
        <f t="shared" ca="1" si="262"/>
        <v>79.83377999999999</v>
      </c>
      <c r="U608" s="311">
        <f t="shared" ca="1" si="263"/>
        <v>0</v>
      </c>
      <c r="V608" s="306">
        <f t="shared" ca="1" si="264"/>
        <v>1.1072569921921263</v>
      </c>
      <c r="W608" s="304">
        <f t="shared" ca="1" si="265"/>
        <v>21.050423572470287</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6.8400007433622321</v>
      </c>
      <c r="AH608" s="304">
        <f t="shared" ca="1" si="289"/>
        <v>-2.5383735410839083</v>
      </c>
    </row>
    <row r="609" spans="1:34" x14ac:dyDescent="0.2">
      <c r="A609" s="347">
        <f t="shared" ca="1" si="267"/>
        <v>0.1</v>
      </c>
      <c r="B609" s="304">
        <f t="shared" ca="1" si="268"/>
        <v>24.500000000000036</v>
      </c>
      <c r="D609" s="306">
        <f t="shared" ca="1" si="269"/>
        <v>-0.74944803780692826</v>
      </c>
      <c r="E609" s="307">
        <f t="shared" ca="1" si="270"/>
        <v>-7.3342668002276508</v>
      </c>
      <c r="F609" s="304">
        <f t="shared" ca="1" si="271"/>
        <v>7.3724583320826031</v>
      </c>
      <c r="G609" s="306">
        <f t="shared" ca="1" si="272"/>
        <v>21.905564990753096</v>
      </c>
      <c r="H609" s="307">
        <f t="shared" ca="1" si="273"/>
        <v>-73.344034889084</v>
      </c>
      <c r="I609" s="304">
        <f t="shared" ca="1" si="274"/>
        <v>76.54541940165511</v>
      </c>
      <c r="J609" s="306">
        <f t="shared" ca="1" si="275"/>
        <v>681.99082944852933</v>
      </c>
      <c r="K609" s="307">
        <f t="shared" ca="1" si="276"/>
        <v>1002.3938087177424</v>
      </c>
      <c r="L609" s="304">
        <f t="shared" ca="1" si="261"/>
        <v>1212.3963210137001</v>
      </c>
      <c r="M609" s="306">
        <f t="shared" ca="1" si="277"/>
        <v>-1.2805613876223079</v>
      </c>
      <c r="N609" s="304">
        <f t="shared" ca="1" si="278"/>
        <v>-73.370762918174492</v>
      </c>
      <c r="P609" s="310">
        <f t="shared" ca="1" si="279"/>
        <v>23</v>
      </c>
      <c r="Q609" s="304">
        <f t="shared" ca="1" si="280"/>
        <v>0</v>
      </c>
      <c r="R609" s="306">
        <f t="shared" ca="1" si="281"/>
        <v>0</v>
      </c>
      <c r="S609" s="307">
        <f t="shared" ca="1" si="282"/>
        <v>8.1379999999999981</v>
      </c>
      <c r="T609" s="304">
        <f t="shared" ca="1" si="262"/>
        <v>79.83377999999999</v>
      </c>
      <c r="U609" s="311">
        <f t="shared" ca="1" si="263"/>
        <v>0</v>
      </c>
      <c r="V609" s="306">
        <f t="shared" ca="1" si="264"/>
        <v>1.1080673849026164</v>
      </c>
      <c r="W609" s="304">
        <f t="shared" ca="1" si="265"/>
        <v>21.445600846721856</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6.8025412056388266</v>
      </c>
      <c r="AH609" s="304">
        <f t="shared" ca="1" si="289"/>
        <v>-2.5866826704927859</v>
      </c>
    </row>
    <row r="610" spans="1:34" x14ac:dyDescent="0.2">
      <c r="A610" s="347">
        <f t="shared" ca="1" si="267"/>
        <v>0.1</v>
      </c>
      <c r="B610" s="304">
        <f t="shared" ca="1" si="268"/>
        <v>24.600000000000037</v>
      </c>
      <c r="D610" s="306">
        <f t="shared" ca="1" si="269"/>
        <v>-0.75414661326047927</v>
      </c>
      <c r="E610" s="307">
        <f t="shared" ca="1" si="270"/>
        <v>-7.2849724310781383</v>
      </c>
      <c r="F610" s="304">
        <f t="shared" ca="1" si="271"/>
        <v>7.3239033606309123</v>
      </c>
      <c r="G610" s="306">
        <f t="shared" ca="1" si="272"/>
        <v>21.830150329427049</v>
      </c>
      <c r="H610" s="307">
        <f t="shared" ca="1" si="273"/>
        <v>-74.07253213219181</v>
      </c>
      <c r="I610" s="304">
        <f t="shared" ca="1" si="274"/>
        <v>77.222376808020954</v>
      </c>
      <c r="J610" s="306">
        <f t="shared" ca="1" si="275"/>
        <v>684.17761521453838</v>
      </c>
      <c r="K610" s="307">
        <f t="shared" ca="1" si="276"/>
        <v>995.02298036667867</v>
      </c>
      <c r="L610" s="304">
        <f t="shared" ca="1" si="261"/>
        <v>1207.5469931304706</v>
      </c>
      <c r="M610" s="306">
        <f t="shared" ca="1" si="277"/>
        <v>-1.2841968700649884</v>
      </c>
      <c r="N610" s="304">
        <f t="shared" ca="1" si="278"/>
        <v>-73.579060718633997</v>
      </c>
      <c r="P610" s="310">
        <f t="shared" ca="1" si="279"/>
        <v>23</v>
      </c>
      <c r="Q610" s="304">
        <f t="shared" ca="1" si="280"/>
        <v>0</v>
      </c>
      <c r="R610" s="306">
        <f t="shared" ca="1" si="281"/>
        <v>0</v>
      </c>
      <c r="S610" s="307">
        <f t="shared" ca="1" si="282"/>
        <v>8.1379999999999981</v>
      </c>
      <c r="T610" s="304">
        <f t="shared" ca="1" si="262"/>
        <v>79.83377999999999</v>
      </c>
      <c r="U610" s="311">
        <f t="shared" ca="1" si="263"/>
        <v>0</v>
      </c>
      <c r="V610" s="306">
        <f t="shared" ca="1" si="264"/>
        <v>1.108886466607917</v>
      </c>
      <c r="W610" s="304">
        <f t="shared" ca="1" si="265"/>
        <v>21.84273640878336</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6.764470931757419</v>
      </c>
      <c r="AH610" s="304">
        <f t="shared" ca="1" si="289"/>
        <v>-2.6352421782651585</v>
      </c>
    </row>
    <row r="611" spans="1:34" x14ac:dyDescent="0.2">
      <c r="A611" s="347">
        <f t="shared" ca="1" si="267"/>
        <v>0.1</v>
      </c>
      <c r="B611" s="304">
        <f t="shared" ca="1" si="268"/>
        <v>24.700000000000038</v>
      </c>
      <c r="D611" s="306">
        <f t="shared" ca="1" si="269"/>
        <v>-0.75875736776325575</v>
      </c>
      <c r="E611" s="307">
        <f t="shared" ca="1" si="270"/>
        <v>-7.2354378162289024</v>
      </c>
      <c r="F611" s="304">
        <f t="shared" ca="1" si="271"/>
        <v>7.2751132730460144</v>
      </c>
      <c r="G611" s="306">
        <f t="shared" ca="1" si="272"/>
        <v>21.754274592650724</v>
      </c>
      <c r="H611" s="307">
        <f t="shared" ca="1" si="273"/>
        <v>-74.796075913814704</v>
      </c>
      <c r="I611" s="304">
        <f t="shared" ca="1" si="274"/>
        <v>77.895451954254568</v>
      </c>
      <c r="J611" s="306">
        <f t="shared" ca="1" si="275"/>
        <v>686.35683646064228</v>
      </c>
      <c r="K611" s="307">
        <f t="shared" ca="1" si="276"/>
        <v>987.57954996437832</v>
      </c>
      <c r="L611" s="304">
        <f t="shared" ca="1" si="261"/>
        <v>1202.6633254839464</v>
      </c>
      <c r="M611" s="306">
        <f t="shared" ca="1" si="277"/>
        <v>-1.287757045385006</v>
      </c>
      <c r="N611" s="304">
        <f t="shared" ca="1" si="278"/>
        <v>-73.783043738797645</v>
      </c>
      <c r="P611" s="310">
        <f t="shared" ca="1" si="279"/>
        <v>23</v>
      </c>
      <c r="Q611" s="304">
        <f t="shared" ca="1" si="280"/>
        <v>0</v>
      </c>
      <c r="R611" s="306">
        <f t="shared" ca="1" si="281"/>
        <v>0</v>
      </c>
      <c r="S611" s="307">
        <f t="shared" ca="1" si="282"/>
        <v>8.1379999999999981</v>
      </c>
      <c r="T611" s="304">
        <f t="shared" ca="1" si="262"/>
        <v>79.83377999999999</v>
      </c>
      <c r="U611" s="311">
        <f t="shared" ca="1" si="263"/>
        <v>0</v>
      </c>
      <c r="V611" s="306">
        <f t="shared" ca="1" si="264"/>
        <v>1.1097142000509137</v>
      </c>
      <c r="W611" s="304">
        <f t="shared" ca="1" si="265"/>
        <v>22.241751229585446</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6.7258149023627505</v>
      </c>
      <c r="AH611" s="304">
        <f t="shared" ca="1" si="289"/>
        <v>-2.6840423210596418</v>
      </c>
    </row>
    <row r="612" spans="1:34" x14ac:dyDescent="0.2">
      <c r="A612" s="347">
        <f t="shared" ca="1" si="267"/>
        <v>0.1</v>
      </c>
      <c r="B612" s="304">
        <f t="shared" ca="1" si="268"/>
        <v>24.80000000000004</v>
      </c>
      <c r="D612" s="306">
        <f t="shared" ca="1" si="269"/>
        <v>-0.76327985097383155</v>
      </c>
      <c r="E612" s="307">
        <f t="shared" ca="1" si="270"/>
        <v>-7.1856726553313433</v>
      </c>
      <c r="F612" s="304">
        <f t="shared" ca="1" si="271"/>
        <v>7.226097677203045</v>
      </c>
      <c r="G612" s="306">
        <f t="shared" ca="1" si="272"/>
        <v>21.677946607553341</v>
      </c>
      <c r="H612" s="307">
        <f t="shared" ca="1" si="273"/>
        <v>-75.514643179347843</v>
      </c>
      <c r="I612" s="304">
        <f t="shared" ca="1" si="274"/>
        <v>78.564589374756864</v>
      </c>
      <c r="J612" s="306">
        <f t="shared" ca="1" si="275"/>
        <v>688.52844752065243</v>
      </c>
      <c r="K612" s="307">
        <f t="shared" ca="1" si="276"/>
        <v>980.06401400972015</v>
      </c>
      <c r="L612" s="304">
        <f t="shared" ca="1" si="261"/>
        <v>1197.7465903111745</v>
      </c>
      <c r="M612" s="306">
        <f t="shared" ca="1" si="277"/>
        <v>-1.2912442348763022</v>
      </c>
      <c r="N612" s="304">
        <f t="shared" ca="1" si="278"/>
        <v>-73.982844979011304</v>
      </c>
      <c r="P612" s="310">
        <f t="shared" ca="1" si="279"/>
        <v>23</v>
      </c>
      <c r="Q612" s="304">
        <f t="shared" ca="1" si="280"/>
        <v>0</v>
      </c>
      <c r="R612" s="306">
        <f t="shared" ca="1" si="281"/>
        <v>0</v>
      </c>
      <c r="S612" s="307">
        <f t="shared" ca="1" si="282"/>
        <v>8.1379999999999981</v>
      </c>
      <c r="T612" s="304">
        <f t="shared" ca="1" si="262"/>
        <v>79.83377999999999</v>
      </c>
      <c r="U612" s="311">
        <f t="shared" ca="1" si="263"/>
        <v>0</v>
      </c>
      <c r="V612" s="306">
        <f t="shared" ca="1" si="264"/>
        <v>1.110550547761894</v>
      </c>
      <c r="W612" s="304">
        <f t="shared" ca="1" si="265"/>
        <v>22.642566568735784</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6.6865972901311981</v>
      </c>
      <c r="AH612" s="304">
        <f t="shared" ca="1" si="289"/>
        <v>-2.7330733877593332</v>
      </c>
    </row>
    <row r="613" spans="1:34" x14ac:dyDescent="0.2">
      <c r="A613" s="347">
        <f t="shared" ca="1" si="267"/>
        <v>0.1</v>
      </c>
      <c r="B613" s="304">
        <f t="shared" ca="1" si="268"/>
        <v>24.900000000000041</v>
      </c>
      <c r="D613" s="306">
        <f t="shared" ca="1" si="269"/>
        <v>-0.76771365456621543</v>
      </c>
      <c r="E613" s="307">
        <f t="shared" ca="1" si="270"/>
        <v>-7.1356866188478918</v>
      </c>
      <c r="F613" s="304">
        <f t="shared" ca="1" si="271"/>
        <v>7.1768661529815558</v>
      </c>
      <c r="G613" s="306">
        <f t="shared" ca="1" si="272"/>
        <v>21.601175242096719</v>
      </c>
      <c r="H613" s="307">
        <f t="shared" ca="1" si="273"/>
        <v>-76.228211841232635</v>
      </c>
      <c r="I613" s="304">
        <f t="shared" ca="1" si="274"/>
        <v>79.229735909894401</v>
      </c>
      <c r="J613" s="306">
        <f t="shared" ca="1" si="275"/>
        <v>690.69240361313496</v>
      </c>
      <c r="K613" s="307">
        <f t="shared" ca="1" si="276"/>
        <v>972.47687125869118</v>
      </c>
      <c r="L613" s="304">
        <f t="shared" ca="1" si="261"/>
        <v>1192.7980807923789</v>
      </c>
      <c r="M613" s="306">
        <f t="shared" ca="1" si="277"/>
        <v>-1.2946606681364843</v>
      </c>
      <c r="N613" s="304">
        <f t="shared" ca="1" si="278"/>
        <v>-74.178592185807844</v>
      </c>
      <c r="P613" s="310">
        <f t="shared" ca="1" si="279"/>
        <v>23</v>
      </c>
      <c r="Q613" s="304">
        <f t="shared" ca="1" si="280"/>
        <v>0</v>
      </c>
      <c r="R613" s="306">
        <f t="shared" ca="1" si="281"/>
        <v>0</v>
      </c>
      <c r="S613" s="307">
        <f t="shared" ca="1" si="282"/>
        <v>8.1379999999999981</v>
      </c>
      <c r="T613" s="304">
        <f t="shared" ca="1" si="262"/>
        <v>79.83377999999999</v>
      </c>
      <c r="U613" s="311">
        <f t="shared" ca="1" si="263"/>
        <v>0</v>
      </c>
      <c r="V613" s="306">
        <f t="shared" ca="1" si="264"/>
        <v>1.1113954720651553</v>
      </c>
      <c r="W613" s="304">
        <f t="shared" ca="1" si="265"/>
        <v>23.045104000488482</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6.6468415020591536</v>
      </c>
      <c r="AH613" s="304">
        <f t="shared" ca="1" si="289"/>
        <v>-2.782325702720053</v>
      </c>
    </row>
    <row r="614" spans="1:34" x14ac:dyDescent="0.2">
      <c r="A614" s="347">
        <f t="shared" ca="1" si="267"/>
        <v>0.1</v>
      </c>
      <c r="B614" s="304">
        <f t="shared" ca="1" si="268"/>
        <v>25.000000000000043</v>
      </c>
      <c r="D614" s="306">
        <f t="shared" ca="1" si="269"/>
        <v>-0.77205841116920648</v>
      </c>
      <c r="E614" s="307">
        <f t="shared" ca="1" si="270"/>
        <v>-7.0854893444075788</v>
      </c>
      <c r="F614" s="304">
        <f t="shared" ca="1" si="271"/>
        <v>7.1274282486722003</v>
      </c>
      <c r="G614" s="306">
        <f t="shared" ca="1" si="272"/>
        <v>21.523969400979798</v>
      </c>
      <c r="H614" s="307">
        <f t="shared" ca="1" si="273"/>
        <v>-76.936760775673392</v>
      </c>
      <c r="I614" s="304">
        <f t="shared" ca="1" si="274"/>
        <v>79.890840635378908</v>
      </c>
      <c r="J614" s="306">
        <f t="shared" ca="1" si="275"/>
        <v>692.8486608452888</v>
      </c>
      <c r="K614" s="307">
        <f t="shared" ca="1" si="276"/>
        <v>964.81862262784591</v>
      </c>
      <c r="L614" s="304">
        <f t="shared" ca="1" si="261"/>
        <v>1187.8191113989553</v>
      </c>
      <c r="M614" s="306">
        <f t="shared" ca="1" si="277"/>
        <v>-1.2980084873656867</v>
      </c>
      <c r="N614" s="304">
        <f t="shared" ca="1" si="278"/>
        <v>-74.370408098213886</v>
      </c>
      <c r="P614" s="310">
        <f t="shared" ca="1" si="279"/>
        <v>23</v>
      </c>
      <c r="Q614" s="304">
        <f t="shared" ca="1" si="280"/>
        <v>0</v>
      </c>
      <c r="R614" s="306">
        <f t="shared" ca="1" si="281"/>
        <v>0</v>
      </c>
      <c r="S614" s="307">
        <f t="shared" ca="1" si="282"/>
        <v>8.1379999999999981</v>
      </c>
      <c r="T614" s="304">
        <f t="shared" ca="1" si="262"/>
        <v>79.83377999999999</v>
      </c>
      <c r="U614" s="311">
        <f t="shared" ca="1" si="263"/>
        <v>0</v>
      </c>
      <c r="V614" s="306">
        <f t="shared" ca="1" si="264"/>
        <v>1.1122489350856151</v>
      </c>
      <c r="W614" s="304">
        <f t="shared" ca="1" si="265"/>
        <v>23.449285439237386</v>
      </c>
      <c r="Y614" s="314" t="str">
        <f t="shared" ca="1" si="283"/>
        <v/>
      </c>
      <c r="Z614" s="315" t="str">
        <f t="shared" ca="1" si="284"/>
        <v/>
      </c>
      <c r="AA614" s="316" t="str">
        <f t="shared" ca="1" si="285"/>
        <v/>
      </c>
      <c r="AC614" s="310">
        <f t="shared" ca="1" si="286"/>
        <v>25.000000000000043</v>
      </c>
      <c r="AD614" s="323">
        <f t="shared" ca="1" si="287"/>
        <v>692.8486608452888</v>
      </c>
      <c r="AE614" s="324" t="e">
        <f t="shared" ca="1" si="266"/>
        <v>#N/A</v>
      </c>
      <c r="AG614" s="306">
        <f t="shared" ca="1" si="288"/>
        <v>6.6065702188227107</v>
      </c>
      <c r="AH614" s="304">
        <f t="shared" ca="1" si="289"/>
        <v>-2.8317896289614755</v>
      </c>
    </row>
    <row r="615" spans="1:34" x14ac:dyDescent="0.2">
      <c r="A615" s="347">
        <f t="shared" ca="1" si="267"/>
        <v>0.1</v>
      </c>
      <c r="B615" s="304">
        <f t="shared" ca="1" si="268"/>
        <v>25.100000000000044</v>
      </c>
      <c r="D615" s="306">
        <f t="shared" ca="1" si="269"/>
        <v>-0.77631379334208073</v>
      </c>
      <c r="E615" s="307">
        <f t="shared" ca="1" si="270"/>
        <v>-7.035090433249902</v>
      </c>
      <c r="F615" s="304">
        <f t="shared" ca="1" si="271"/>
        <v>7.077793477471455</v>
      </c>
      <c r="G615" s="306">
        <f t="shared" ca="1" si="272"/>
        <v>21.446338021645591</v>
      </c>
      <c r="H615" s="307">
        <f t="shared" ca="1" si="273"/>
        <v>-77.640269818998377</v>
      </c>
      <c r="I615" s="304">
        <f t="shared" ca="1" si="274"/>
        <v>80.547854795180939</v>
      </c>
      <c r="J615" s="306">
        <f t="shared" ca="1" si="275"/>
        <v>694.99717621642003</v>
      </c>
      <c r="K615" s="307">
        <f t="shared" ca="1" si="276"/>
        <v>957.08977109811235</v>
      </c>
      <c r="L615" s="304">
        <f t="shared" ca="1" si="261"/>
        <v>1182.8110182482385</v>
      </c>
      <c r="M615" s="306">
        <f t="shared" ca="1" si="277"/>
        <v>-1.3012897514373838</v>
      </c>
      <c r="N615" s="304">
        <f t="shared" ca="1" si="278"/>
        <v>-74.558410680990036</v>
      </c>
      <c r="P615" s="310">
        <f t="shared" ca="1" si="279"/>
        <v>23</v>
      </c>
      <c r="Q615" s="304">
        <f t="shared" ca="1" si="280"/>
        <v>0</v>
      </c>
      <c r="R615" s="306">
        <f t="shared" ca="1" si="281"/>
        <v>0</v>
      </c>
      <c r="S615" s="307">
        <f t="shared" ca="1" si="282"/>
        <v>8.1379999999999981</v>
      </c>
      <c r="T615" s="304">
        <f t="shared" ca="1" si="262"/>
        <v>79.83377999999999</v>
      </c>
      <c r="U615" s="311">
        <f t="shared" ca="1" si="263"/>
        <v>0</v>
      </c>
      <c r="V615" s="306">
        <f t="shared" ca="1" si="264"/>
        <v>1.1131108987554093</v>
      </c>
      <c r="W615" s="304">
        <f t="shared" ca="1" si="265"/>
        <v>23.855033164521753</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6.5658054314230334</v>
      </c>
      <c r="AH615" s="304">
        <f t="shared" ca="1" si="289"/>
        <v>-2.8814555712997532</v>
      </c>
    </row>
    <row r="616" spans="1:34" x14ac:dyDescent="0.2">
      <c r="A616" s="347">
        <f t="shared" ca="1" si="267"/>
        <v>0.1</v>
      </c>
      <c r="B616" s="304">
        <f t="shared" ca="1" si="268"/>
        <v>25.200000000000045</v>
      </c>
      <c r="D616" s="306">
        <f t="shared" ca="1" si="269"/>
        <v>-0.7804795125838947</v>
      </c>
      <c r="E616" s="307">
        <f t="shared" ca="1" si="270"/>
        <v>-6.9844994467561659</v>
      </c>
      <c r="F616" s="304">
        <f t="shared" ca="1" si="271"/>
        <v>7.0279713140635671</v>
      </c>
      <c r="G616" s="306">
        <f t="shared" ca="1" si="272"/>
        <v>21.3682900703872</v>
      </c>
      <c r="H616" s="307">
        <f t="shared" ca="1" si="273"/>
        <v>-78.338719763673993</v>
      </c>
      <c r="I616" s="304">
        <f t="shared" ca="1" si="274"/>
        <v>81.20073173773531</v>
      </c>
      <c r="J616" s="306">
        <f t="shared" ca="1" si="275"/>
        <v>697.13790762102167</v>
      </c>
      <c r="K616" s="307">
        <f t="shared" ca="1" si="276"/>
        <v>949.29082161897873</v>
      </c>
      <c r="L616" s="304">
        <f t="shared" ca="1" si="261"/>
        <v>1177.7751594647648</v>
      </c>
      <c r="M616" s="306">
        <f t="shared" ca="1" si="277"/>
        <v>-1.3045064397542734</v>
      </c>
      <c r="N616" s="304">
        <f t="shared" ca="1" si="278"/>
        <v>-74.742713345556851</v>
      </c>
      <c r="P616" s="310">
        <f t="shared" ca="1" si="279"/>
        <v>23</v>
      </c>
      <c r="Q616" s="304">
        <f t="shared" ca="1" si="280"/>
        <v>0</v>
      </c>
      <c r="R616" s="306">
        <f t="shared" ca="1" si="281"/>
        <v>0</v>
      </c>
      <c r="S616" s="307">
        <f t="shared" ca="1" si="282"/>
        <v>8.1379999999999981</v>
      </c>
      <c r="T616" s="304">
        <f t="shared" ca="1" si="262"/>
        <v>79.83377999999999</v>
      </c>
      <c r="U616" s="311">
        <f t="shared" ca="1" si="263"/>
        <v>0</v>
      </c>
      <c r="V616" s="306">
        <f t="shared" ca="1" si="264"/>
        <v>1.1139813248204857</v>
      </c>
      <c r="W616" s="304">
        <f t="shared" ca="1" si="265"/>
        <v>24.262269845534167</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6.5245684753157764</v>
      </c>
      <c r="AH616" s="304">
        <f t="shared" ca="1" si="289"/>
        <v>-2.9313139794202212</v>
      </c>
    </row>
    <row r="617" spans="1:34" x14ac:dyDescent="0.2">
      <c r="A617" s="347">
        <f t="shared" ca="1" si="267"/>
        <v>0.1</v>
      </c>
      <c r="B617" s="304">
        <f t="shared" ca="1" si="268"/>
        <v>25.300000000000047</v>
      </c>
      <c r="D617" s="306">
        <f t="shared" ca="1" si="269"/>
        <v>-0.78455531837394021</v>
      </c>
      <c r="E617" s="307">
        <f t="shared" ca="1" si="270"/>
        <v>-6.9337259030674314</v>
      </c>
      <c r="F617" s="304">
        <f t="shared" ca="1" si="271"/>
        <v>6.977971191288848</v>
      </c>
      <c r="G617" s="306">
        <f t="shared" ca="1" si="272"/>
        <v>21.289834538549805</v>
      </c>
      <c r="H617" s="307">
        <f t="shared" ca="1" si="273"/>
        <v>-79.03209235398073</v>
      </c>
      <c r="I617" s="304">
        <f t="shared" ca="1" si="274"/>
        <v>81.849426855213636</v>
      </c>
      <c r="J617" s="306">
        <f t="shared" ca="1" si="275"/>
        <v>699.27081385146857</v>
      </c>
      <c r="K617" s="307">
        <f t="shared" ca="1" si="276"/>
        <v>941.42228101309604</v>
      </c>
      <c r="L617" s="304">
        <f t="shared" ca="1" si="261"/>
        <v>1172.7129155477039</v>
      </c>
      <c r="M617" s="306">
        <f t="shared" ca="1" si="277"/>
        <v>-1.3076604559015708</v>
      </c>
      <c r="N617" s="304">
        <f t="shared" ca="1" si="278"/>
        <v>-74.923425159313112</v>
      </c>
      <c r="P617" s="310">
        <f t="shared" ca="1" si="279"/>
        <v>23</v>
      </c>
      <c r="Q617" s="304">
        <f t="shared" ca="1" si="280"/>
        <v>0</v>
      </c>
      <c r="R617" s="306">
        <f t="shared" ca="1" si="281"/>
        <v>0</v>
      </c>
      <c r="S617" s="307">
        <f t="shared" ca="1" si="282"/>
        <v>8.1379999999999981</v>
      </c>
      <c r="T617" s="304">
        <f t="shared" ca="1" si="262"/>
        <v>79.83377999999999</v>
      </c>
      <c r="U617" s="311">
        <f t="shared" ca="1" si="263"/>
        <v>0</v>
      </c>
      <c r="V617" s="306">
        <f t="shared" ca="1" si="264"/>
        <v>1.1148601748471831</v>
      </c>
      <c r="W617" s="304">
        <f t="shared" ca="1" si="265"/>
        <v>24.670918565120726</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6.4828800622077916</v>
      </c>
      <c r="AH617" s="304">
        <f t="shared" ca="1" si="289"/>
        <v>-2.9813553508889372</v>
      </c>
    </row>
    <row r="618" spans="1:34" x14ac:dyDescent="0.2">
      <c r="A618" s="347">
        <f t="shared" ca="1" si="267"/>
        <v>0.1</v>
      </c>
      <c r="B618" s="304">
        <f t="shared" ca="1" si="268"/>
        <v>25.400000000000048</v>
      </c>
      <c r="D618" s="306">
        <f t="shared" ca="1" si="269"/>
        <v>-0.78854099724107729</v>
      </c>
      <c r="E618" s="307">
        <f t="shared" ca="1" si="270"/>
        <v>-6.8827792737884801</v>
      </c>
      <c r="F618" s="304">
        <f t="shared" ca="1" si="271"/>
        <v>6.9278024968977165</v>
      </c>
      <c r="G618" s="306">
        <f t="shared" ca="1" si="272"/>
        <v>21.210980438825697</v>
      </c>
      <c r="H618" s="307">
        <f t="shared" ca="1" si="273"/>
        <v>-79.720370281359578</v>
      </c>
      <c r="I618" s="304">
        <f t="shared" ca="1" si="274"/>
        <v>82.493897525655356</v>
      </c>
      <c r="J618" s="306">
        <f t="shared" ca="1" si="275"/>
        <v>701.39585460033732</v>
      </c>
      <c r="K618" s="307">
        <f t="shared" ca="1" si="276"/>
        <v>933.48465788132899</v>
      </c>
      <c r="L618" s="304">
        <f t="shared" ca="1" si="261"/>
        <v>1167.625689744089</v>
      </c>
      <c r="M618" s="306">
        <f t="shared" ca="1" si="277"/>
        <v>-1.3107536311093224</v>
      </c>
      <c r="N618" s="304">
        <f t="shared" ca="1" si="278"/>
        <v>-75.100651044011784</v>
      </c>
      <c r="P618" s="310">
        <f t="shared" ca="1" si="279"/>
        <v>23</v>
      </c>
      <c r="Q618" s="304">
        <f t="shared" ca="1" si="280"/>
        <v>0</v>
      </c>
      <c r="R618" s="306">
        <f t="shared" ca="1" si="281"/>
        <v>0</v>
      </c>
      <c r="S618" s="307">
        <f t="shared" ca="1" si="282"/>
        <v>8.1379999999999981</v>
      </c>
      <c r="T618" s="304">
        <f t="shared" ca="1" si="262"/>
        <v>79.83377999999999</v>
      </c>
      <c r="U618" s="311">
        <f t="shared" ca="1" si="263"/>
        <v>0</v>
      </c>
      <c r="V618" s="306">
        <f t="shared" ca="1" si="264"/>
        <v>1.1157474102287981</v>
      </c>
      <c r="W618" s="304">
        <f t="shared" ca="1" si="265"/>
        <v>25.080902843264347</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6.440760309690674</v>
      </c>
      <c r="AH618" s="304">
        <f t="shared" ca="1" si="289"/>
        <v>-3.0315702341018347</v>
      </c>
    </row>
    <row r="619" spans="1:34" x14ac:dyDescent="0.2">
      <c r="A619" s="347">
        <f t="shared" ca="1" si="267"/>
        <v>0.1</v>
      </c>
      <c r="B619" s="304">
        <f t="shared" ca="1" si="268"/>
        <v>25.50000000000005</v>
      </c>
      <c r="D619" s="306">
        <f t="shared" ca="1" si="269"/>
        <v>-0.79243637185984672</v>
      </c>
      <c r="E619" s="307">
        <f t="shared" ca="1" si="270"/>
        <v>-6.8316689807771294</v>
      </c>
      <c r="F619" s="304">
        <f t="shared" ca="1" si="271"/>
        <v>6.8774745703898335</v>
      </c>
      <c r="G619" s="306">
        <f t="shared" ca="1" si="272"/>
        <v>21.131736801639711</v>
      </c>
      <c r="H619" s="307">
        <f t="shared" ca="1" si="273"/>
        <v>-80.403537179437294</v>
      </c>
      <c r="I619" s="304">
        <f t="shared" ca="1" si="274"/>
        <v>83.134103057764023</v>
      </c>
      <c r="J619" s="306">
        <f t="shared" ca="1" si="275"/>
        <v>703.51299046236056</v>
      </c>
      <c r="K619" s="307">
        <f t="shared" ca="1" si="276"/>
        <v>925.47846250828911</v>
      </c>
      <c r="L619" s="304">
        <f t="shared" ca="1" si="261"/>
        <v>1162.5149084274146</v>
      </c>
      <c r="M619" s="306">
        <f t="shared" ca="1" si="277"/>
        <v>-1.3137877275346503</v>
      </c>
      <c r="N619" s="304">
        <f t="shared" ca="1" si="278"/>
        <v>-75.274491963818804</v>
      </c>
      <c r="P619" s="310">
        <f t="shared" ca="1" si="279"/>
        <v>23</v>
      </c>
      <c r="Q619" s="304">
        <f t="shared" ca="1" si="280"/>
        <v>0</v>
      </c>
      <c r="R619" s="306">
        <f t="shared" ca="1" si="281"/>
        <v>0</v>
      </c>
      <c r="S619" s="307">
        <f t="shared" ca="1" si="282"/>
        <v>8.1379999999999981</v>
      </c>
      <c r="T619" s="304">
        <f t="shared" ca="1" si="262"/>
        <v>79.83377999999999</v>
      </c>
      <c r="U619" s="311">
        <f t="shared" ca="1" si="263"/>
        <v>0</v>
      </c>
      <c r="V619" s="306">
        <f t="shared" ca="1" si="264"/>
        <v>1.1166429921921357</v>
      </c>
      <c r="W619" s="304">
        <f t="shared" ca="1" si="265"/>
        <v>25.492146660042707</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6.3982287688680142</v>
      </c>
      <c r="AH619" s="304">
        <f t="shared" ca="1" si="289"/>
        <v>-3.0819492311703556</v>
      </c>
    </row>
    <row r="620" spans="1:34" x14ac:dyDescent="0.2">
      <c r="A620" s="347">
        <f t="shared" ca="1" si="267"/>
        <v>0.1</v>
      </c>
      <c r="B620" s="304">
        <f t="shared" ca="1" si="268"/>
        <v>25.600000000000051</v>
      </c>
      <c r="D620" s="306">
        <f t="shared" ca="1" si="269"/>
        <v>-0.79624130017145467</v>
      </c>
      <c r="E620" s="307">
        <f t="shared" ca="1" si="270"/>
        <v>-6.7804043930184017</v>
      </c>
      <c r="F620" s="304">
        <f t="shared" ca="1" si="271"/>
        <v>6.8269966999378262</v>
      </c>
      <c r="G620" s="306">
        <f t="shared" ca="1" si="272"/>
        <v>21.052112671622567</v>
      </c>
      <c r="H620" s="307">
        <f t="shared" ca="1" si="273"/>
        <v>-81.081577618739132</v>
      </c>
      <c r="I620" s="304">
        <f t="shared" ca="1" si="274"/>
        <v>83.770004638189619</v>
      </c>
      <c r="J620" s="306">
        <f t="shared" ca="1" si="275"/>
        <v>705.62218293602371</v>
      </c>
      <c r="K620" s="307">
        <f t="shared" ca="1" si="276"/>
        <v>917.40420676838028</v>
      </c>
      <c r="L620" s="304">
        <f t="shared" ca="1" si="261"/>
        <v>1157.3820214811185</v>
      </c>
      <c r="M620" s="306">
        <f t="shared" ca="1" si="277"/>
        <v>-1.3167644413741895</v>
      </c>
      <c r="N620" s="304">
        <f t="shared" ca="1" si="278"/>
        <v>-75.44504510364257</v>
      </c>
      <c r="P620" s="310">
        <f t="shared" ca="1" si="279"/>
        <v>23</v>
      </c>
      <c r="Q620" s="304">
        <f t="shared" ca="1" si="280"/>
        <v>0</v>
      </c>
      <c r="R620" s="306">
        <f t="shared" ca="1" si="281"/>
        <v>0</v>
      </c>
      <c r="S620" s="307">
        <f t="shared" ca="1" si="282"/>
        <v>8.1379999999999981</v>
      </c>
      <c r="T620" s="304">
        <f t="shared" ca="1" si="262"/>
        <v>79.83377999999999</v>
      </c>
      <c r="U620" s="311">
        <f t="shared" ca="1" si="263"/>
        <v>0</v>
      </c>
      <c r="V620" s="306">
        <f t="shared" ca="1" si="264"/>
        <v>1.117546881804041</v>
      </c>
      <c r="W620" s="304">
        <f t="shared" ca="1" si="265"/>
        <v>25.904574478052929</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6.3553044501213733</v>
      </c>
      <c r="AH620" s="304">
        <f t="shared" ca="1" si="289"/>
        <v>-3.1324830007425306</v>
      </c>
    </row>
    <row r="621" spans="1:34" x14ac:dyDescent="0.2">
      <c r="A621" s="347">
        <f t="shared" ca="1" si="267"/>
        <v>0.1</v>
      </c>
      <c r="B621" s="304">
        <f t="shared" ca="1" si="268"/>
        <v>25.700000000000053</v>
      </c>
      <c r="D621" s="306">
        <f t="shared" ca="1" si="269"/>
        <v>-0.79995567452786565</v>
      </c>
      <c r="E621" s="307">
        <f t="shared" ca="1" si="270"/>
        <v>-6.7289948235830508</v>
      </c>
      <c r="F621" s="304">
        <f t="shared" ca="1" si="271"/>
        <v>6.7763781193951109</v>
      </c>
      <c r="G621" s="306">
        <f t="shared" ca="1" si="272"/>
        <v>20.972117104169779</v>
      </c>
      <c r="H621" s="307">
        <f t="shared" ca="1" si="273"/>
        <v>-81.754477101097436</v>
      </c>
      <c r="I621" s="304">
        <f t="shared" ca="1" si="274"/>
        <v>84.401565281130161</v>
      </c>
      <c r="J621" s="306">
        <f t="shared" ca="1" si="275"/>
        <v>707.72339442481336</v>
      </c>
      <c r="K621" s="307">
        <f t="shared" ca="1" si="276"/>
        <v>909.26240403238842</v>
      </c>
      <c r="L621" s="304">
        <f t="shared" ca="1" si="261"/>
        <v>1152.2285026863979</v>
      </c>
      <c r="M621" s="306">
        <f t="shared" ca="1" si="277"/>
        <v>-1.3196854058163625</v>
      </c>
      <c r="N621" s="304">
        <f t="shared" ca="1" si="278"/>
        <v>-75.612404038286869</v>
      </c>
      <c r="P621" s="310">
        <f t="shared" ca="1" si="279"/>
        <v>23</v>
      </c>
      <c r="Q621" s="304">
        <f t="shared" ca="1" si="280"/>
        <v>0</v>
      </c>
      <c r="R621" s="306">
        <f t="shared" ca="1" si="281"/>
        <v>0</v>
      </c>
      <c r="S621" s="307">
        <f t="shared" ca="1" si="282"/>
        <v>8.1379999999999981</v>
      </c>
      <c r="T621" s="304">
        <f t="shared" ca="1" si="262"/>
        <v>79.83377999999999</v>
      </c>
      <c r="U621" s="311">
        <f t="shared" ca="1" si="263"/>
        <v>0</v>
      </c>
      <c r="V621" s="306">
        <f t="shared" ca="1" si="264"/>
        <v>1.1184590399779124</v>
      </c>
      <c r="W621" s="304">
        <f t="shared" ca="1" si="265"/>
        <v>26.318111264295702</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6.3120058471493188</v>
      </c>
      <c r="AH621" s="304">
        <f t="shared" ca="1" si="289"/>
        <v>-3.1831622607585324</v>
      </c>
    </row>
    <row r="622" spans="1:34" x14ac:dyDescent="0.2">
      <c r="A622" s="347">
        <f t="shared" ca="1" si="267"/>
        <v>0.1</v>
      </c>
      <c r="B622" s="304">
        <f t="shared" ca="1" si="268"/>
        <v>25.800000000000054</v>
      </c>
      <c r="D622" s="306">
        <f t="shared" ca="1" si="269"/>
        <v>-0.80357942085739542</v>
      </c>
      <c r="E622" s="307">
        <f t="shared" ca="1" si="270"/>
        <v>-6.6774495266700065</v>
      </c>
      <c r="F622" s="304">
        <f t="shared" ca="1" si="271"/>
        <v>6.725628005387378</v>
      </c>
      <c r="G622" s="306">
        <f t="shared" ca="1" si="272"/>
        <v>20.891759162084039</v>
      </c>
      <c r="H622" s="307">
        <f t="shared" ca="1" si="273"/>
        <v>-82.422222053764443</v>
      </c>
      <c r="I622" s="304">
        <f t="shared" ca="1" si="274"/>
        <v>85.028749780098352</v>
      </c>
      <c r="J622" s="306">
        <f t="shared" ca="1" si="275"/>
        <v>709.81658823812609</v>
      </c>
      <c r="K622" s="307">
        <f t="shared" ca="1" si="276"/>
        <v>901.05356907464534</v>
      </c>
      <c r="L622" s="304">
        <f t="shared" ca="1" si="261"/>
        <v>1147.0558501137466</v>
      </c>
      <c r="M622" s="306">
        <f t="shared" ca="1" si="277"/>
        <v>-1.3225521938425611</v>
      </c>
      <c r="N622" s="304">
        <f t="shared" ca="1" si="278"/>
        <v>-75.776658892946685</v>
      </c>
      <c r="P622" s="310">
        <f t="shared" ca="1" si="279"/>
        <v>23</v>
      </c>
      <c r="Q622" s="304">
        <f t="shared" ca="1" si="280"/>
        <v>0</v>
      </c>
      <c r="R622" s="306">
        <f t="shared" ca="1" si="281"/>
        <v>0</v>
      </c>
      <c r="S622" s="307">
        <f t="shared" ca="1" si="282"/>
        <v>8.1379999999999981</v>
      </c>
      <c r="T622" s="304">
        <f t="shared" ca="1" si="262"/>
        <v>79.83377999999999</v>
      </c>
      <c r="U622" s="311">
        <f t="shared" ca="1" si="263"/>
        <v>0</v>
      </c>
      <c r="V622" s="306">
        <f t="shared" ca="1" si="264"/>
        <v>1.1193794274801903</v>
      </c>
      <c r="W622" s="304">
        <f t="shared" ca="1" si="265"/>
        <v>26.732682511512113</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6.2683509594038007</v>
      </c>
      <c r="AH622" s="304">
        <f t="shared" ca="1" si="289"/>
        <v>-3.233977791139802</v>
      </c>
    </row>
    <row r="623" spans="1:34" x14ac:dyDescent="0.2">
      <c r="A623" s="347">
        <f t="shared" ca="1" si="267"/>
        <v>0.1</v>
      </c>
      <c r="B623" s="304">
        <f t="shared" ca="1" si="268"/>
        <v>25.900000000000055</v>
      </c>
      <c r="D623" s="306">
        <f t="shared" ca="1" si="269"/>
        <v>-0.80711249785032069</v>
      </c>
      <c r="E623" s="307">
        <f t="shared" ca="1" si="270"/>
        <v>-6.6257776947323599</v>
      </c>
      <c r="F623" s="304">
        <f t="shared" ca="1" si="271"/>
        <v>6.6747554744873652</v>
      </c>
      <c r="G623" s="306">
        <f t="shared" ca="1" si="272"/>
        <v>20.811047912299006</v>
      </c>
      <c r="H623" s="307">
        <f t="shared" ca="1" si="273"/>
        <v>-83.084799823237674</v>
      </c>
      <c r="I623" s="304">
        <f t="shared" ca="1" si="274"/>
        <v>85.651524661709786</v>
      </c>
      <c r="J623" s="306">
        <f t="shared" ca="1" si="275"/>
        <v>711.9017285918452</v>
      </c>
      <c r="K623" s="307">
        <f t="shared" ca="1" si="276"/>
        <v>892.77821798079526</v>
      </c>
      <c r="L623" s="304">
        <f t="shared" ca="1" si="261"/>
        <v>1141.8655865175294</v>
      </c>
      <c r="M623" s="306">
        <f t="shared" ca="1" si="277"/>
        <v>-1.3253663208857565</v>
      </c>
      <c r="N623" s="304">
        <f t="shared" ca="1" si="278"/>
        <v>-75.937896495535412</v>
      </c>
      <c r="P623" s="310">
        <f t="shared" ca="1" si="279"/>
        <v>23</v>
      </c>
      <c r="Q623" s="304">
        <f t="shared" ca="1" si="280"/>
        <v>0</v>
      </c>
      <c r="R623" s="306">
        <f t="shared" ca="1" si="281"/>
        <v>0</v>
      </c>
      <c r="S623" s="307">
        <f t="shared" ca="1" si="282"/>
        <v>8.1379999999999981</v>
      </c>
      <c r="T623" s="304">
        <f t="shared" ca="1" si="262"/>
        <v>79.83377999999999</v>
      </c>
      <c r="U623" s="311">
        <f t="shared" ca="1" si="263"/>
        <v>0</v>
      </c>
      <c r="V623" s="306">
        <f t="shared" ca="1" si="264"/>
        <v>1.1203080049368208</v>
      </c>
      <c r="W623" s="304">
        <f t="shared" ca="1" si="265"/>
        <v>27.148214258967261</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6.2243573130389365</v>
      </c>
      <c r="AH623" s="304">
        <f t="shared" ca="1" si="289"/>
        <v>-3.2849204364109266</v>
      </c>
    </row>
    <row r="624" spans="1:34" x14ac:dyDescent="0.2">
      <c r="A624" s="347">
        <f t="shared" ca="1" si="267"/>
        <v>0.1</v>
      </c>
      <c r="B624" s="304">
        <f t="shared" ca="1" si="268"/>
        <v>26.000000000000057</v>
      </c>
      <c r="D624" s="306">
        <f t="shared" ca="1" si="269"/>
        <v>-0.81055489616316134</v>
      </c>
      <c r="E624" s="307">
        <f t="shared" ca="1" si="270"/>
        <v>-6.5739884556864752</v>
      </c>
      <c r="F624" s="304">
        <f t="shared" ca="1" si="271"/>
        <v>6.623769580472521</v>
      </c>
      <c r="G624" s="306">
        <f t="shared" ca="1" si="272"/>
        <v>20.729992422682692</v>
      </c>
      <c r="H624" s="307">
        <f t="shared" ca="1" si="273"/>
        <v>-83.742198668806324</v>
      </c>
      <c r="I624" s="304">
        <f t="shared" ca="1" si="274"/>
        <v>86.269858141359606</v>
      </c>
      <c r="J624" s="306">
        <f t="shared" ca="1" si="275"/>
        <v>713.97878060859432</v>
      </c>
      <c r="K624" s="307">
        <f t="shared" ca="1" si="276"/>
        <v>884.43686805619302</v>
      </c>
      <c r="L624" s="304">
        <f t="shared" ca="1" si="261"/>
        <v>1136.6592597328292</v>
      </c>
      <c r="M624" s="306">
        <f t="shared" ca="1" si="277"/>
        <v>-1.3281292473545521</v>
      </c>
      <c r="N624" s="304">
        <f t="shared" ca="1" si="278"/>
        <v>-76.096200521302393</v>
      </c>
      <c r="P624" s="310">
        <f t="shared" ca="1" si="279"/>
        <v>23</v>
      </c>
      <c r="Q624" s="304">
        <f t="shared" ca="1" si="280"/>
        <v>0</v>
      </c>
      <c r="R624" s="306">
        <f t="shared" ca="1" si="281"/>
        <v>0</v>
      </c>
      <c r="S624" s="307">
        <f t="shared" ca="1" si="282"/>
        <v>8.1379999999999981</v>
      </c>
      <c r="T624" s="304">
        <f t="shared" ca="1" si="262"/>
        <v>79.83377999999999</v>
      </c>
      <c r="U624" s="311">
        <f t="shared" ca="1" si="263"/>
        <v>0</v>
      </c>
      <c r="V624" s="306">
        <f t="shared" ca="1" si="264"/>
        <v>1.1212447328396962</v>
      </c>
      <c r="W624" s="304">
        <f t="shared" ca="1" si="265"/>
        <v>27.564633112675065</v>
      </c>
      <c r="Y624" s="314" t="str">
        <f t="shared" ca="1" si="283"/>
        <v/>
      </c>
      <c r="Z624" s="315" t="str">
        <f t="shared" ca="1" si="284"/>
        <v/>
      </c>
      <c r="AA624" s="316" t="str">
        <f t="shared" ca="1" si="285"/>
        <v/>
      </c>
      <c r="AC624" s="310">
        <f t="shared" ca="1" si="286"/>
        <v>26.000000000000057</v>
      </c>
      <c r="AD624" s="323">
        <f t="shared" ca="1" si="287"/>
        <v>713.97878060859432</v>
      </c>
      <c r="AE624" s="324" t="e">
        <f t="shared" ca="1" si="266"/>
        <v>#N/A</v>
      </c>
      <c r="AG624" s="306">
        <f t="shared" ca="1" si="288"/>
        <v>6.1800419804788511</v>
      </c>
      <c r="AH624" s="304">
        <f t="shared" ca="1" si="289"/>
        <v>-3.3359811082535349</v>
      </c>
    </row>
    <row r="625" spans="1:34" x14ac:dyDescent="0.2">
      <c r="A625" s="347">
        <f t="shared" ca="1" si="267"/>
        <v>0.1</v>
      </c>
      <c r="B625" s="304">
        <f t="shared" ca="1" si="268"/>
        <v>26.100000000000058</v>
      </c>
      <c r="D625" s="306">
        <f t="shared" ca="1" si="269"/>
        <v>-0.81390663764039828</v>
      </c>
      <c r="E625" s="307">
        <f t="shared" ca="1" si="270"/>
        <v>-6.5220908702039013</v>
      </c>
      <c r="F625" s="304">
        <f t="shared" ca="1" si="271"/>
        <v>6.5726793116652349</v>
      </c>
      <c r="G625" s="306">
        <f t="shared" ca="1" si="272"/>
        <v>20.648601758918652</v>
      </c>
      <c r="H625" s="307">
        <f t="shared" ca="1" si="273"/>
        <v>-84.39440775582672</v>
      </c>
      <c r="I625" s="304">
        <f t="shared" ca="1" si="274"/>
        <v>86.88372008066392</v>
      </c>
      <c r="J625" s="306">
        <f t="shared" ca="1" si="275"/>
        <v>716.04771031767439</v>
      </c>
      <c r="K625" s="307">
        <f t="shared" ca="1" si="276"/>
        <v>876.03003773496141</v>
      </c>
      <c r="L625" s="304">
        <f t="shared" ca="1" si="261"/>
        <v>1131.4384430737282</v>
      </c>
      <c r="M625" s="306">
        <f t="shared" ca="1" si="277"/>
        <v>-1.3308423810302141</v>
      </c>
      <c r="N625" s="304">
        <f t="shared" ca="1" si="278"/>
        <v>-76.251651630172645</v>
      </c>
      <c r="P625" s="310">
        <f t="shared" ca="1" si="279"/>
        <v>23</v>
      </c>
      <c r="Q625" s="304">
        <f t="shared" ca="1" si="280"/>
        <v>0</v>
      </c>
      <c r="R625" s="306">
        <f t="shared" ca="1" si="281"/>
        <v>0</v>
      </c>
      <c r="S625" s="307">
        <f t="shared" ca="1" si="282"/>
        <v>8.1379999999999981</v>
      </c>
      <c r="T625" s="304">
        <f t="shared" ca="1" si="262"/>
        <v>79.83377999999999</v>
      </c>
      <c r="U625" s="311">
        <f t="shared" ca="1" si="263"/>
        <v>0</v>
      </c>
      <c r="V625" s="306">
        <f t="shared" ca="1" si="264"/>
        <v>1.122189571553063</v>
      </c>
      <c r="W625" s="304">
        <f t="shared" ca="1" si="265"/>
        <v>27.981866265059455</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6.135421598703287</v>
      </c>
      <c r="AH625" s="304">
        <f t="shared" ca="1" si="289"/>
        <v>-3.3871507879915299</v>
      </c>
    </row>
    <row r="626" spans="1:34" x14ac:dyDescent="0.2">
      <c r="A626" s="347">
        <f t="shared" ca="1" si="267"/>
        <v>0.1</v>
      </c>
      <c r="B626" s="304">
        <f t="shared" ca="1" si="268"/>
        <v>26.20000000000006</v>
      </c>
      <c r="D626" s="306">
        <f t="shared" ca="1" si="269"/>
        <v>-0.81716777455248546</v>
      </c>
      <c r="E626" s="307">
        <f t="shared" ca="1" si="270"/>
        <v>-6.47009392908571</v>
      </c>
      <c r="F626" s="304">
        <f t="shared" ca="1" si="271"/>
        <v>6.5214935883552645</v>
      </c>
      <c r="G626" s="306">
        <f t="shared" ca="1" si="272"/>
        <v>20.566884981463403</v>
      </c>
      <c r="H626" s="307">
        <f t="shared" ca="1" si="273"/>
        <v>-85.041417148735292</v>
      </c>
      <c r="I626" s="304">
        <f t="shared" ca="1" si="274"/>
        <v>87.493081946551371</v>
      </c>
      <c r="J626" s="306">
        <f t="shared" ca="1" si="275"/>
        <v>718.10848465469348</v>
      </c>
      <c r="K626" s="307">
        <f t="shared" ca="1" si="276"/>
        <v>867.55824648973328</v>
      </c>
      <c r="L626" s="304">
        <f t="shared" ca="1" si="261"/>
        <v>1126.2047357320964</v>
      </c>
      <c r="M626" s="306">
        <f t="shared" ca="1" si="277"/>
        <v>-1.3335070793437587</v>
      </c>
      <c r="N626" s="304">
        <f t="shared" ca="1" si="278"/>
        <v>-76.404327597214376</v>
      </c>
      <c r="P626" s="310">
        <f t="shared" ca="1" si="279"/>
        <v>23</v>
      </c>
      <c r="Q626" s="304">
        <f t="shared" ca="1" si="280"/>
        <v>0</v>
      </c>
      <c r="R626" s="306">
        <f t="shared" ca="1" si="281"/>
        <v>0</v>
      </c>
      <c r="S626" s="307">
        <f t="shared" ca="1" si="282"/>
        <v>8.1379999999999981</v>
      </c>
      <c r="T626" s="304">
        <f t="shared" ca="1" si="262"/>
        <v>79.83377999999999</v>
      </c>
      <c r="U626" s="311">
        <f t="shared" ca="1" si="263"/>
        <v>0</v>
      </c>
      <c r="V626" s="306">
        <f t="shared" ca="1" si="264"/>
        <v>1.1231424813199027</v>
      </c>
      <c r="W626" s="304">
        <f t="shared" ca="1" si="265"/>
        <v>28.399841514047679</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6.0905123863425477</v>
      </c>
      <c r="AH626" s="304">
        <f t="shared" ca="1" si="289"/>
        <v>-3.4384205290070611</v>
      </c>
    </row>
    <row r="627" spans="1:34" x14ac:dyDescent="0.2">
      <c r="A627" s="347">
        <f t="shared" ca="1" si="267"/>
        <v>0.1</v>
      </c>
      <c r="B627" s="304">
        <f t="shared" ca="1" si="268"/>
        <v>26.300000000000061</v>
      </c>
      <c r="D627" s="306">
        <f t="shared" ca="1" si="269"/>
        <v>-0.82033838884914279</v>
      </c>
      <c r="E627" s="307">
        <f t="shared" ca="1" si="270"/>
        <v>-6.418006550718915</v>
      </c>
      <c r="F627" s="304">
        <f t="shared" ca="1" si="271"/>
        <v>6.470221260304049</v>
      </c>
      <c r="G627" s="306">
        <f t="shared" ca="1" si="272"/>
        <v>20.484851142578488</v>
      </c>
      <c r="H627" s="307">
        <f t="shared" ca="1" si="273"/>
        <v>-85.683217803807182</v>
      </c>
      <c r="I627" s="304">
        <f t="shared" ca="1" si="274"/>
        <v>88.097916771897957</v>
      </c>
      <c r="J627" s="306">
        <f t="shared" ca="1" si="275"/>
        <v>720.16107146089553</v>
      </c>
      <c r="K627" s="307">
        <f t="shared" ca="1" si="276"/>
        <v>859.02201474210619</v>
      </c>
      <c r="L627" s="304">
        <f t="shared" ca="1" si="261"/>
        <v>1120.9597631758654</v>
      </c>
      <c r="M627" s="306">
        <f t="shared" ca="1" si="277"/>
        <v>-1.3361246515397567</v>
      </c>
      <c r="N627" s="304">
        <f t="shared" ca="1" si="278"/>
        <v>-76.554303436615854</v>
      </c>
      <c r="P627" s="310">
        <f t="shared" ca="1" si="279"/>
        <v>23</v>
      </c>
      <c r="Q627" s="304">
        <f t="shared" ca="1" si="280"/>
        <v>0</v>
      </c>
      <c r="R627" s="306">
        <f t="shared" ca="1" si="281"/>
        <v>0</v>
      </c>
      <c r="S627" s="307">
        <f t="shared" ca="1" si="282"/>
        <v>8.1379999999999981</v>
      </c>
      <c r="T627" s="304">
        <f t="shared" ca="1" si="262"/>
        <v>79.83377999999999</v>
      </c>
      <c r="U627" s="311">
        <f t="shared" ca="1" si="263"/>
        <v>0</v>
      </c>
      <c r="V627" s="306">
        <f t="shared" ca="1" si="264"/>
        <v>1.1241034222682766</v>
      </c>
      <c r="W627" s="304">
        <f t="shared" ca="1" si="265"/>
        <v>28.818487281591818</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6.0453301596665474</v>
      </c>
      <c r="AH627" s="304">
        <f t="shared" ca="1" si="289"/>
        <v>-3.4897814590867151</v>
      </c>
    </row>
    <row r="628" spans="1:34" x14ac:dyDescent="0.2">
      <c r="A628" s="347">
        <f t="shared" ca="1" si="267"/>
        <v>0.1</v>
      </c>
      <c r="B628" s="304">
        <f t="shared" ca="1" si="268"/>
        <v>26.400000000000063</v>
      </c>
      <c r="D628" s="306">
        <f t="shared" ca="1" si="269"/>
        <v>-0.8234185914269746</v>
      </c>
      <c r="E628" s="307">
        <f t="shared" ca="1" si="270"/>
        <v>-6.3658375786146504</v>
      </c>
      <c r="F628" s="304">
        <f t="shared" ca="1" si="271"/>
        <v>6.4188711043305755</v>
      </c>
      <c r="G628" s="306">
        <f t="shared" ca="1" si="272"/>
        <v>20.402509283435791</v>
      </c>
      <c r="H628" s="307">
        <f t="shared" ca="1" si="273"/>
        <v>-86.31980156166864</v>
      </c>
      <c r="I628" s="304">
        <f t="shared" ca="1" si="274"/>
        <v>88.698199117606308</v>
      </c>
      <c r="J628" s="306">
        <f t="shared" ca="1" si="275"/>
        <v>722.2054394821962</v>
      </c>
      <c r="K628" s="307">
        <f t="shared" ca="1" si="276"/>
        <v>850.42186377383246</v>
      </c>
      <c r="L628" s="304">
        <f t="shared" ca="1" si="261"/>
        <v>1115.7051775456771</v>
      </c>
      <c r="M628" s="306">
        <f t="shared" ca="1" si="277"/>
        <v>-1.3386963607331219</v>
      </c>
      <c r="N628" s="304">
        <f t="shared" ca="1" si="278"/>
        <v>-76.701651519530671</v>
      </c>
      <c r="P628" s="310">
        <f t="shared" ca="1" si="279"/>
        <v>23</v>
      </c>
      <c r="Q628" s="304">
        <f t="shared" ca="1" si="280"/>
        <v>0</v>
      </c>
      <c r="R628" s="306">
        <f t="shared" ca="1" si="281"/>
        <v>0</v>
      </c>
      <c r="S628" s="307">
        <f t="shared" ca="1" si="282"/>
        <v>8.1379999999999981</v>
      </c>
      <c r="T628" s="304">
        <f t="shared" ca="1" si="262"/>
        <v>79.83377999999999</v>
      </c>
      <c r="U628" s="311">
        <f t="shared" ca="1" si="263"/>
        <v>0</v>
      </c>
      <c r="V628" s="306">
        <f t="shared" ca="1" si="264"/>
        <v>1.1250723544176395</v>
      </c>
      <c r="W628" s="304">
        <f t="shared" ca="1" si="265"/>
        <v>29.237732631615621</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5.9998903475467378</v>
      </c>
      <c r="AH628" s="304">
        <f t="shared" ca="1" si="289"/>
        <v>-3.541224782697447</v>
      </c>
    </row>
    <row r="629" spans="1:34" x14ac:dyDescent="0.2">
      <c r="A629" s="347">
        <f t="shared" ca="1" si="267"/>
        <v>0.1</v>
      </c>
      <c r="B629" s="304">
        <f t="shared" ca="1" si="268"/>
        <v>26.500000000000064</v>
      </c>
      <c r="D629" s="306">
        <f t="shared" ca="1" si="269"/>
        <v>-0.82640852141055732</v>
      </c>
      <c r="E629" s="307">
        <f t="shared" ca="1" si="270"/>
        <v>-6.3135957790277057</v>
      </c>
      <c r="F629" s="304">
        <f t="shared" ca="1" si="271"/>
        <v>6.367451821978432</v>
      </c>
      <c r="G629" s="306">
        <f t="shared" ca="1" si="272"/>
        <v>20.319868431294736</v>
      </c>
      <c r="H629" s="307">
        <f t="shared" ca="1" si="273"/>
        <v>-86.951161139571411</v>
      </c>
      <c r="I629" s="304">
        <f t="shared" ca="1" si="274"/>
        <v>89.293905036037273</v>
      </c>
      <c r="J629" s="306">
        <f t="shared" ca="1" si="275"/>
        <v>724.24155836793273</v>
      </c>
      <c r="K629" s="307">
        <f t="shared" ca="1" si="276"/>
        <v>841.75831563877045</v>
      </c>
      <c r="L629" s="304">
        <f t="shared" ca="1" si="261"/>
        <v>1110.4426580486863</v>
      </c>
      <c r="M629" s="306">
        <f t="shared" ca="1" si="277"/>
        <v>-1.3412234258647648</v>
      </c>
      <c r="N629" s="304">
        <f t="shared" ca="1" si="278"/>
        <v>-76.846441686128486</v>
      </c>
      <c r="P629" s="310">
        <f t="shared" ca="1" si="279"/>
        <v>23</v>
      </c>
      <c r="Q629" s="304">
        <f t="shared" ca="1" si="280"/>
        <v>0</v>
      </c>
      <c r="R629" s="306">
        <f t="shared" ca="1" si="281"/>
        <v>0</v>
      </c>
      <c r="S629" s="307">
        <f t="shared" ca="1" si="282"/>
        <v>8.1379999999999981</v>
      </c>
      <c r="T629" s="304">
        <f t="shared" ca="1" si="262"/>
        <v>79.83377999999999</v>
      </c>
      <c r="U629" s="311">
        <f t="shared" ca="1" si="263"/>
        <v>0</v>
      </c>
      <c r="V629" s="306">
        <f t="shared" ca="1" si="264"/>
        <v>1.1260492376851181</v>
      </c>
      <c r="W629" s="304">
        <f t="shared" ca="1" si="265"/>
        <v>29.657507287383925</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5.9542080054637694</v>
      </c>
      <c r="AH629" s="304">
        <f t="shared" ca="1" si="289"/>
        <v>-3.5927417831918933</v>
      </c>
    </row>
    <row r="630" spans="1:34" x14ac:dyDescent="0.2">
      <c r="A630" s="347">
        <f t="shared" ca="1" si="267"/>
        <v>0.1</v>
      </c>
      <c r="B630" s="304">
        <f t="shared" ca="1" si="268"/>
        <v>26.600000000000065</v>
      </c>
      <c r="D630" s="306">
        <f t="shared" ca="1" si="269"/>
        <v>-0.82930834544623233</v>
      </c>
      <c r="E630" s="307">
        <f t="shared" ca="1" si="270"/>
        <v>-6.2612898386570883</v>
      </c>
      <c r="F630" s="304">
        <f t="shared" ca="1" si="271"/>
        <v>6.315972037263724</v>
      </c>
      <c r="G630" s="306">
        <f t="shared" ca="1" si="272"/>
        <v>20.236937596750113</v>
      </c>
      <c r="H630" s="307">
        <f t="shared" ca="1" si="273"/>
        <v>-87.577290123437123</v>
      </c>
      <c r="I630" s="304">
        <f t="shared" ca="1" si="274"/>
        <v>89.885012035708357</v>
      </c>
      <c r="J630" s="306">
        <f t="shared" ca="1" si="275"/>
        <v>726.26939866933492</v>
      </c>
      <c r="K630" s="307">
        <f t="shared" ca="1" si="276"/>
        <v>833.03189307562002</v>
      </c>
      <c r="L630" s="304">
        <f t="shared" ca="1" si="261"/>
        <v>1105.1739113481954</v>
      </c>
      <c r="M630" s="306">
        <f t="shared" ca="1" si="277"/>
        <v>-1.3437070235616606</v>
      </c>
      <c r="N630" s="304">
        <f t="shared" ca="1" si="278"/>
        <v>-76.988741352169015</v>
      </c>
      <c r="P630" s="310">
        <f t="shared" ca="1" si="279"/>
        <v>23</v>
      </c>
      <c r="Q630" s="304">
        <f t="shared" ca="1" si="280"/>
        <v>0</v>
      </c>
      <c r="R630" s="306">
        <f t="shared" ca="1" si="281"/>
        <v>0</v>
      </c>
      <c r="S630" s="307">
        <f t="shared" ca="1" si="282"/>
        <v>8.1379999999999981</v>
      </c>
      <c r="T630" s="304">
        <f t="shared" ca="1" si="262"/>
        <v>79.83377999999999</v>
      </c>
      <c r="U630" s="311">
        <f t="shared" ca="1" si="263"/>
        <v>0</v>
      </c>
      <c r="V630" s="306">
        <f t="shared" ca="1" si="264"/>
        <v>1.1270340318917469</v>
      </c>
      <c r="W630" s="304">
        <f t="shared" ca="1" si="265"/>
        <v>30.077741648292438</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5.9082978286286458</v>
      </c>
      <c r="AH630" s="304">
        <f t="shared" ca="1" si="289"/>
        <v>-3.6443238249427297</v>
      </c>
    </row>
    <row r="631" spans="1:34" x14ac:dyDescent="0.2">
      <c r="A631" s="347">
        <f t="shared" ca="1" si="267"/>
        <v>0.1</v>
      </c>
      <c r="B631" s="304">
        <f t="shared" ca="1" si="268"/>
        <v>26.700000000000067</v>
      </c>
      <c r="D631" s="306">
        <f t="shared" ca="1" si="269"/>
        <v>-0.83211825700786779</v>
      </c>
      <c r="E631" s="307">
        <f t="shared" ca="1" si="270"/>
        <v>-6.2089283624272325</v>
      </c>
      <c r="F631" s="304">
        <f t="shared" ca="1" si="271"/>
        <v>6.264440294503502</v>
      </c>
      <c r="G631" s="306">
        <f t="shared" ca="1" si="272"/>
        <v>20.153725771049327</v>
      </c>
      <c r="H631" s="307">
        <f t="shared" ca="1" si="273"/>
        <v>-88.198182959679841</v>
      </c>
      <c r="I631" s="304">
        <f t="shared" ca="1" si="274"/>
        <v>90.471499047179591</v>
      </c>
      <c r="J631" s="306">
        <f t="shared" ca="1" si="275"/>
        <v>728.28893183772493</v>
      </c>
      <c r="K631" s="307">
        <f t="shared" ca="1" si="276"/>
        <v>824.24311942146414</v>
      </c>
      <c r="L631" s="304">
        <f t="shared" ca="1" si="261"/>
        <v>1099.9006719476811</v>
      </c>
      <c r="M631" s="306">
        <f t="shared" ca="1" si="277"/>
        <v>-1.346148289906536</v>
      </c>
      <c r="N631" s="304">
        <f t="shared" ca="1" si="278"/>
        <v>-77.128615610397716</v>
      </c>
      <c r="P631" s="310">
        <f t="shared" ca="1" si="279"/>
        <v>23</v>
      </c>
      <c r="Q631" s="304">
        <f t="shared" ca="1" si="280"/>
        <v>0</v>
      </c>
      <c r="R631" s="306">
        <f t="shared" ca="1" si="281"/>
        <v>0</v>
      </c>
      <c r="S631" s="307">
        <f t="shared" ca="1" si="282"/>
        <v>8.1379999999999981</v>
      </c>
      <c r="T631" s="304">
        <f t="shared" ca="1" si="262"/>
        <v>79.83377999999999</v>
      </c>
      <c r="U631" s="311">
        <f t="shared" ca="1" si="263"/>
        <v>0</v>
      </c>
      <c r="V631" s="306">
        <f t="shared" ca="1" si="264"/>
        <v>1.1280266967686703</v>
      </c>
      <c r="W631" s="304">
        <f t="shared" ca="1" si="265"/>
        <v>30.498366806076589</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5.8621741642801783</v>
      </c>
      <c r="AH631" s="304">
        <f t="shared" ca="1" si="289"/>
        <v>-3.6959623554058054</v>
      </c>
    </row>
    <row r="632" spans="1:34" x14ac:dyDescent="0.2">
      <c r="A632" s="347">
        <f t="shared" ca="1" si="267"/>
        <v>0.1</v>
      </c>
      <c r="B632" s="304">
        <f t="shared" ca="1" si="268"/>
        <v>26.800000000000068</v>
      </c>
      <c r="D632" s="306">
        <f t="shared" ca="1" si="269"/>
        <v>-0.83483847571397585</v>
      </c>
      <c r="E632" s="307">
        <f t="shared" ca="1" si="270"/>
        <v>-6.1565198713494365</v>
      </c>
      <c r="F632" s="304">
        <f t="shared" ca="1" si="271"/>
        <v>6.2128650562242953</v>
      </c>
      <c r="G632" s="306">
        <f t="shared" ca="1" si="272"/>
        <v>20.07024192347793</v>
      </c>
      <c r="H632" s="307">
        <f t="shared" ca="1" si="273"/>
        <v>-88.813834946814779</v>
      </c>
      <c r="I632" s="304">
        <f t="shared" ca="1" si="274"/>
        <v>91.053346390053065</v>
      </c>
      <c r="J632" s="306">
        <f t="shared" ca="1" si="275"/>
        <v>730.30013022245134</v>
      </c>
      <c r="K632" s="307">
        <f t="shared" ca="1" si="276"/>
        <v>815.39251852613938</v>
      </c>
      <c r="L632" s="304">
        <f t="shared" ca="1" si="261"/>
        <v>1094.6247025676562</v>
      </c>
      <c r="M632" s="306">
        <f t="shared" ca="1" si="277"/>
        <v>-1.3485483221220853</v>
      </c>
      <c r="N632" s="304">
        <f t="shared" ca="1" si="278"/>
        <v>-77.266127327044117</v>
      </c>
      <c r="P632" s="310">
        <f t="shared" ca="1" si="279"/>
        <v>23</v>
      </c>
      <c r="Q632" s="304">
        <f t="shared" ca="1" si="280"/>
        <v>0</v>
      </c>
      <c r="R632" s="306">
        <f t="shared" ca="1" si="281"/>
        <v>0</v>
      </c>
      <c r="S632" s="307">
        <f t="shared" ca="1" si="282"/>
        <v>8.1379999999999981</v>
      </c>
      <c r="T632" s="304">
        <f t="shared" ca="1" si="262"/>
        <v>79.83377999999999</v>
      </c>
      <c r="U632" s="311">
        <f t="shared" ca="1" si="263"/>
        <v>0</v>
      </c>
      <c r="V632" s="306">
        <f t="shared" ca="1" si="264"/>
        <v>1.1290271919633015</v>
      </c>
      <c r="W632" s="304">
        <f t="shared" ca="1" si="265"/>
        <v>30.919314560438394</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5.815851023217073</v>
      </c>
      <c r="AH632" s="304">
        <f t="shared" ca="1" si="289"/>
        <v>-3.7476489071118944</v>
      </c>
    </row>
    <row r="633" spans="1:34" x14ac:dyDescent="0.2">
      <c r="A633" s="347">
        <f t="shared" ca="1" si="267"/>
        <v>0.1</v>
      </c>
      <c r="B633" s="304">
        <f t="shared" ca="1" si="268"/>
        <v>26.90000000000007</v>
      </c>
      <c r="D633" s="306">
        <f t="shared" ca="1" si="269"/>
        <v>-0.83746924665558398</v>
      </c>
      <c r="E633" s="307">
        <f t="shared" ca="1" si="270"/>
        <v>-6.1040728004631166</v>
      </c>
      <c r="F633" s="304">
        <f t="shared" ca="1" si="271"/>
        <v>6.1612547011503684</v>
      </c>
      <c r="G633" s="306">
        <f t="shared" ca="1" si="272"/>
        <v>19.986494998812372</v>
      </c>
      <c r="H633" s="307">
        <f t="shared" ca="1" si="273"/>
        <v>-89.424242226861097</v>
      </c>
      <c r="I633" s="304">
        <f t="shared" ca="1" si="274"/>
        <v>91.630535741017468</v>
      </c>
      <c r="J633" s="306">
        <f t="shared" ca="1" si="275"/>
        <v>732.30296706856586</v>
      </c>
      <c r="K633" s="307">
        <f t="shared" ca="1" si="276"/>
        <v>806.4806146674556</v>
      </c>
      <c r="L633" s="304">
        <f t="shared" ca="1" si="261"/>
        <v>1089.3477945136815</v>
      </c>
      <c r="M633" s="306">
        <f t="shared" ca="1" si="277"/>
        <v>-1.3509081801743279</v>
      </c>
      <c r="N633" s="304">
        <f t="shared" ca="1" si="278"/>
        <v>-77.401337233687585</v>
      </c>
      <c r="P633" s="310">
        <f t="shared" ca="1" si="279"/>
        <v>23</v>
      </c>
      <c r="Q633" s="304">
        <f t="shared" ca="1" si="280"/>
        <v>0</v>
      </c>
      <c r="R633" s="306">
        <f t="shared" ca="1" si="281"/>
        <v>0</v>
      </c>
      <c r="S633" s="307">
        <f t="shared" ca="1" si="282"/>
        <v>8.1379999999999981</v>
      </c>
      <c r="T633" s="304">
        <f t="shared" ca="1" si="262"/>
        <v>79.83377999999999</v>
      </c>
      <c r="U633" s="311">
        <f t="shared" ca="1" si="263"/>
        <v>0</v>
      </c>
      <c r="V633" s="306">
        <f t="shared" ca="1" si="264"/>
        <v>1.1300354770454366</v>
      </c>
      <c r="W633" s="304">
        <f t="shared" ca="1" si="265"/>
        <v>31.340517434090632</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5.7693420906187525</v>
      </c>
      <c r="AH633" s="304">
        <f t="shared" ca="1" si="289"/>
        <v>-3.7993750995869258</v>
      </c>
    </row>
    <row r="634" spans="1:34" x14ac:dyDescent="0.2">
      <c r="A634" s="347">
        <f t="shared" ca="1" si="267"/>
        <v>0.1</v>
      </c>
      <c r="B634" s="304">
        <f t="shared" ca="1" si="268"/>
        <v>27.000000000000071</v>
      </c>
      <c r="D634" s="306">
        <f t="shared" ca="1" si="269"/>
        <v>-0.84001083973433688</v>
      </c>
      <c r="E634" s="307">
        <f t="shared" ca="1" si="270"/>
        <v>-6.0515954968564563</v>
      </c>
      <c r="F634" s="304">
        <f t="shared" ca="1" si="271"/>
        <v>6.1096175222713018</v>
      </c>
      <c r="G634" s="306">
        <f t="shared" ca="1" si="272"/>
        <v>19.902493914838939</v>
      </c>
      <c r="H634" s="307">
        <f t="shared" ca="1" si="273"/>
        <v>-90.029401776546749</v>
      </c>
      <c r="I634" s="304">
        <f t="shared" ca="1" si="274"/>
        <v>92.203050102873931</v>
      </c>
      <c r="J634" s="306">
        <f t="shared" ca="1" si="275"/>
        <v>734.29741651424843</v>
      </c>
      <c r="K634" s="307">
        <f t="shared" ca="1" si="276"/>
        <v>797.50793246728517</v>
      </c>
      <c r="L634" s="304">
        <f t="shared" ca="1" si="261"/>
        <v>1084.0717680337143</v>
      </c>
      <c r="M634" s="306">
        <f t="shared" ca="1" si="277"/>
        <v>-1.3532288882994523</v>
      </c>
      <c r="N634" s="304">
        <f t="shared" ca="1" si="278"/>
        <v>-77.534304014738922</v>
      </c>
      <c r="P634" s="310">
        <f t="shared" ca="1" si="279"/>
        <v>23</v>
      </c>
      <c r="Q634" s="304">
        <f t="shared" ca="1" si="280"/>
        <v>0</v>
      </c>
      <c r="R634" s="306">
        <f t="shared" ca="1" si="281"/>
        <v>0</v>
      </c>
      <c r="S634" s="307">
        <f t="shared" ca="1" si="282"/>
        <v>8.1379999999999981</v>
      </c>
      <c r="T634" s="304">
        <f t="shared" ca="1" si="262"/>
        <v>79.83377999999999</v>
      </c>
      <c r="U634" s="311">
        <f t="shared" ca="1" si="263"/>
        <v>0</v>
      </c>
      <c r="V634" s="306">
        <f t="shared" ca="1" si="264"/>
        <v>1.1310515115133295</v>
      </c>
      <c r="W634" s="304">
        <f t="shared" ca="1" si="265"/>
        <v>31.761908687218583</v>
      </c>
      <c r="Y634" s="314" t="str">
        <f t="shared" ca="1" si="283"/>
        <v/>
      </c>
      <c r="Z634" s="315" t="str">
        <f t="shared" ca="1" si="284"/>
        <v/>
      </c>
      <c r="AA634" s="316" t="str">
        <f t="shared" ca="1" si="285"/>
        <v/>
      </c>
      <c r="AC634" s="310">
        <f t="shared" ca="1" si="286"/>
        <v>27.000000000000071</v>
      </c>
      <c r="AD634" s="323">
        <f t="shared" ca="1" si="287"/>
        <v>734.29741651424843</v>
      </c>
      <c r="AE634" s="324" t="e">
        <f t="shared" ca="1" si="266"/>
        <v>#N/A</v>
      </c>
      <c r="AG634" s="306">
        <f t="shared" ca="1" si="288"/>
        <v>5.7226607362052793</v>
      </c>
      <c r="AH634" s="304">
        <f t="shared" ca="1" si="289"/>
        <v>-3.851132641200619</v>
      </c>
    </row>
    <row r="635" spans="1:34" x14ac:dyDescent="0.2">
      <c r="A635" s="347">
        <f t="shared" ca="1" si="267"/>
        <v>0.1</v>
      </c>
      <c r="B635" s="304">
        <f t="shared" ca="1" si="268"/>
        <v>27.100000000000072</v>
      </c>
      <c r="D635" s="306">
        <f t="shared" ca="1" si="269"/>
        <v>-0.84246354901036546</v>
      </c>
      <c r="E635" s="307">
        <f t="shared" ca="1" si="270"/>
        <v>-5.9990962177659597</v>
      </c>
      <c r="F635" s="304">
        <f t="shared" ca="1" si="271"/>
        <v>6.0579617249884459</v>
      </c>
      <c r="G635" s="306">
        <f t="shared" ca="1" si="272"/>
        <v>19.818247559937902</v>
      </c>
      <c r="H635" s="307">
        <f t="shared" ca="1" si="273"/>
        <v>-90.629311398323338</v>
      </c>
      <c r="I635" s="304">
        <f t="shared" ca="1" si="274"/>
        <v>92.770873774484002</v>
      </c>
      <c r="J635" s="306">
        <f t="shared" ca="1" si="275"/>
        <v>736.28345358798731</v>
      </c>
      <c r="K635" s="307">
        <f t="shared" ca="1" si="276"/>
        <v>788.47499680854162</v>
      </c>
      <c r="L635" s="304">
        <f t="shared" ca="1" si="261"/>
        <v>1078.7984726628433</v>
      </c>
      <c r="M635" s="306">
        <f t="shared" ca="1" si="277"/>
        <v>-1.3555114364582401</v>
      </c>
      <c r="N635" s="304">
        <f t="shared" ca="1" si="278"/>
        <v>-77.665084390772819</v>
      </c>
      <c r="P635" s="310">
        <f t="shared" ca="1" si="279"/>
        <v>23</v>
      </c>
      <c r="Q635" s="304">
        <f t="shared" ca="1" si="280"/>
        <v>0</v>
      </c>
      <c r="R635" s="306">
        <f t="shared" ca="1" si="281"/>
        <v>0</v>
      </c>
      <c r="S635" s="307">
        <f t="shared" ca="1" si="282"/>
        <v>8.1379999999999981</v>
      </c>
      <c r="T635" s="304">
        <f t="shared" ca="1" si="262"/>
        <v>79.83377999999999</v>
      </c>
      <c r="U635" s="311">
        <f t="shared" ca="1" si="263"/>
        <v>0</v>
      </c>
      <c r="V635" s="306">
        <f t="shared" ca="1" si="264"/>
        <v>1.132075254799715</v>
      </c>
      <c r="W635" s="304">
        <f t="shared" ca="1" si="265"/>
        <v>32.183422331359566</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5.6758200237830216</v>
      </c>
      <c r="AH635" s="304">
        <f t="shared" ca="1" si="289"/>
        <v>-3.9029133309435475</v>
      </c>
    </row>
    <row r="636" spans="1:34" x14ac:dyDescent="0.2">
      <c r="A636" s="347">
        <f t="shared" ca="1" si="267"/>
        <v>0.1</v>
      </c>
      <c r="B636" s="304">
        <f t="shared" ca="1" si="268"/>
        <v>27.200000000000074</v>
      </c>
      <c r="D636" s="306">
        <f t="shared" ca="1" si="269"/>
        <v>-0.84482769205947661</v>
      </c>
      <c r="E636" s="307">
        <f t="shared" ca="1" si="270"/>
        <v>-5.9465831287544457</v>
      </c>
      <c r="F636" s="304">
        <f t="shared" ca="1" si="271"/>
        <v>6.0062954253397791</v>
      </c>
      <c r="G636" s="306">
        <f t="shared" ca="1" si="272"/>
        <v>19.733764790731954</v>
      </c>
      <c r="H636" s="307">
        <f t="shared" ca="1" si="273"/>
        <v>-91.223969711198777</v>
      </c>
      <c r="I636" s="304">
        <f t="shared" ca="1" si="274"/>
        <v>93.333992321584759</v>
      </c>
      <c r="J636" s="306">
        <f t="shared" ca="1" si="275"/>
        <v>738.26105420552085</v>
      </c>
      <c r="K636" s="307">
        <f t="shared" ca="1" si="276"/>
        <v>779.3823327530655</v>
      </c>
      <c r="L636" s="304">
        <f t="shared" ca="1" si="261"/>
        <v>1073.5297875533111</v>
      </c>
      <c r="M636" s="306">
        <f t="shared" ca="1" si="277"/>
        <v>-1.3577567817219196</v>
      </c>
      <c r="N636" s="304">
        <f t="shared" ca="1" si="278"/>
        <v>-77.793733197931346</v>
      </c>
      <c r="P636" s="310">
        <f t="shared" ca="1" si="279"/>
        <v>23</v>
      </c>
      <c r="Q636" s="304">
        <f t="shared" ca="1" si="280"/>
        <v>0</v>
      </c>
      <c r="R636" s="306">
        <f t="shared" ca="1" si="281"/>
        <v>0</v>
      </c>
      <c r="S636" s="307">
        <f t="shared" ca="1" si="282"/>
        <v>8.1379999999999981</v>
      </c>
      <c r="T636" s="304">
        <f t="shared" ca="1" si="262"/>
        <v>79.83377999999999</v>
      </c>
      <c r="U636" s="311">
        <f t="shared" ca="1" si="263"/>
        <v>0</v>
      </c>
      <c r="V636" s="306">
        <f t="shared" ca="1" si="264"/>
        <v>1.1331066662777929</v>
      </c>
      <c r="W636" s="304">
        <f t="shared" ca="1" si="265"/>
        <v>32.604993142701709</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5.6288327202195889</v>
      </c>
      <c r="AH636" s="304">
        <f t="shared" ca="1" si="289"/>
        <v>-3.9547090601326582</v>
      </c>
    </row>
    <row r="637" spans="1:34" x14ac:dyDescent="0.2">
      <c r="A637" s="347">
        <f t="shared" ca="1" si="267"/>
        <v>0.1</v>
      </c>
      <c r="B637" s="304">
        <f t="shared" ca="1" si="268"/>
        <v>27.300000000000075</v>
      </c>
      <c r="D637" s="306">
        <f t="shared" ca="1" si="269"/>
        <v>-0.84710360933930362</v>
      </c>
      <c r="E637" s="307">
        <f t="shared" ca="1" si="270"/>
        <v>-5.8940643019669068</v>
      </c>
      <c r="F637" s="304">
        <f t="shared" ca="1" si="271"/>
        <v>5.9546266483026722</v>
      </c>
      <c r="G637" s="306">
        <f t="shared" ca="1" si="272"/>
        <v>19.649054429798024</v>
      </c>
      <c r="H637" s="307">
        <f t="shared" ca="1" si="273"/>
        <v>-91.813376141395466</v>
      </c>
      <c r="I637" s="304">
        <f t="shared" ca="1" si="274"/>
        <v>93.892392548419664</v>
      </c>
      <c r="J637" s="306">
        <f t="shared" ca="1" si="275"/>
        <v>740.23019516654733</v>
      </c>
      <c r="K637" s="307">
        <f t="shared" ca="1" si="276"/>
        <v>770.23046546043577</v>
      </c>
      <c r="L637" s="304">
        <f t="shared" ca="1" si="261"/>
        <v>1068.2676217875858</v>
      </c>
      <c r="M637" s="306">
        <f t="shared" ca="1" si="277"/>
        <v>-1.3599658495930791</v>
      </c>
      <c r="N637" s="304">
        <f t="shared" ca="1" si="278"/>
        <v>-77.920303463606743</v>
      </c>
      <c r="P637" s="310">
        <f t="shared" ca="1" si="279"/>
        <v>23</v>
      </c>
      <c r="Q637" s="304">
        <f t="shared" ca="1" si="280"/>
        <v>0</v>
      </c>
      <c r="R637" s="306">
        <f t="shared" ca="1" si="281"/>
        <v>0</v>
      </c>
      <c r="S637" s="307">
        <f t="shared" ca="1" si="282"/>
        <v>8.1379999999999981</v>
      </c>
      <c r="T637" s="304">
        <f t="shared" ca="1" si="262"/>
        <v>79.83377999999999</v>
      </c>
      <c r="U637" s="311">
        <f t="shared" ca="1" si="263"/>
        <v>0</v>
      </c>
      <c r="V637" s="306">
        <f t="shared" ca="1" si="264"/>
        <v>1.1341457052671549</v>
      </c>
      <c r="W637" s="304">
        <f t="shared" ca="1" si="265"/>
        <v>33.026556674802535</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5.5817113038882118</v>
      </c>
      <c r="AH637" s="304">
        <f t="shared" ca="1" si="289"/>
        <v>-4.0065118140454308</v>
      </c>
    </row>
    <row r="638" spans="1:34" x14ac:dyDescent="0.2">
      <c r="A638" s="347">
        <f t="shared" ca="1" si="267"/>
        <v>0.1</v>
      </c>
      <c r="B638" s="304">
        <f t="shared" ca="1" si="268"/>
        <v>27.400000000000077</v>
      </c>
      <c r="D638" s="306">
        <f t="shared" ca="1" si="269"/>
        <v>-0.84929166356404828</v>
      </c>
      <c r="E638" s="307">
        <f t="shared" ca="1" si="270"/>
        <v>-5.841547714463788</v>
      </c>
      <c r="F638" s="304">
        <f t="shared" ca="1" si="271"/>
        <v>5.9029633261741079</v>
      </c>
      <c r="G638" s="306">
        <f t="shared" ca="1" si="272"/>
        <v>19.564125263441621</v>
      </c>
      <c r="H638" s="307">
        <f t="shared" ca="1" si="273"/>
        <v>-92.397530912841844</v>
      </c>
      <c r="I638" s="304">
        <f t="shared" ca="1" si="274"/>
        <v>94.446062470137946</v>
      </c>
      <c r="J638" s="306">
        <f t="shared" ca="1" si="275"/>
        <v>742.19085415120935</v>
      </c>
      <c r="K638" s="307">
        <f t="shared" ca="1" si="276"/>
        <v>761.01992010772392</v>
      </c>
      <c r="L638" s="304">
        <f t="shared" ca="1" si="261"/>
        <v>1063.0139146720837</v>
      </c>
      <c r="M638" s="306">
        <f t="shared" ca="1" si="277"/>
        <v>-1.3621395352650603</v>
      </c>
      <c r="N638" s="304">
        <f t="shared" ca="1" si="278"/>
        <v>-78.044846478599311</v>
      </c>
      <c r="P638" s="310">
        <f t="shared" ca="1" si="279"/>
        <v>23</v>
      </c>
      <c r="Q638" s="304">
        <f t="shared" ca="1" si="280"/>
        <v>0</v>
      </c>
      <c r="R638" s="306">
        <f t="shared" ca="1" si="281"/>
        <v>0</v>
      </c>
      <c r="S638" s="307">
        <f t="shared" ca="1" si="282"/>
        <v>8.1379999999999981</v>
      </c>
      <c r="T638" s="304">
        <f t="shared" ca="1" si="262"/>
        <v>79.83377999999999</v>
      </c>
      <c r="U638" s="311">
        <f t="shared" ca="1" si="263"/>
        <v>0</v>
      </c>
      <c r="V638" s="306">
        <f t="shared" ca="1" si="264"/>
        <v>1.1351923310396668</v>
      </c>
      <c r="W638" s="304">
        <f t="shared" ca="1" si="265"/>
        <v>33.448049270730088</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5.5344679726193151</v>
      </c>
      <c r="AH638" s="304">
        <f t="shared" ca="1" si="289"/>
        <v>-4.0583136734827407</v>
      </c>
    </row>
    <row r="639" spans="1:34" x14ac:dyDescent="0.2">
      <c r="A639" s="347">
        <f t="shared" ca="1" si="267"/>
        <v>0.1</v>
      </c>
      <c r="B639" s="304">
        <f t="shared" ca="1" si="268"/>
        <v>27.500000000000078</v>
      </c>
      <c r="D639" s="306">
        <f t="shared" ca="1" si="269"/>
        <v>-0.85139223908752271</v>
      </c>
      <c r="E639" s="307">
        <f t="shared" ca="1" si="270"/>
        <v>-5.7890412466310073</v>
      </c>
      <c r="F639" s="304">
        <f t="shared" ca="1" si="271"/>
        <v>5.8513132970277333</v>
      </c>
      <c r="G639" s="306">
        <f t="shared" ca="1" si="272"/>
        <v>19.47898603953287</v>
      </c>
      <c r="H639" s="307">
        <f t="shared" ca="1" si="273"/>
        <v>-92.976435037504942</v>
      </c>
      <c r="I639" s="304">
        <f t="shared" ca="1" si="274"/>
        <v>94.994991285918303</v>
      </c>
      <c r="J639" s="306">
        <f t="shared" ca="1" si="275"/>
        <v>744.14300971635805</v>
      </c>
      <c r="K639" s="307">
        <f t="shared" ca="1" si="276"/>
        <v>751.75122181020663</v>
      </c>
      <c r="L639" s="304">
        <f t="shared" ca="1" si="261"/>
        <v>1057.7706360089876</v>
      </c>
      <c r="M639" s="306">
        <f t="shared" ca="1" si="277"/>
        <v>-1.3642787048230498</v>
      </c>
      <c r="N639" s="304">
        <f t="shared" ca="1" si="278"/>
        <v>-78.16741186593498</v>
      </c>
      <c r="P639" s="310">
        <f t="shared" ca="1" si="279"/>
        <v>23</v>
      </c>
      <c r="Q639" s="304">
        <f t="shared" ca="1" si="280"/>
        <v>0</v>
      </c>
      <c r="R639" s="306">
        <f t="shared" ca="1" si="281"/>
        <v>0</v>
      </c>
      <c r="S639" s="307">
        <f t="shared" ca="1" si="282"/>
        <v>8.1379999999999981</v>
      </c>
      <c r="T639" s="304">
        <f t="shared" ca="1" si="262"/>
        <v>79.83377999999999</v>
      </c>
      <c r="U639" s="311">
        <f t="shared" ca="1" si="263"/>
        <v>0</v>
      </c>
      <c r="V639" s="306">
        <f t="shared" ca="1" si="264"/>
        <v>1.1362465028253004</v>
      </c>
      <c r="W639" s="304">
        <f t="shared" ca="1" si="265"/>
        <v>33.869408074628623</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5.4871146511939699</v>
      </c>
      <c r="AH639" s="304">
        <f t="shared" ca="1" si="289"/>
        <v>-4.1101068162607639</v>
      </c>
    </row>
    <row r="640" spans="1:34" x14ac:dyDescent="0.2">
      <c r="A640" s="347">
        <f t="shared" ca="1" si="267"/>
        <v>0.1</v>
      </c>
      <c r="B640" s="304">
        <f t="shared" ca="1" si="268"/>
        <v>27.60000000000008</v>
      </c>
      <c r="D640" s="306">
        <f t="shared" ca="1" si="269"/>
        <v>-0.85340574129423008</v>
      </c>
      <c r="E640" s="307">
        <f t="shared" ca="1" si="270"/>
        <v>-5.7365526806661453</v>
      </c>
      <c r="F640" s="304">
        <f t="shared" ca="1" si="271"/>
        <v>5.7996843032471945</v>
      </c>
      <c r="G640" s="306">
        <f t="shared" ca="1" si="272"/>
        <v>19.393645465403448</v>
      </c>
      <c r="H640" s="307">
        <f t="shared" ca="1" si="273"/>
        <v>-93.550090305571558</v>
      </c>
      <c r="I640" s="304">
        <f t="shared" ca="1" si="274"/>
        <v>95.539169352775701</v>
      </c>
      <c r="J640" s="306">
        <f t="shared" ca="1" si="275"/>
        <v>746.08664129160491</v>
      </c>
      <c r="K640" s="307">
        <f t="shared" ca="1" si="276"/>
        <v>742.4248955430528</v>
      </c>
      <c r="L640" s="304">
        <f t="shared" ca="1" si="261"/>
        <v>1052.539786343443</v>
      </c>
      <c r="M640" s="306">
        <f t="shared" ca="1" si="277"/>
        <v>-1.3663841963899124</v>
      </c>
      <c r="N640" s="304">
        <f t="shared" ca="1" si="278"/>
        <v>-78.288047646516588</v>
      </c>
      <c r="P640" s="310">
        <f t="shared" ca="1" si="279"/>
        <v>23</v>
      </c>
      <c r="Q640" s="304">
        <f t="shared" ca="1" si="280"/>
        <v>0</v>
      </c>
      <c r="R640" s="306">
        <f t="shared" ca="1" si="281"/>
        <v>0</v>
      </c>
      <c r="S640" s="307">
        <f t="shared" ca="1" si="282"/>
        <v>8.1379999999999981</v>
      </c>
      <c r="T640" s="304">
        <f t="shared" ca="1" si="262"/>
        <v>79.83377999999999</v>
      </c>
      <c r="U640" s="311">
        <f t="shared" ca="1" si="263"/>
        <v>0</v>
      </c>
      <c r="V640" s="306">
        <f t="shared" ca="1" si="264"/>
        <v>1.1373081798179097</v>
      </c>
      <c r="W640" s="304">
        <f t="shared" ca="1" si="265"/>
        <v>34.290571042711271</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5.4396629984117171</v>
      </c>
      <c r="AH640" s="304">
        <f t="shared" ca="1" si="289"/>
        <v>-4.1618835186321741</v>
      </c>
    </row>
    <row r="641" spans="1:34" x14ac:dyDescent="0.2">
      <c r="A641" s="347">
        <f t="shared" ca="1" si="267"/>
        <v>0.1</v>
      </c>
      <c r="B641" s="304">
        <f t="shared" ca="1" si="268"/>
        <v>27.700000000000081</v>
      </c>
      <c r="D641" s="306">
        <f t="shared" ca="1" si="269"/>
        <v>-0.85533259599820399</v>
      </c>
      <c r="E641" s="307">
        <f t="shared" ca="1" si="270"/>
        <v>-5.6840896991402063</v>
      </c>
      <c r="F641" s="304">
        <f t="shared" ca="1" si="271"/>
        <v>5.7480839901352194</v>
      </c>
      <c r="G641" s="306">
        <f t="shared" ca="1" si="272"/>
        <v>19.308112205803628</v>
      </c>
      <c r="H641" s="307">
        <f t="shared" ca="1" si="273"/>
        <v>-94.118499275485576</v>
      </c>
      <c r="I641" s="304">
        <f t="shared" ca="1" si="274"/>
        <v>96.078588160013481</v>
      </c>
      <c r="J641" s="306">
        <f t="shared" ca="1" si="275"/>
        <v>748.02172917516521</v>
      </c>
      <c r="K641" s="307">
        <f t="shared" ca="1" si="276"/>
        <v>733.04146606399991</v>
      </c>
      <c r="L641" s="304">
        <f t="shared" ca="1" si="261"/>
        <v>1047.3233971832494</v>
      </c>
      <c r="M641" s="306">
        <f t="shared" ca="1" si="277"/>
        <v>-1.3684568212196238</v>
      </c>
      <c r="N641" s="304">
        <f t="shared" ca="1" si="278"/>
        <v>-78.406800301773075</v>
      </c>
      <c r="P641" s="310">
        <f t="shared" ca="1" si="279"/>
        <v>23</v>
      </c>
      <c r="Q641" s="304">
        <f t="shared" ca="1" si="280"/>
        <v>0</v>
      </c>
      <c r="R641" s="306">
        <f t="shared" ca="1" si="281"/>
        <v>0</v>
      </c>
      <c r="S641" s="307">
        <f t="shared" ca="1" si="282"/>
        <v>8.1379999999999981</v>
      </c>
      <c r="T641" s="304">
        <f t="shared" ca="1" si="262"/>
        <v>79.83377999999999</v>
      </c>
      <c r="U641" s="311">
        <f t="shared" ca="1" si="263"/>
        <v>0</v>
      </c>
      <c r="V641" s="306">
        <f t="shared" ca="1" si="264"/>
        <v>1.1383773211809551</v>
      </c>
      <c r="W641" s="304">
        <f t="shared" ca="1" si="265"/>
        <v>34.711476953683452</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5.3921244137630371</v>
      </c>
      <c r="AH641" s="304">
        <f t="shared" ca="1" si="289"/>
        <v>-4.2136361566369231</v>
      </c>
    </row>
    <row r="642" spans="1:34" x14ac:dyDescent="0.2">
      <c r="A642" s="347">
        <f t="shared" ca="1" si="267"/>
        <v>0.1</v>
      </c>
      <c r="B642" s="304">
        <f t="shared" ca="1" si="268"/>
        <v>27.800000000000082</v>
      </c>
      <c r="D642" s="306">
        <f t="shared" ca="1" si="269"/>
        <v>-0.85717324884943491</v>
      </c>
      <c r="E642" s="307">
        <f t="shared" ca="1" si="270"/>
        <v>-5.6316598836342155</v>
      </c>
      <c r="F642" s="304">
        <f t="shared" ca="1" si="271"/>
        <v>5.6965199045977215</v>
      </c>
      <c r="G642" s="306">
        <f t="shared" ca="1" si="272"/>
        <v>19.222394880918685</v>
      </c>
      <c r="H642" s="307">
        <f t="shared" ca="1" si="273"/>
        <v>-94.681665263848998</v>
      </c>
      <c r="I642" s="304">
        <f t="shared" ca="1" si="274"/>
        <v>96.613240304285</v>
      </c>
      <c r="J642" s="306">
        <f t="shared" ca="1" si="275"/>
        <v>749.94825452950136</v>
      </c>
      <c r="K642" s="307">
        <f t="shared" ca="1" si="276"/>
        <v>723.60145783703319</v>
      </c>
      <c r="L642" s="304">
        <f t="shared" ca="1" si="261"/>
        <v>1042.12353118799</v>
      </c>
      <c r="M642" s="306">
        <f t="shared" ca="1" si="277"/>
        <v>-1.3704973647410064</v>
      </c>
      <c r="N642" s="304">
        <f t="shared" ca="1" si="278"/>
        <v>-78.523714833461071</v>
      </c>
      <c r="P642" s="310">
        <f t="shared" ca="1" si="279"/>
        <v>23</v>
      </c>
      <c r="Q642" s="304">
        <f t="shared" ca="1" si="280"/>
        <v>0</v>
      </c>
      <c r="R642" s="306">
        <f t="shared" ca="1" si="281"/>
        <v>0</v>
      </c>
      <c r="S642" s="307">
        <f t="shared" ca="1" si="282"/>
        <v>8.1379999999999981</v>
      </c>
      <c r="T642" s="304">
        <f t="shared" ca="1" si="262"/>
        <v>79.83377999999999</v>
      </c>
      <c r="U642" s="311">
        <f t="shared" ca="1" si="263"/>
        <v>0</v>
      </c>
      <c r="V642" s="306">
        <f t="shared" ca="1" si="264"/>
        <v>1.1394538860531742</v>
      </c>
      <c r="W642" s="304">
        <f t="shared" ca="1" si="265"/>
        <v>35.132065418599986</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5.3445100437343669</v>
      </c>
      <c r="AH642" s="304">
        <f t="shared" ca="1" si="289"/>
        <v>-4.2653572073830741</v>
      </c>
    </row>
    <row r="643" spans="1:34" x14ac:dyDescent="0.2">
      <c r="A643" s="347">
        <f t="shared" ca="1" si="267"/>
        <v>0.1</v>
      </c>
      <c r="B643" s="304">
        <f t="shared" ca="1" si="268"/>
        <v>27.900000000000084</v>
      </c>
      <c r="D643" s="306">
        <f t="shared" ca="1" si="269"/>
        <v>-0.85892816474767186</v>
      </c>
      <c r="E643" s="307">
        <f t="shared" ca="1" si="270"/>
        <v>-5.5792707134500139</v>
      </c>
      <c r="F643" s="304">
        <f t="shared" ca="1" si="271"/>
        <v>5.644999493902354</v>
      </c>
      <c r="G643" s="306">
        <f t="shared" ca="1" si="272"/>
        <v>19.136502064443917</v>
      </c>
      <c r="H643" s="307">
        <f t="shared" ca="1" si="273"/>
        <v>-95.239592335194004</v>
      </c>
      <c r="I643" s="304">
        <f t="shared" ca="1" si="274"/>
        <v>97.143119465232388</v>
      </c>
      <c r="J643" s="306">
        <f t="shared" ca="1" si="275"/>
        <v>751.86619937676949</v>
      </c>
      <c r="K643" s="307">
        <f t="shared" ca="1" si="276"/>
        <v>714.10539495708099</v>
      </c>
      <c r="L643" s="304">
        <f t="shared" ca="1" si="261"/>
        <v>1036.9422823243715</v>
      </c>
      <c r="M643" s="306">
        <f t="shared" ca="1" si="277"/>
        <v>-1.372506587554317</v>
      </c>
      <c r="N643" s="304">
        <f t="shared" ca="1" si="278"/>
        <v>-78.638834820765169</v>
      </c>
      <c r="P643" s="310">
        <f t="shared" ca="1" si="279"/>
        <v>23</v>
      </c>
      <c r="Q643" s="304">
        <f t="shared" ca="1" si="280"/>
        <v>0</v>
      </c>
      <c r="R643" s="306">
        <f t="shared" ca="1" si="281"/>
        <v>0</v>
      </c>
      <c r="S643" s="307">
        <f t="shared" ca="1" si="282"/>
        <v>8.1379999999999981</v>
      </c>
      <c r="T643" s="304">
        <f t="shared" ca="1" si="262"/>
        <v>79.83377999999999</v>
      </c>
      <c r="U643" s="311">
        <f t="shared" ca="1" si="263"/>
        <v>0</v>
      </c>
      <c r="V643" s="306">
        <f t="shared" ca="1" si="264"/>
        <v>1.1405378335541934</v>
      </c>
      <c r="W643" s="304">
        <f t="shared" ca="1" si="265"/>
        <v>35.5522768901604</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5.2968307877719605</v>
      </c>
      <c r="AH643" s="304">
        <f t="shared" ca="1" si="289"/>
        <v>-4.3170392502580475</v>
      </c>
    </row>
    <row r="644" spans="1:34" x14ac:dyDescent="0.2">
      <c r="A644" s="347">
        <f t="shared" ca="1" si="267"/>
        <v>0.1</v>
      </c>
      <c r="B644" s="304">
        <f t="shared" ca="1" si="268"/>
        <v>28.000000000000085</v>
      </c>
      <c r="D644" s="306">
        <f t="shared" ca="1" si="269"/>
        <v>-0.86059782726344125</v>
      </c>
      <c r="E644" s="307">
        <f t="shared" ca="1" si="270"/>
        <v>-5.5269295643944751</v>
      </c>
      <c r="F644" s="304">
        <f t="shared" ca="1" si="271"/>
        <v>5.5935301045107693</v>
      </c>
      <c r="G644" s="306">
        <f t="shared" ca="1" si="272"/>
        <v>19.050442281717572</v>
      </c>
      <c r="H644" s="307">
        <f t="shared" ca="1" si="273"/>
        <v>-95.792285291633448</v>
      </c>
      <c r="I644" s="304">
        <f t="shared" ca="1" si="274"/>
        <v>97.668220381671475</v>
      </c>
      <c r="J644" s="306">
        <f t="shared" ca="1" si="275"/>
        <v>753.77554659407758</v>
      </c>
      <c r="K644" s="307">
        <f t="shared" ca="1" si="276"/>
        <v>704.55380107573967</v>
      </c>
      <c r="L644" s="304">
        <f t="shared" ref="L644:L707" ca="1" si="290">SQRT(pos_x^2+pos_z^2)</f>
        <v>1031.7817759843761</v>
      </c>
      <c r="M644" s="306">
        <f t="shared" ca="1" si="277"/>
        <v>-1.3744852263830887</v>
      </c>
      <c r="N644" s="304">
        <f t="shared" ca="1" si="278"/>
        <v>-78.75220247483449</v>
      </c>
      <c r="P644" s="310">
        <f t="shared" ca="1" si="279"/>
        <v>23</v>
      </c>
      <c r="Q644" s="304">
        <f t="shared" ca="1" si="280"/>
        <v>0</v>
      </c>
      <c r="R644" s="306">
        <f t="shared" ca="1" si="281"/>
        <v>0</v>
      </c>
      <c r="S644" s="307">
        <f t="shared" ca="1" si="282"/>
        <v>8.1379999999999981</v>
      </c>
      <c r="T644" s="304">
        <f t="shared" ref="T644:T707" ca="1" si="291">m*g</f>
        <v>79.83377999999999</v>
      </c>
      <c r="U644" s="311">
        <f t="shared" ref="U644:U707" ca="1" si="292">IF(pos_xz&lt;L_rampe,Poids*COS(Beta),0)</f>
        <v>0</v>
      </c>
      <c r="V644" s="306">
        <f t="shared" ref="V644:V707" ca="1" si="293">Rho_moyen*(20000-Alt_rampe-pos_z)/(20000+Alt_rampe+pos_z)</f>
        <v>1.141629122790085</v>
      </c>
      <c r="W644" s="304">
        <f t="shared" ref="W644:W707" ca="1" si="294">1/2*Rho*Sref*Cx*vit_xz^2</f>
        <v>35.972052671446299</v>
      </c>
      <c r="Y644" s="314" t="str">
        <f t="shared" ca="1" si="283"/>
        <v/>
      </c>
      <c r="Z644" s="315" t="str">
        <f t="shared" ca="1" si="284"/>
        <v/>
      </c>
      <c r="AA644" s="316" t="str">
        <f t="shared" ca="1" si="285"/>
        <v/>
      </c>
      <c r="AC644" s="310">
        <f t="shared" ca="1" si="286"/>
        <v>28.000000000000085</v>
      </c>
      <c r="AD644" s="323">
        <f t="shared" ca="1" si="287"/>
        <v>753.77554659407758</v>
      </c>
      <c r="AE644" s="324" t="e">
        <f t="shared" ref="AE644:AE707" ca="1" si="295">IF(t&lt;T_para, pos_z, NA())</f>
        <v>#N/A</v>
      </c>
      <c r="AG644" s="306">
        <f t="shared" ca="1" si="288"/>
        <v>5.2490973039287372</v>
      </c>
      <c r="AH644" s="304">
        <f t="shared" ca="1" si="289"/>
        <v>-4.3686749680708292</v>
      </c>
    </row>
    <row r="645" spans="1:34" x14ac:dyDescent="0.2">
      <c r="A645" s="347">
        <f t="shared" ref="A645:A708" ca="1" si="296">IF(B644+0.01&lt;=T_ini+ROUNDUP(Temps_fin_propu,0), 0.01, IF(K644&gt;0, 0.1, 0.0001))</f>
        <v>0.1</v>
      </c>
      <c r="B645" s="304">
        <f t="shared" ref="B645:B708" ca="1" si="297">B644+pas</f>
        <v>28.100000000000087</v>
      </c>
      <c r="D645" s="306">
        <f t="shared" ref="D645:D708" ca="1" si="298">IF(AND(L644&lt;L_rampe,Poussee&lt;Poids*SIN(M644)),0,(-W644+Poussee)/m*COS(M644)-U644/m*SIN(M644))</f>
        <v>-0.86218273806613932</v>
      </c>
      <c r="E645" s="307">
        <f t="shared" ref="E645:E708" ca="1" si="299">IF(AND(L644&lt;L_rampe,Poussee&lt;Poids*SIN(M644)),0,(-W644+Poussee)/m*SIN(M644)+U644/m*COS(M644)-Poids/m)</f>
        <v>-5.4746437076364272</v>
      </c>
      <c r="F645" s="304">
        <f t="shared" ref="F645:F708" ca="1" si="300">SQRT(acc_x^2+acc_z^2)</f>
        <v>5.54211898098393</v>
      </c>
      <c r="G645" s="306">
        <f t="shared" ref="G645:G708" ca="1" si="301">G644+acc_x*pas</f>
        <v>18.964224007910957</v>
      </c>
      <c r="H645" s="307">
        <f t="shared" ref="H645:H708" ca="1" si="302">H644+acc_z*pas</f>
        <v>-96.339749662397097</v>
      </c>
      <c r="I645" s="304">
        <f t="shared" ref="I645:I708" ca="1" si="303">SQRT(vit_x^2+vit_z^2)</f>
        <v>98.188538828294867</v>
      </c>
      <c r="J645" s="306">
        <f t="shared" ref="J645:J708" ca="1" si="304">J644+0.5*(vit_x+G644)*pas*(K644&gt;=0)</f>
        <v>755.67627990855897</v>
      </c>
      <c r="K645" s="307">
        <f t="shared" ref="K645:K708" ca="1" si="305">K644+0.5*(vit_z+H644)*pas</f>
        <v>694.9471993280381</v>
      </c>
      <c r="L645" s="304">
        <f t="shared" ca="1" si="290"/>
        <v>1026.644169062642</v>
      </c>
      <c r="M645" s="306">
        <f t="shared" ref="M645:M708" ca="1" si="306">IF(AND(L644&gt;L_rampe,G645&gt;0),ATAN2(G645,H645),$M$4)</f>
        <v>-1.3764339949834961</v>
      </c>
      <c r="N645" s="304">
        <f t="shared" ref="N645:N708" ca="1" si="307">DEGREES(Beta)</f>
        <v>-78.863858690885451</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8.1379999999999981</v>
      </c>
      <c r="T645" s="304">
        <f t="shared" ca="1" si="291"/>
        <v>79.83377999999999</v>
      </c>
      <c r="U645" s="311">
        <f t="shared" ca="1" si="292"/>
        <v>0</v>
      </c>
      <c r="V645" s="306">
        <f t="shared" ca="1" si="293"/>
        <v>1.1427277128588675</v>
      </c>
      <c r="W645" s="304">
        <f t="shared" ca="1" si="294"/>
        <v>36.391334924105934</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5.2013200142168756</v>
      </c>
      <c r="AH645" s="304">
        <f t="shared" ref="AH645:AH708" ca="1" si="318">IF(AND(L644&lt;L_rampe,Poussee&lt;Poids*SIN(M644)), g*SIN(M644), (-W644+Poussee)/m)</f>
        <v>-4.4202571481256214</v>
      </c>
    </row>
    <row r="646" spans="1:34" x14ac:dyDescent="0.2">
      <c r="A646" s="347">
        <f t="shared" ca="1" si="296"/>
        <v>0.1</v>
      </c>
      <c r="B646" s="304">
        <f t="shared" ca="1" si="297"/>
        <v>28.200000000000088</v>
      </c>
      <c r="D646" s="306">
        <f t="shared" ca="1" si="298"/>
        <v>-0.86368341635908785</v>
      </c>
      <c r="E646" s="307">
        <f t="shared" ca="1" si="299"/>
        <v>-5.4224203086354352</v>
      </c>
      <c r="F646" s="304">
        <f t="shared" ca="1" si="300"/>
        <v>5.4907732649596559</v>
      </c>
      <c r="G646" s="306">
        <f t="shared" ca="1" si="301"/>
        <v>18.87785566627505</v>
      </c>
      <c r="H646" s="307">
        <f t="shared" ca="1" si="302"/>
        <v>-96.881991693260645</v>
      </c>
      <c r="I646" s="304">
        <f t="shared" ca="1" si="303"/>
        <v>98.704071592866612</v>
      </c>
      <c r="J646" s="306">
        <f t="shared" ca="1" si="304"/>
        <v>757.56838389226823</v>
      </c>
      <c r="K646" s="307">
        <f t="shared" ca="1" si="305"/>
        <v>685.28611226025521</v>
      </c>
      <c r="L646" s="304">
        <f t="shared" ca="1" si="290"/>
        <v>1021.5316499893277</v>
      </c>
      <c r="M646" s="306">
        <f t="shared" ca="1" si="306"/>
        <v>-1.3783535850133888</v>
      </c>
      <c r="N646" s="304">
        <f t="shared" ca="1" si="307"/>
        <v>-78.973843097993694</v>
      </c>
      <c r="P646" s="310">
        <f t="shared" ca="1" si="308"/>
        <v>23</v>
      </c>
      <c r="Q646" s="304">
        <f t="shared" ca="1" si="309"/>
        <v>0</v>
      </c>
      <c r="R646" s="306">
        <f t="shared" ca="1" si="310"/>
        <v>0</v>
      </c>
      <c r="S646" s="307">
        <f t="shared" ca="1" si="311"/>
        <v>8.1379999999999981</v>
      </c>
      <c r="T646" s="304">
        <f t="shared" ca="1" si="291"/>
        <v>79.83377999999999</v>
      </c>
      <c r="U646" s="311">
        <f t="shared" ca="1" si="292"/>
        <v>0</v>
      </c>
      <c r="V646" s="306">
        <f t="shared" ca="1" si="293"/>
        <v>1.1438335628559422</v>
      </c>
      <c r="W646" s="304">
        <f t="shared" ca="1" si="294"/>
        <v>36.810066675990505</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5.1535091096871142</v>
      </c>
      <c r="AH646" s="304">
        <f t="shared" ca="1" si="318"/>
        <v>-4.4717786832275674</v>
      </c>
    </row>
    <row r="647" spans="1:34" x14ac:dyDescent="0.2">
      <c r="A647" s="347">
        <f t="shared" ca="1" si="296"/>
        <v>0.1</v>
      </c>
      <c r="B647" s="304">
        <f t="shared" ca="1" si="297"/>
        <v>28.30000000000009</v>
      </c>
      <c r="D647" s="306">
        <f t="shared" ca="1" si="298"/>
        <v>-0.86510039832142271</v>
      </c>
      <c r="E647" s="307">
        <f t="shared" ca="1" si="299"/>
        <v>-5.3702664261416988</v>
      </c>
      <c r="F647" s="304">
        <f t="shared" ca="1" si="300"/>
        <v>5.4394999942017295</v>
      </c>
      <c r="G647" s="306">
        <f t="shared" ca="1" si="301"/>
        <v>18.791345626442908</v>
      </c>
      <c r="H647" s="307">
        <f t="shared" ca="1" si="302"/>
        <v>-97.41901833587481</v>
      </c>
      <c r="I647" s="304">
        <f t="shared" ca="1" si="303"/>
        <v>99.214816453884282</v>
      </c>
      <c r="J647" s="306">
        <f t="shared" ca="1" si="304"/>
        <v>759.4518439569041</v>
      </c>
      <c r="K647" s="307">
        <f t="shared" ca="1" si="305"/>
        <v>675.57106175879846</v>
      </c>
      <c r="L647" s="304">
        <f t="shared" ca="1" si="290"/>
        <v>1016.4464387145306</v>
      </c>
      <c r="M647" s="306">
        <f t="shared" ca="1" si="306"/>
        <v>-1.3802446668630139</v>
      </c>
      <c r="N647" s="304">
        <f t="shared" ca="1" si="307"/>
        <v>-79.082194106691006</v>
      </c>
      <c r="P647" s="310">
        <f t="shared" ca="1" si="308"/>
        <v>23</v>
      </c>
      <c r="Q647" s="304">
        <f t="shared" ca="1" si="309"/>
        <v>0</v>
      </c>
      <c r="R647" s="306">
        <f t="shared" ca="1" si="310"/>
        <v>0</v>
      </c>
      <c r="S647" s="307">
        <f t="shared" ca="1" si="311"/>
        <v>8.1379999999999981</v>
      </c>
      <c r="T647" s="304">
        <f t="shared" ca="1" si="291"/>
        <v>79.83377999999999</v>
      </c>
      <c r="U647" s="311">
        <f t="shared" ca="1" si="292"/>
        <v>0</v>
      </c>
      <c r="V647" s="306">
        <f t="shared" ca="1" si="293"/>
        <v>1.144946631879475</v>
      </c>
      <c r="W647" s="304">
        <f t="shared" ca="1" si="294"/>
        <v>37.2281918282481</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5.1056745552544003</v>
      </c>
      <c r="AH647" s="304">
        <f t="shared" ca="1" si="318"/>
        <v>-4.5232325726211</v>
      </c>
    </row>
    <row r="648" spans="1:34" x14ac:dyDescent="0.2">
      <c r="A648" s="347">
        <f t="shared" ca="1" si="296"/>
        <v>0.1</v>
      </c>
      <c r="B648" s="304">
        <f t="shared" ca="1" si="297"/>
        <v>28.400000000000091</v>
      </c>
      <c r="D648" s="306">
        <f t="shared" ca="1" si="298"/>
        <v>-0.86643423655675589</v>
      </c>
      <c r="E648" s="307">
        <f t="shared" ca="1" si="299"/>
        <v>-5.3181890112661385</v>
      </c>
      <c r="F648" s="304">
        <f t="shared" ca="1" si="300"/>
        <v>5.388306101719686</v>
      </c>
      <c r="G648" s="306">
        <f t="shared" ca="1" si="301"/>
        <v>18.704702202787232</v>
      </c>
      <c r="H648" s="307">
        <f t="shared" ca="1" si="302"/>
        <v>-97.950837237001423</v>
      </c>
      <c r="I648" s="304">
        <f t="shared" ca="1" si="303"/>
        <v>99.720772158685662</v>
      </c>
      <c r="J648" s="306">
        <f t="shared" ca="1" si="304"/>
        <v>761.32664634836556</v>
      </c>
      <c r="K648" s="307">
        <f t="shared" ca="1" si="305"/>
        <v>665.80256898015466</v>
      </c>
      <c r="L648" s="304">
        <f t="shared" ca="1" si="290"/>
        <v>1011.3907866401705</v>
      </c>
      <c r="M648" s="306">
        <f t="shared" ca="1" si="306"/>
        <v>-1.3821078904493391</v>
      </c>
      <c r="N648" s="304">
        <f t="shared" ca="1" si="307"/>
        <v>-79.188948954476672</v>
      </c>
      <c r="P648" s="310">
        <f t="shared" ca="1" si="308"/>
        <v>23</v>
      </c>
      <c r="Q648" s="304">
        <f t="shared" ca="1" si="309"/>
        <v>0</v>
      </c>
      <c r="R648" s="306">
        <f t="shared" ca="1" si="310"/>
        <v>0</v>
      </c>
      <c r="S648" s="307">
        <f t="shared" ca="1" si="311"/>
        <v>8.1379999999999981</v>
      </c>
      <c r="T648" s="304">
        <f t="shared" ca="1" si="291"/>
        <v>79.83377999999999</v>
      </c>
      <c r="U648" s="311">
        <f t="shared" ca="1" si="292"/>
        <v>0</v>
      </c>
      <c r="V648" s="306">
        <f t="shared" ca="1" si="293"/>
        <v>1.1460668790357134</v>
      </c>
      <c r="W648" s="304">
        <f t="shared" ca="1" si="294"/>
        <v>37.64565516188059</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5.0578260942881252</v>
      </c>
      <c r="AH648" s="304">
        <f t="shared" ca="1" si="318"/>
        <v>-4.5746119228616502</v>
      </c>
    </row>
    <row r="649" spans="1:34" x14ac:dyDescent="0.2">
      <c r="A649" s="347">
        <f t="shared" ca="1" si="296"/>
        <v>0.1</v>
      </c>
      <c r="B649" s="304">
        <f t="shared" ca="1" si="297"/>
        <v>28.500000000000092</v>
      </c>
      <c r="D649" s="306">
        <f t="shared" ca="1" si="298"/>
        <v>-0.86768549954851926</v>
      </c>
      <c r="E649" s="307">
        <f t="shared" ca="1" si="299"/>
        <v>-5.2661949066198632</v>
      </c>
      <c r="F649" s="304">
        <f t="shared" ca="1" si="300"/>
        <v>5.3371984149585217</v>
      </c>
      <c r="G649" s="306">
        <f t="shared" ca="1" si="301"/>
        <v>18.617933652832381</v>
      </c>
      <c r="H649" s="307">
        <f t="shared" ca="1" si="302"/>
        <v>-98.477456727663409</v>
      </c>
      <c r="I649" s="304">
        <f t="shared" ca="1" si="303"/>
        <v>100.22193840197907</v>
      </c>
      <c r="J649" s="306">
        <f t="shared" ca="1" si="304"/>
        <v>763.1927781411465</v>
      </c>
      <c r="K649" s="307">
        <f t="shared" ca="1" si="305"/>
        <v>655.98115428192136</v>
      </c>
      <c r="L649" s="304">
        <f t="shared" ca="1" si="290"/>
        <v>1006.3669764950771</v>
      </c>
      <c r="M649" s="306">
        <f t="shared" ca="1" si="306"/>
        <v>-1.3839438859757827</v>
      </c>
      <c r="N649" s="304">
        <f t="shared" ca="1" si="307"/>
        <v>-79.294143749346787</v>
      </c>
      <c r="P649" s="310">
        <f t="shared" ca="1" si="308"/>
        <v>23</v>
      </c>
      <c r="Q649" s="304">
        <f t="shared" ca="1" si="309"/>
        <v>0</v>
      </c>
      <c r="R649" s="306">
        <f t="shared" ca="1" si="310"/>
        <v>0</v>
      </c>
      <c r="S649" s="307">
        <f t="shared" ca="1" si="311"/>
        <v>8.1379999999999981</v>
      </c>
      <c r="T649" s="304">
        <f t="shared" ca="1" si="291"/>
        <v>79.83377999999999</v>
      </c>
      <c r="U649" s="311">
        <f t="shared" ca="1" si="292"/>
        <v>0</v>
      </c>
      <c r="V649" s="306">
        <f t="shared" ca="1" si="293"/>
        <v>1.1471942634442447</v>
      </c>
      <c r="W649" s="304">
        <f t="shared" ca="1" si="294"/>
        <v>38.062402343769705</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5.0099732529838965</v>
      </c>
      <c r="AH649" s="304">
        <f t="shared" ca="1" si="318"/>
        <v>-4.6259099486213566</v>
      </c>
    </row>
    <row r="650" spans="1:34" x14ac:dyDescent="0.2">
      <c r="A650" s="347">
        <f t="shared" ca="1" si="296"/>
        <v>0.1</v>
      </c>
      <c r="B650" s="304">
        <f t="shared" ca="1" si="297"/>
        <v>28.600000000000094</v>
      </c>
      <c r="D650" s="306">
        <f t="shared" ca="1" si="298"/>
        <v>-0.86885477112193932</v>
      </c>
      <c r="E650" s="307">
        <f t="shared" ca="1" si="299"/>
        <v>-5.2142908455220631</v>
      </c>
      <c r="F650" s="304">
        <f t="shared" ca="1" si="300"/>
        <v>5.2861836550574504</v>
      </c>
      <c r="G650" s="306">
        <f t="shared" ca="1" si="301"/>
        <v>18.531048175720187</v>
      </c>
      <c r="H650" s="307">
        <f t="shared" ca="1" si="302"/>
        <v>-98.998885812215619</v>
      </c>
      <c r="I650" s="304">
        <f t="shared" ca="1" si="303"/>
        <v>100.71831580477787</v>
      </c>
      <c r="J650" s="306">
        <f t="shared" ca="1" si="304"/>
        <v>765.05022723257412</v>
      </c>
      <c r="K650" s="307">
        <f t="shared" ca="1" si="305"/>
        <v>646.10733715492745</v>
      </c>
      <c r="L650" s="304">
        <f t="shared" ca="1" si="290"/>
        <v>1001.3773221488713</v>
      </c>
      <c r="M650" s="306">
        <f t="shared" ca="1" si="306"/>
        <v>-1.3857532646590593</v>
      </c>
      <c r="N650" s="304">
        <f t="shared" ca="1" si="307"/>
        <v>-79.39781351143948</v>
      </c>
      <c r="P650" s="310">
        <f t="shared" ca="1" si="308"/>
        <v>23</v>
      </c>
      <c r="Q650" s="304">
        <f t="shared" ca="1" si="309"/>
        <v>0</v>
      </c>
      <c r="R650" s="306">
        <f t="shared" ca="1" si="310"/>
        <v>0</v>
      </c>
      <c r="S650" s="307">
        <f t="shared" ca="1" si="311"/>
        <v>8.1379999999999981</v>
      </c>
      <c r="T650" s="304">
        <f t="shared" ca="1" si="291"/>
        <v>79.83377999999999</v>
      </c>
      <c r="U650" s="311">
        <f t="shared" ca="1" si="292"/>
        <v>0</v>
      </c>
      <c r="V650" s="306">
        <f t="shared" ca="1" si="293"/>
        <v>1.1483287442431893</v>
      </c>
      <c r="W650" s="304">
        <f t="shared" ca="1" si="294"/>
        <v>38.478379932178456</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4.9621253445326987</v>
      </c>
      <c r="AH650" s="304">
        <f t="shared" ca="1" si="318"/>
        <v>-4.6771199734295541</v>
      </c>
    </row>
    <row r="651" spans="1:34" x14ac:dyDescent="0.2">
      <c r="A651" s="347">
        <f t="shared" ca="1" si="296"/>
        <v>0.1</v>
      </c>
      <c r="B651" s="304">
        <f t="shared" ca="1" si="297"/>
        <v>28.700000000000095</v>
      </c>
      <c r="D651" s="306">
        <f t="shared" ca="1" si="298"/>
        <v>-0.86994264991257952</v>
      </c>
      <c r="E651" s="307">
        <f t="shared" ca="1" si="299"/>
        <v>-5.1624834512754347</v>
      </c>
      <c r="F651" s="304">
        <f t="shared" ca="1" si="300"/>
        <v>5.2352684361768542</v>
      </c>
      <c r="G651" s="306">
        <f t="shared" ca="1" si="301"/>
        <v>18.444053910728929</v>
      </c>
      <c r="H651" s="307">
        <f t="shared" ca="1" si="302"/>
        <v>-99.515134157343169</v>
      </c>
      <c r="I651" s="304">
        <f t="shared" ca="1" si="303"/>
        <v>101.20990589372111</v>
      </c>
      <c r="J651" s="306">
        <f t="shared" ca="1" si="304"/>
        <v>766.89898233689655</v>
      </c>
      <c r="K651" s="307">
        <f t="shared" ca="1" si="305"/>
        <v>636.18163615644949</v>
      </c>
      <c r="L651" s="304">
        <f t="shared" ca="1" si="290"/>
        <v>996.42416836007374</v>
      </c>
      <c r="M651" s="306">
        <f t="shared" ca="1" si="306"/>
        <v>-1.3875366194247503</v>
      </c>
      <c r="N651" s="304">
        <f t="shared" ca="1" si="307"/>
        <v>-79.499992212888117</v>
      </c>
      <c r="P651" s="310">
        <f t="shared" ca="1" si="308"/>
        <v>23</v>
      </c>
      <c r="Q651" s="304">
        <f t="shared" ca="1" si="309"/>
        <v>0</v>
      </c>
      <c r="R651" s="306">
        <f t="shared" ca="1" si="310"/>
        <v>0</v>
      </c>
      <c r="S651" s="307">
        <f t="shared" ca="1" si="311"/>
        <v>8.1379999999999981</v>
      </c>
      <c r="T651" s="304">
        <f t="shared" ca="1" si="291"/>
        <v>79.83377999999999</v>
      </c>
      <c r="U651" s="311">
        <f t="shared" ca="1" si="292"/>
        <v>0</v>
      </c>
      <c r="V651" s="306">
        <f t="shared" ca="1" si="293"/>
        <v>1.1494702805943318</v>
      </c>
      <c r="W651" s="304">
        <f t="shared" ca="1" si="294"/>
        <v>38.893535381734686</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4.9142914731021161</v>
      </c>
      <c r="AH651" s="304">
        <f t="shared" ca="1" si="318"/>
        <v>-4.728235430348791</v>
      </c>
    </row>
    <row r="652" spans="1:34" x14ac:dyDescent="0.2">
      <c r="A652" s="347">
        <f t="shared" ca="1" si="296"/>
        <v>0.1</v>
      </c>
      <c r="B652" s="304">
        <f t="shared" ca="1" si="297"/>
        <v>28.800000000000097</v>
      </c>
      <c r="D652" s="306">
        <f t="shared" ca="1" si="298"/>
        <v>-0.87094974884144105</v>
      </c>
      <c r="E652" s="307">
        <f t="shared" ca="1" si="299"/>
        <v>-5.1107792365081561</v>
      </c>
      <c r="F652" s="304">
        <f t="shared" ca="1" si="300"/>
        <v>5.1844592648925172</v>
      </c>
      <c r="G652" s="306">
        <f t="shared" ca="1" si="301"/>
        <v>18.356958935844784</v>
      </c>
      <c r="H652" s="307">
        <f t="shared" ca="1" si="302"/>
        <v>-100.02621208099399</v>
      </c>
      <c r="I652" s="304">
        <f t="shared" ca="1" si="303"/>
        <v>101.69671108076346</v>
      </c>
      <c r="J652" s="306">
        <f t="shared" ca="1" si="304"/>
        <v>768.73903297922527</v>
      </c>
      <c r="K652" s="307">
        <f t="shared" ca="1" si="305"/>
        <v>626.20456884453267</v>
      </c>
      <c r="L652" s="304">
        <f t="shared" ca="1" si="290"/>
        <v>991.50989045374706</v>
      </c>
      <c r="M652" s="306">
        <f t="shared" ca="1" si="306"/>
        <v>-1.3892945255731295</v>
      </c>
      <c r="N652" s="304">
        <f t="shared" ca="1" si="307"/>
        <v>-79.60071281597034</v>
      </c>
      <c r="P652" s="310">
        <f t="shared" ca="1" si="308"/>
        <v>23</v>
      </c>
      <c r="Q652" s="304">
        <f t="shared" ca="1" si="309"/>
        <v>0</v>
      </c>
      <c r="R652" s="306">
        <f t="shared" ca="1" si="310"/>
        <v>0</v>
      </c>
      <c r="S652" s="307">
        <f t="shared" ca="1" si="311"/>
        <v>8.1379999999999981</v>
      </c>
      <c r="T652" s="304">
        <f t="shared" ca="1" si="291"/>
        <v>79.83377999999999</v>
      </c>
      <c r="U652" s="311">
        <f t="shared" ca="1" si="292"/>
        <v>0</v>
      </c>
      <c r="V652" s="306">
        <f t="shared" ca="1" si="293"/>
        <v>1.1506188316881876</v>
      </c>
      <c r="W652" s="304">
        <f t="shared" ca="1" si="294"/>
        <v>39.307817047903363</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4.8664805376433184</v>
      </c>
      <c r="AH652" s="304">
        <f t="shared" ca="1" si="318"/>
        <v>-4.779249862587208</v>
      </c>
    </row>
    <row r="653" spans="1:34" x14ac:dyDescent="0.2">
      <c r="A653" s="347">
        <f t="shared" ca="1" si="296"/>
        <v>0.1</v>
      </c>
      <c r="B653" s="304">
        <f t="shared" ca="1" si="297"/>
        <v>28.900000000000098</v>
      </c>
      <c r="D653" s="306">
        <f t="shared" ca="1" si="298"/>
        <v>-0.87187669459655825</v>
      </c>
      <c r="E653" s="307">
        <f t="shared" ca="1" si="299"/>
        <v>-5.0591846025814577</v>
      </c>
      <c r="F653" s="304">
        <f t="shared" ca="1" si="300"/>
        <v>5.1337625396562627</v>
      </c>
      <c r="G653" s="306">
        <f t="shared" ca="1" si="301"/>
        <v>18.269771266385128</v>
      </c>
      <c r="H653" s="307">
        <f t="shared" ca="1" si="302"/>
        <v>-100.53213054125213</v>
      </c>
      <c r="I653" s="304">
        <f t="shared" ca="1" si="303"/>
        <v>102.17873464321914</v>
      </c>
      <c r="J653" s="306">
        <f t="shared" ca="1" si="304"/>
        <v>770.57036948933671</v>
      </c>
      <c r="K653" s="307">
        <f t="shared" ca="1" si="305"/>
        <v>616.17665171342037</v>
      </c>
      <c r="L653" s="304">
        <f t="shared" ca="1" si="290"/>
        <v>986.63689392384606</v>
      </c>
      <c r="M653" s="306">
        <f t="shared" ca="1" si="306"/>
        <v>-1.3910275414166864</v>
      </c>
      <c r="N653" s="304">
        <f t="shared" ca="1" si="307"/>
        <v>-79.700007309635453</v>
      </c>
      <c r="P653" s="310">
        <f t="shared" ca="1" si="308"/>
        <v>23</v>
      </c>
      <c r="Q653" s="304">
        <f t="shared" ca="1" si="309"/>
        <v>0</v>
      </c>
      <c r="R653" s="306">
        <f t="shared" ca="1" si="310"/>
        <v>0</v>
      </c>
      <c r="S653" s="307">
        <f t="shared" ca="1" si="311"/>
        <v>8.1379999999999981</v>
      </c>
      <c r="T653" s="304">
        <f t="shared" ca="1" si="291"/>
        <v>79.83377999999999</v>
      </c>
      <c r="U653" s="311">
        <f t="shared" ca="1" si="292"/>
        <v>0</v>
      </c>
      <c r="V653" s="306">
        <f t="shared" ca="1" si="293"/>
        <v>1.151774356749004</v>
      </c>
      <c r="W653" s="304">
        <f t="shared" ca="1" si="294"/>
        <v>39.721174190954983</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4.8187012355365972</v>
      </c>
      <c r="AH653" s="304">
        <f t="shared" ca="1" si="318"/>
        <v>-4.8301569240480919</v>
      </c>
    </row>
    <row r="654" spans="1:34" x14ac:dyDescent="0.2">
      <c r="A654" s="347">
        <f t="shared" ca="1" si="296"/>
        <v>0.1</v>
      </c>
      <c r="B654" s="304">
        <f t="shared" ca="1" si="297"/>
        <v>29.000000000000099</v>
      </c>
      <c r="D654" s="306">
        <f t="shared" ca="1" si="298"/>
        <v>-0.87272412712109781</v>
      </c>
      <c r="E654" s="307">
        <f t="shared" ca="1" si="299"/>
        <v>-5.0077058390617593</v>
      </c>
      <c r="F654" s="304">
        <f t="shared" ca="1" si="300"/>
        <v>5.0831845503220245</v>
      </c>
      <c r="G654" s="306">
        <f t="shared" ca="1" si="301"/>
        <v>18.182498853673017</v>
      </c>
      <c r="H654" s="307">
        <f t="shared" ca="1" si="302"/>
        <v>-101.0329011251583</v>
      </c>
      <c r="I654" s="304">
        <f t="shared" ca="1" si="303"/>
        <v>102.65598070414522</v>
      </c>
      <c r="J654" s="306">
        <f t="shared" ca="1" si="304"/>
        <v>772.39298299533959</v>
      </c>
      <c r="K654" s="307">
        <f t="shared" ca="1" si="305"/>
        <v>606.09840013009989</v>
      </c>
      <c r="L654" s="304">
        <f t="shared" ca="1" si="290"/>
        <v>981.8076139553541</v>
      </c>
      <c r="M654" s="306">
        <f t="shared" ca="1" si="306"/>
        <v>-1.3927362088907098</v>
      </c>
      <c r="N654" s="304">
        <f t="shared" ca="1" si="307"/>
        <v>-79.797906744488273</v>
      </c>
      <c r="P654" s="310">
        <f t="shared" ca="1" si="308"/>
        <v>23</v>
      </c>
      <c r="Q654" s="304">
        <f t="shared" ca="1" si="309"/>
        <v>0</v>
      </c>
      <c r="R654" s="306">
        <f t="shared" ca="1" si="310"/>
        <v>0</v>
      </c>
      <c r="S654" s="307">
        <f t="shared" ca="1" si="311"/>
        <v>8.1379999999999981</v>
      </c>
      <c r="T654" s="304">
        <f t="shared" ca="1" si="291"/>
        <v>79.83377999999999</v>
      </c>
      <c r="U654" s="311">
        <f t="shared" ca="1" si="292"/>
        <v>0</v>
      </c>
      <c r="V654" s="306">
        <f t="shared" ca="1" si="293"/>
        <v>1.1529368150396988</v>
      </c>
      <c r="W654" s="304">
        <f t="shared" ca="1" si="294"/>
        <v>40.133556979437358</v>
      </c>
      <c r="Y654" s="314" t="str">
        <f t="shared" ca="1" si="312"/>
        <v/>
      </c>
      <c r="Z654" s="315" t="str">
        <f t="shared" ca="1" si="313"/>
        <v/>
      </c>
      <c r="AA654" s="316" t="str">
        <f t="shared" ca="1" si="314"/>
        <v/>
      </c>
      <c r="AC654" s="310">
        <f t="shared" ca="1" si="315"/>
        <v>29.000000000000099</v>
      </c>
      <c r="AD654" s="323">
        <f t="shared" ca="1" si="316"/>
        <v>772.39298299533959</v>
      </c>
      <c r="AE654" s="324" t="e">
        <f t="shared" ca="1" si="295"/>
        <v>#N/A</v>
      </c>
      <c r="AG654" s="306">
        <f t="shared" ca="1" si="317"/>
        <v>4.7709620660872076</v>
      </c>
      <c r="AH654" s="304">
        <f t="shared" ca="1" si="318"/>
        <v>-4.8809503798175218</v>
      </c>
    </row>
    <row r="655" spans="1:34" x14ac:dyDescent="0.2">
      <c r="A655" s="347">
        <f t="shared" ca="1" si="296"/>
        <v>0.1</v>
      </c>
      <c r="B655" s="304">
        <f t="shared" ca="1" si="297"/>
        <v>29.100000000000101</v>
      </c>
      <c r="D655" s="306">
        <f t="shared" ca="1" si="298"/>
        <v>-0.87349269910794181</v>
      </c>
      <c r="E655" s="307">
        <f t="shared" ca="1" si="299"/>
        <v>-4.9563491232563539</v>
      </c>
      <c r="F655" s="304">
        <f t="shared" ca="1" si="300"/>
        <v>5.0327314777364096</v>
      </c>
      <c r="G655" s="306">
        <f t="shared" ca="1" si="301"/>
        <v>18.095149583762222</v>
      </c>
      <c r="H655" s="307">
        <f t="shared" ca="1" si="302"/>
        <v>-101.52853603748395</v>
      </c>
      <c r="I655" s="304">
        <f t="shared" ca="1" si="303"/>
        <v>103.12845421305124</v>
      </c>
      <c r="J655" s="306">
        <f t="shared" ca="1" si="304"/>
        <v>774.20686541721136</v>
      </c>
      <c r="K655" s="307">
        <f t="shared" ca="1" si="305"/>
        <v>595.97032827196779</v>
      </c>
      <c r="L655" s="304">
        <f t="shared" ca="1" si="290"/>
        <v>977.02451486118866</v>
      </c>
      <c r="M655" s="306">
        <f t="shared" ca="1" si="306"/>
        <v>-1.3944210541382305</v>
      </c>
      <c r="N655" s="304">
        <f t="shared" ca="1" si="307"/>
        <v>-79.894441266303886</v>
      </c>
      <c r="P655" s="310">
        <f t="shared" ca="1" si="308"/>
        <v>23</v>
      </c>
      <c r="Q655" s="304">
        <f t="shared" ca="1" si="309"/>
        <v>0</v>
      </c>
      <c r="R655" s="306">
        <f t="shared" ca="1" si="310"/>
        <v>0</v>
      </c>
      <c r="S655" s="307">
        <f t="shared" ca="1" si="311"/>
        <v>8.1379999999999981</v>
      </c>
      <c r="T655" s="304">
        <f t="shared" ca="1" si="291"/>
        <v>79.83377999999999</v>
      </c>
      <c r="U655" s="311">
        <f t="shared" ca="1" si="292"/>
        <v>0</v>
      </c>
      <c r="V655" s="306">
        <f t="shared" ca="1" si="293"/>
        <v>1.1541061658667273</v>
      </c>
      <c r="W655" s="304">
        <f t="shared" ca="1" si="294"/>
        <v>40.544916493158247</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4.7232713338826775</v>
      </c>
      <c r="AH655" s="304">
        <f t="shared" ca="1" si="318"/>
        <v>-4.9316241065909763</v>
      </c>
    </row>
    <row r="656" spans="1:34" x14ac:dyDescent="0.2">
      <c r="A656" s="347">
        <f t="shared" ca="1" si="296"/>
        <v>0.1</v>
      </c>
      <c r="B656" s="304">
        <f t="shared" ca="1" si="297"/>
        <v>29.200000000000102</v>
      </c>
      <c r="D656" s="306">
        <f t="shared" ca="1" si="298"/>
        <v>-0.87418307550073293</v>
      </c>
      <c r="E656" s="307">
        <f t="shared" ca="1" si="299"/>
        <v>-4.9051205198116135</v>
      </c>
      <c r="F656" s="304">
        <f t="shared" ca="1" si="300"/>
        <v>4.982409393392806</v>
      </c>
      <c r="G656" s="306">
        <f t="shared" ca="1" si="301"/>
        <v>18.007731276212148</v>
      </c>
      <c r="H656" s="307">
        <f t="shared" ca="1" si="302"/>
        <v>-102.0190480894651</v>
      </c>
      <c r="I656" s="304">
        <f t="shared" ca="1" si="303"/>
        <v>103.59616092692268</v>
      </c>
      <c r="J656" s="306">
        <f t="shared" ca="1" si="304"/>
        <v>776.01200946021004</v>
      </c>
      <c r="K656" s="307">
        <f t="shared" ca="1" si="305"/>
        <v>585.79294906562029</v>
      </c>
      <c r="L656" s="304">
        <f t="shared" ca="1" si="290"/>
        <v>972.29008942880296</v>
      </c>
      <c r="M656" s="306">
        <f t="shared" ca="1" si="306"/>
        <v>-1.396082588070541</v>
      </c>
      <c r="N656" s="304">
        <f t="shared" ca="1" si="307"/>
        <v>-79.989640148143053</v>
      </c>
      <c r="P656" s="310">
        <f t="shared" ca="1" si="308"/>
        <v>23</v>
      </c>
      <c r="Q656" s="304">
        <f t="shared" ca="1" si="309"/>
        <v>0</v>
      </c>
      <c r="R656" s="306">
        <f t="shared" ca="1" si="310"/>
        <v>0</v>
      </c>
      <c r="S656" s="307">
        <f t="shared" ca="1" si="311"/>
        <v>8.1379999999999981</v>
      </c>
      <c r="T656" s="304">
        <f t="shared" ca="1" si="291"/>
        <v>79.83377999999999</v>
      </c>
      <c r="U656" s="311">
        <f t="shared" ca="1" si="292"/>
        <v>0</v>
      </c>
      <c r="V656" s="306">
        <f t="shared" ca="1" si="293"/>
        <v>1.1552823685848879</v>
      </c>
      <c r="W656" s="304">
        <f t="shared" ca="1" si="294"/>
        <v>40.955204725686905</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4.6756371520217499</v>
      </c>
      <c r="AH656" s="304">
        <f t="shared" ca="1" si="318"/>
        <v>-4.9821720930398445</v>
      </c>
    </row>
    <row r="657" spans="1:34" x14ac:dyDescent="0.2">
      <c r="A657" s="347">
        <f t="shared" ca="1" si="296"/>
        <v>0.1</v>
      </c>
      <c r="B657" s="304">
        <f t="shared" ca="1" si="297"/>
        <v>29.300000000000104</v>
      </c>
      <c r="D657" s="306">
        <f t="shared" ca="1" si="298"/>
        <v>-0.8747959330014069</v>
      </c>
      <c r="E657" s="307">
        <f t="shared" ca="1" si="299"/>
        <v>-4.8540259803726054</v>
      </c>
      <c r="F657" s="304">
        <f t="shared" ca="1" si="300"/>
        <v>4.9322242591479997</v>
      </c>
      <c r="G657" s="306">
        <f t="shared" ca="1" si="301"/>
        <v>17.920251682912006</v>
      </c>
      <c r="H657" s="307">
        <f t="shared" ca="1" si="302"/>
        <v>-102.50445068750236</v>
      </c>
      <c r="I657" s="304">
        <f t="shared" ca="1" si="303"/>
        <v>104.059107391547</v>
      </c>
      <c r="J657" s="306">
        <f t="shared" ca="1" si="304"/>
        <v>777.80840860816625</v>
      </c>
      <c r="K657" s="307">
        <f t="shared" ca="1" si="305"/>
        <v>575.56677412677186</v>
      </c>
      <c r="L657" s="304">
        <f t="shared" ca="1" si="290"/>
        <v>967.60685817136834</v>
      </c>
      <c r="M657" s="306">
        <f t="shared" ca="1" si="306"/>
        <v>-1.3977213069044552</v>
      </c>
      <c r="N657" s="304">
        <f t="shared" ca="1" si="307"/>
        <v>-80.083531821134926</v>
      </c>
      <c r="P657" s="310">
        <f t="shared" ca="1" si="308"/>
        <v>23</v>
      </c>
      <c r="Q657" s="304">
        <f t="shared" ca="1" si="309"/>
        <v>0</v>
      </c>
      <c r="R657" s="306">
        <f t="shared" ca="1" si="310"/>
        <v>0</v>
      </c>
      <c r="S657" s="307">
        <f t="shared" ca="1" si="311"/>
        <v>8.1379999999999981</v>
      </c>
      <c r="T657" s="304">
        <f t="shared" ca="1" si="291"/>
        <v>79.83377999999999</v>
      </c>
      <c r="U657" s="311">
        <f t="shared" ca="1" si="292"/>
        <v>0</v>
      </c>
      <c r="V657" s="306">
        <f t="shared" ca="1" si="293"/>
        <v>1.1564653826020579</v>
      </c>
      <c r="W657" s="304">
        <f t="shared" ca="1" si="294"/>
        <v>41.364374586382411</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4.6280674452245396</v>
      </c>
      <c r="AH657" s="304">
        <f t="shared" ca="1" si="318"/>
        <v>-5.0325884401188148</v>
      </c>
    </row>
    <row r="658" spans="1:34" x14ac:dyDescent="0.2">
      <c r="A658" s="347">
        <f t="shared" ca="1" si="296"/>
        <v>0.1</v>
      </c>
      <c r="B658" s="304">
        <f t="shared" ca="1" si="297"/>
        <v>29.400000000000105</v>
      </c>
      <c r="D658" s="306">
        <f t="shared" ca="1" si="298"/>
        <v>-0.87533195958420196</v>
      </c>
      <c r="E658" s="307">
        <f t="shared" ca="1" si="299"/>
        <v>-4.8030713433030652</v>
      </c>
      <c r="F658" s="304">
        <f t="shared" ca="1" si="300"/>
        <v>4.8821819270003273</v>
      </c>
      <c r="G658" s="306">
        <f t="shared" ca="1" si="301"/>
        <v>17.832718486953585</v>
      </c>
      <c r="H658" s="307">
        <f t="shared" ca="1" si="302"/>
        <v>-102.98475782183266</v>
      </c>
      <c r="I658" s="304">
        <f t="shared" ca="1" si="303"/>
        <v>104.51730092313166</v>
      </c>
      <c r="J658" s="306">
        <f t="shared" ca="1" si="304"/>
        <v>779.59605711665949</v>
      </c>
      <c r="K658" s="307">
        <f t="shared" ca="1" si="305"/>
        <v>565.29231370130515</v>
      </c>
      <c r="L658" s="304">
        <f t="shared" ca="1" si="290"/>
        <v>962.97736847841679</v>
      </c>
      <c r="M658" s="306">
        <f t="shared" ca="1" si="306"/>
        <v>-1.399337692677405</v>
      </c>
      <c r="N658" s="304">
        <f t="shared" ca="1" si="307"/>
        <v>-80.176143903989953</v>
      </c>
      <c r="P658" s="310">
        <f t="shared" ca="1" si="308"/>
        <v>23</v>
      </c>
      <c r="Q658" s="304">
        <f t="shared" ca="1" si="309"/>
        <v>0</v>
      </c>
      <c r="R658" s="306">
        <f t="shared" ca="1" si="310"/>
        <v>0</v>
      </c>
      <c r="S658" s="307">
        <f t="shared" ca="1" si="311"/>
        <v>8.1379999999999981</v>
      </c>
      <c r="T658" s="304">
        <f t="shared" ca="1" si="291"/>
        <v>79.83377999999999</v>
      </c>
      <c r="U658" s="311">
        <f t="shared" ca="1" si="292"/>
        <v>0</v>
      </c>
      <c r="V658" s="306">
        <f t="shared" ca="1" si="293"/>
        <v>1.1576551673838604</v>
      </c>
      <c r="W658" s="304">
        <f t="shared" ca="1" si="294"/>
        <v>41.772379901956882</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4.5805699528327768</v>
      </c>
      <c r="AH658" s="304">
        <f t="shared" ca="1" si="318"/>
        <v>-5.0828673613151167</v>
      </c>
    </row>
    <row r="659" spans="1:34" x14ac:dyDescent="0.2">
      <c r="A659" s="347">
        <f t="shared" ca="1" si="296"/>
        <v>0.1</v>
      </c>
      <c r="B659" s="304">
        <f t="shared" ca="1" si="297"/>
        <v>29.500000000000107</v>
      </c>
      <c r="D659" s="306">
        <f t="shared" ca="1" si="298"/>
        <v>-0.8757918540161499</v>
      </c>
      <c r="E659" s="307">
        <f t="shared" ca="1" si="299"/>
        <v>-4.7522623334646159</v>
      </c>
      <c r="F659" s="304">
        <f t="shared" ca="1" si="300"/>
        <v>4.832288138928349</v>
      </c>
      <c r="G659" s="306">
        <f t="shared" ca="1" si="301"/>
        <v>17.745139301551969</v>
      </c>
      <c r="H659" s="307">
        <f t="shared" ca="1" si="302"/>
        <v>-103.45998405517912</v>
      </c>
      <c r="I659" s="304">
        <f t="shared" ca="1" si="303"/>
        <v>104.97074959020442</v>
      </c>
      <c r="J659" s="306">
        <f t="shared" ca="1" si="304"/>
        <v>781.37495000608476</v>
      </c>
      <c r="K659" s="307">
        <f t="shared" ca="1" si="305"/>
        <v>554.97007660745453</v>
      </c>
      <c r="L659" s="304">
        <f t="shared" ca="1" si="290"/>
        <v>958.40419366084552</v>
      </c>
      <c r="M659" s="306">
        <f t="shared" ca="1" si="306"/>
        <v>-1.4009322137414122</v>
      </c>
      <c r="N659" s="304">
        <f t="shared" ca="1" si="307"/>
        <v>-80.267503231302271</v>
      </c>
      <c r="P659" s="310">
        <f t="shared" ca="1" si="308"/>
        <v>23</v>
      </c>
      <c r="Q659" s="304">
        <f t="shared" ca="1" si="309"/>
        <v>0</v>
      </c>
      <c r="R659" s="306">
        <f t="shared" ca="1" si="310"/>
        <v>0</v>
      </c>
      <c r="S659" s="307">
        <f t="shared" ca="1" si="311"/>
        <v>8.1379999999999981</v>
      </c>
      <c r="T659" s="304">
        <f t="shared" ca="1" si="291"/>
        <v>79.83377999999999</v>
      </c>
      <c r="U659" s="311">
        <f t="shared" ca="1" si="292"/>
        <v>0</v>
      </c>
      <c r="V659" s="306">
        <f t="shared" ca="1" si="293"/>
        <v>1.1588516824582666</v>
      </c>
      <c r="W659" s="304">
        <f t="shared" ca="1" si="294"/>
        <v>42.179175417582336</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4.5331522317084101</v>
      </c>
      <c r="AH659" s="304">
        <f t="shared" ca="1" si="318"/>
        <v>-5.1330031828406106</v>
      </c>
    </row>
    <row r="660" spans="1:34" x14ac:dyDescent="0.2">
      <c r="A660" s="347">
        <f t="shared" ca="1" si="296"/>
        <v>0.1</v>
      </c>
      <c r="B660" s="304">
        <f t="shared" ca="1" si="297"/>
        <v>29.600000000000108</v>
      </c>
      <c r="D660" s="306">
        <f t="shared" ca="1" si="298"/>
        <v>-0.87617632538408596</v>
      </c>
      <c r="E660" s="307">
        <f t="shared" ca="1" si="299"/>
        <v>-4.7016045620540812</v>
      </c>
      <c r="F660" s="304">
        <f t="shared" ca="1" si="300"/>
        <v>4.7825485267889665</v>
      </c>
      <c r="G660" s="306">
        <f t="shared" ca="1" si="301"/>
        <v>17.657521669013562</v>
      </c>
      <c r="H660" s="307">
        <f t="shared" ca="1" si="302"/>
        <v>-103.93014451138453</v>
      </c>
      <c r="I660" s="304">
        <f t="shared" ca="1" si="303"/>
        <v>105.41946219578695</v>
      </c>
      <c r="J660" s="306">
        <f t="shared" ca="1" si="304"/>
        <v>783.145083054613</v>
      </c>
      <c r="K660" s="307">
        <f t="shared" ca="1" si="305"/>
        <v>544.60057017912629</v>
      </c>
      <c r="L660" s="304">
        <f t="shared" ca="1" si="290"/>
        <v>953.88993188524967</v>
      </c>
      <c r="M660" s="306">
        <f t="shared" ca="1" si="306"/>
        <v>-1.4025053252369255</v>
      </c>
      <c r="N660" s="304">
        <f t="shared" ca="1" si="307"/>
        <v>-80.357635880698695</v>
      </c>
      <c r="P660" s="310">
        <f t="shared" ca="1" si="308"/>
        <v>23</v>
      </c>
      <c r="Q660" s="304">
        <f t="shared" ca="1" si="309"/>
        <v>0</v>
      </c>
      <c r="R660" s="306">
        <f t="shared" ca="1" si="310"/>
        <v>0</v>
      </c>
      <c r="S660" s="307">
        <f t="shared" ca="1" si="311"/>
        <v>8.1379999999999981</v>
      </c>
      <c r="T660" s="304">
        <f t="shared" ca="1" si="291"/>
        <v>79.83377999999999</v>
      </c>
      <c r="U660" s="311">
        <f t="shared" ca="1" si="292"/>
        <v>0</v>
      </c>
      <c r="V660" s="306">
        <f t="shared" ca="1" si="293"/>
        <v>1.1600548874201244</v>
      </c>
      <c r="W660" s="304">
        <f t="shared" ca="1" si="294"/>
        <v>42.584716797549255</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4.4858216590381623</v>
      </c>
      <c r="AH660" s="304">
        <f t="shared" ca="1" si="318"/>
        <v>-5.1829903437677984</v>
      </c>
    </row>
    <row r="661" spans="1:34" x14ac:dyDescent="0.2">
      <c r="A661" s="347">
        <f t="shared" ca="1" si="296"/>
        <v>0.1</v>
      </c>
      <c r="B661" s="304">
        <f t="shared" ca="1" si="297"/>
        <v>29.700000000000109</v>
      </c>
      <c r="D661" s="306">
        <f t="shared" ca="1" si="298"/>
        <v>-0.87648609262815336</v>
      </c>
      <c r="E661" s="307">
        <f t="shared" ca="1" si="299"/>
        <v>-4.6511035264977991</v>
      </c>
      <c r="F661" s="304">
        <f t="shared" ca="1" si="300"/>
        <v>4.7329686122739956</v>
      </c>
      <c r="G661" s="306">
        <f t="shared" ca="1" si="301"/>
        <v>17.569873059750748</v>
      </c>
      <c r="H661" s="307">
        <f t="shared" ca="1" si="302"/>
        <v>-104.3952548640343</v>
      </c>
      <c r="I661" s="304">
        <f t="shared" ca="1" si="303"/>
        <v>105.86344825983345</v>
      </c>
      <c r="J661" s="306">
        <f t="shared" ca="1" si="304"/>
        <v>784.90645279105127</v>
      </c>
      <c r="K661" s="307">
        <f t="shared" ca="1" si="305"/>
        <v>534.18430021035533</v>
      </c>
      <c r="L661" s="304">
        <f t="shared" ca="1" si="290"/>
        <v>949.43720499265135</v>
      </c>
      <c r="M661" s="306">
        <f t="shared" ca="1" si="306"/>
        <v>-1.4040574695474533</v>
      </c>
      <c r="N661" s="304">
        <f t="shared" ca="1" si="307"/>
        <v>-80.44656719888718</v>
      </c>
      <c r="P661" s="310">
        <f t="shared" ca="1" si="308"/>
        <v>23</v>
      </c>
      <c r="Q661" s="304">
        <f t="shared" ca="1" si="309"/>
        <v>0</v>
      </c>
      <c r="R661" s="306">
        <f t="shared" ca="1" si="310"/>
        <v>0</v>
      </c>
      <c r="S661" s="307">
        <f t="shared" ca="1" si="311"/>
        <v>8.1379999999999981</v>
      </c>
      <c r="T661" s="304">
        <f t="shared" ca="1" si="291"/>
        <v>79.83377999999999</v>
      </c>
      <c r="U661" s="311">
        <f t="shared" ca="1" si="292"/>
        <v>0</v>
      </c>
      <c r="V661" s="306">
        <f t="shared" ca="1" si="293"/>
        <v>1.1612647419356239</v>
      </c>
      <c r="W661" s="304">
        <f t="shared" ca="1" si="294"/>
        <v>42.988960625486094</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4.4385854350512499</v>
      </c>
      <c r="AH661" s="304">
        <f t="shared" ca="1" si="318"/>
        <v>-5.2328233961107475</v>
      </c>
    </row>
    <row r="662" spans="1:34" x14ac:dyDescent="0.2">
      <c r="A662" s="347">
        <f t="shared" ca="1" si="296"/>
        <v>0.1</v>
      </c>
      <c r="B662" s="304">
        <f t="shared" ca="1" si="297"/>
        <v>29.800000000000111</v>
      </c>
      <c r="D662" s="306">
        <f t="shared" ca="1" si="298"/>
        <v>-0.87672188408186591</v>
      </c>
      <c r="E662" s="307">
        <f t="shared" ca="1" si="299"/>
        <v>-4.6007646104017361</v>
      </c>
      <c r="F662" s="304">
        <f t="shared" ca="1" si="300"/>
        <v>4.6835538069240856</v>
      </c>
      <c r="G662" s="306">
        <f t="shared" ca="1" si="301"/>
        <v>17.48220087134256</v>
      </c>
      <c r="H662" s="307">
        <f t="shared" ca="1" si="302"/>
        <v>-104.85533132507447</v>
      </c>
      <c r="I662" s="304">
        <f t="shared" ca="1" si="303"/>
        <v>106.30271800192652</v>
      </c>
      <c r="J662" s="306">
        <f t="shared" ca="1" si="304"/>
        <v>786.65905648760588</v>
      </c>
      <c r="K662" s="307">
        <f t="shared" ca="1" si="305"/>
        <v>523.72177090089986</v>
      </c>
      <c r="L662" s="304">
        <f t="shared" ca="1" si="290"/>
        <v>945.04865719683721</v>
      </c>
      <c r="M662" s="306">
        <f t="shared" ca="1" si="306"/>
        <v>-1.4055890767358825</v>
      </c>
      <c r="N662" s="304">
        <f t="shared" ca="1" si="307"/>
        <v>-80.534321826656068</v>
      </c>
      <c r="P662" s="310">
        <f t="shared" ca="1" si="308"/>
        <v>23</v>
      </c>
      <c r="Q662" s="304">
        <f t="shared" ca="1" si="309"/>
        <v>0</v>
      </c>
      <c r="R662" s="306">
        <f t="shared" ca="1" si="310"/>
        <v>0</v>
      </c>
      <c r="S662" s="307">
        <f t="shared" ca="1" si="311"/>
        <v>8.1379999999999981</v>
      </c>
      <c r="T662" s="304">
        <f t="shared" ca="1" si="291"/>
        <v>79.83377999999999</v>
      </c>
      <c r="U662" s="311">
        <f t="shared" ca="1" si="292"/>
        <v>0</v>
      </c>
      <c r="V662" s="306">
        <f t="shared" ca="1" si="293"/>
        <v>1.1624812057466869</v>
      </c>
      <c r="W662" s="304">
        <f t="shared" ca="1" si="294"/>
        <v>43.391864404148031</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4.3914505856568109</v>
      </c>
      <c r="AH662" s="304">
        <f t="shared" ca="1" si="318"/>
        <v>-5.2824970048520647</v>
      </c>
    </row>
    <row r="663" spans="1:34" x14ac:dyDescent="0.2">
      <c r="A663" s="347">
        <f t="shared" ca="1" si="296"/>
        <v>0.1</v>
      </c>
      <c r="B663" s="304">
        <f t="shared" ca="1" si="297"/>
        <v>29.900000000000112</v>
      </c>
      <c r="D663" s="306">
        <f t="shared" ca="1" si="298"/>
        <v>-0.87688443701870245</v>
      </c>
      <c r="E663" s="307">
        <f t="shared" ca="1" si="299"/>
        <v>-4.5505930835562847</v>
      </c>
      <c r="F663" s="304">
        <f t="shared" ca="1" si="300"/>
        <v>4.6343094121989639</v>
      </c>
      <c r="G663" s="306">
        <f t="shared" ca="1" si="301"/>
        <v>17.394512427640688</v>
      </c>
      <c r="H663" s="307">
        <f t="shared" ca="1" si="302"/>
        <v>-105.3103906334301</v>
      </c>
      <c r="I663" s="304">
        <f t="shared" ca="1" si="303"/>
        <v>106.73728232422347</v>
      </c>
      <c r="J663" s="306">
        <f t="shared" ca="1" si="304"/>
        <v>788.40289215255507</v>
      </c>
      <c r="K663" s="307">
        <f t="shared" ca="1" si="305"/>
        <v>513.21348480297468</v>
      </c>
      <c r="L663" s="304">
        <f t="shared" ca="1" si="290"/>
        <v>940.72695365771597</v>
      </c>
      <c r="M663" s="306">
        <f t="shared" ca="1" si="306"/>
        <v>-1.4071005649633217</v>
      </c>
      <c r="N663" s="304">
        <f t="shared" ca="1" si="307"/>
        <v>-80.62092372287205</v>
      </c>
      <c r="P663" s="310">
        <f t="shared" ca="1" si="308"/>
        <v>23</v>
      </c>
      <c r="Q663" s="304">
        <f t="shared" ca="1" si="309"/>
        <v>0</v>
      </c>
      <c r="R663" s="306">
        <f t="shared" ca="1" si="310"/>
        <v>0</v>
      </c>
      <c r="S663" s="307">
        <f t="shared" ca="1" si="311"/>
        <v>8.1379999999999981</v>
      </c>
      <c r="T663" s="304">
        <f t="shared" ca="1" si="291"/>
        <v>79.83377999999999</v>
      </c>
      <c r="U663" s="311">
        <f t="shared" ca="1" si="292"/>
        <v>0</v>
      </c>
      <c r="V663" s="306">
        <f t="shared" ca="1" si="293"/>
        <v>1.1637042386752909</v>
      </c>
      <c r="W663" s="304">
        <f t="shared" ca="1" si="294"/>
        <v>43.79338655478459</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4.3444239650071959</v>
      </c>
      <c r="AH663" s="304">
        <f t="shared" ca="1" si="318"/>
        <v>-5.3320059479169375</v>
      </c>
    </row>
    <row r="664" spans="1:34" x14ac:dyDescent="0.2">
      <c r="A664" s="347">
        <f t="shared" ca="1" si="296"/>
        <v>0.1</v>
      </c>
      <c r="B664" s="304">
        <f t="shared" ca="1" si="297"/>
        <v>30.000000000000114</v>
      </c>
      <c r="D664" s="306">
        <f t="shared" ca="1" si="298"/>
        <v>-0.87697449720529408</v>
      </c>
      <c r="E664" s="307">
        <f t="shared" ca="1" si="299"/>
        <v>-4.5005941019944951</v>
      </c>
      <c r="F664" s="304">
        <f t="shared" ca="1" si="300"/>
        <v>4.5852406196028701</v>
      </c>
      <c r="G664" s="306">
        <f t="shared" ca="1" si="301"/>
        <v>17.306814977920158</v>
      </c>
      <c r="H664" s="307">
        <f t="shared" ca="1" si="302"/>
        <v>-105.76045004362955</v>
      </c>
      <c r="I664" s="304">
        <f t="shared" ca="1" si="303"/>
        <v>107.1671527946461</v>
      </c>
      <c r="J664" s="306">
        <f t="shared" ca="1" si="304"/>
        <v>790.13795852283306</v>
      </c>
      <c r="K664" s="307">
        <f t="shared" ca="1" si="305"/>
        <v>502.6599427691217</v>
      </c>
      <c r="L664" s="304">
        <f t="shared" ca="1" si="290"/>
        <v>936.47477892535198</v>
      </c>
      <c r="M664" s="306">
        <f t="shared" ca="1" si="306"/>
        <v>-1.4085923408912659</v>
      </c>
      <c r="N664" s="304">
        <f t="shared" ca="1" si="307"/>
        <v>-80.706396187522472</v>
      </c>
      <c r="P664" s="310">
        <f t="shared" ca="1" si="308"/>
        <v>23</v>
      </c>
      <c r="Q664" s="304">
        <f t="shared" ca="1" si="309"/>
        <v>0</v>
      </c>
      <c r="R664" s="306">
        <f t="shared" ca="1" si="310"/>
        <v>0</v>
      </c>
      <c r="S664" s="307">
        <f t="shared" ca="1" si="311"/>
        <v>8.1379999999999981</v>
      </c>
      <c r="T664" s="304">
        <f t="shared" ca="1" si="291"/>
        <v>79.83377999999999</v>
      </c>
      <c r="U664" s="311">
        <f t="shared" ca="1" si="292"/>
        <v>0</v>
      </c>
      <c r="V664" s="306">
        <f t="shared" ca="1" si="293"/>
        <v>1.1649338006277241</v>
      </c>
      <c r="W664" s="304">
        <f t="shared" ca="1" si="294"/>
        <v>44.19348641609453</v>
      </c>
      <c r="Y664" s="314" t="str">
        <f t="shared" ca="1" si="312"/>
        <v/>
      </c>
      <c r="Z664" s="315" t="str">
        <f t="shared" ca="1" si="313"/>
        <v/>
      </c>
      <c r="AA664" s="316" t="str">
        <f t="shared" ca="1" si="314"/>
        <v/>
      </c>
      <c r="AC664" s="310">
        <f t="shared" ca="1" si="315"/>
        <v>30.000000000000114</v>
      </c>
      <c r="AD664" s="323">
        <f t="shared" ca="1" si="316"/>
        <v>790.13795852283306</v>
      </c>
      <c r="AE664" s="324" t="e">
        <f t="shared" ca="1" si="295"/>
        <v>#N/A</v>
      </c>
      <c r="AG664" s="306">
        <f t="shared" ca="1" si="317"/>
        <v>4.2975122579928167</v>
      </c>
      <c r="AH664" s="304">
        <f t="shared" ca="1" si="318"/>
        <v>-5.3813451160954289</v>
      </c>
    </row>
    <row r="665" spans="1:34" x14ac:dyDescent="0.2">
      <c r="A665" s="347">
        <f t="shared" ca="1" si="296"/>
        <v>0.1</v>
      </c>
      <c r="B665" s="304">
        <f t="shared" ca="1" si="297"/>
        <v>30.100000000000115</v>
      </c>
      <c r="D665" s="306">
        <f t="shared" ca="1" si="298"/>
        <v>-0.87699281846119992</v>
      </c>
      <c r="E665" s="307">
        <f t="shared" ca="1" si="299"/>
        <v>-4.4507727081026438</v>
      </c>
      <c r="F665" s="304">
        <f t="shared" ca="1" si="300"/>
        <v>4.5363525108641918</v>
      </c>
      <c r="G665" s="306">
        <f t="shared" ca="1" si="301"/>
        <v>17.219115696074038</v>
      </c>
      <c r="H665" s="307">
        <f t="shared" ca="1" si="302"/>
        <v>-106.20552731443981</v>
      </c>
      <c r="I665" s="304">
        <f t="shared" ca="1" si="303"/>
        <v>107.59234163030844</v>
      </c>
      <c r="J665" s="306">
        <f t="shared" ca="1" si="304"/>
        <v>791.86425505653278</v>
      </c>
      <c r="K665" s="307">
        <f t="shared" ca="1" si="305"/>
        <v>492.06164390121825</v>
      </c>
      <c r="L665" s="304">
        <f t="shared" ca="1" si="290"/>
        <v>932.29483525063404</v>
      </c>
      <c r="M665" s="306">
        <f t="shared" ca="1" si="306"/>
        <v>-1.4100648000678448</v>
      </c>
      <c r="N665" s="304">
        <f t="shared" ca="1" si="307"/>
        <v>-80.790761883845747</v>
      </c>
      <c r="P665" s="310">
        <f t="shared" ca="1" si="308"/>
        <v>23</v>
      </c>
      <c r="Q665" s="304">
        <f t="shared" ca="1" si="309"/>
        <v>0</v>
      </c>
      <c r="R665" s="306">
        <f t="shared" ca="1" si="310"/>
        <v>0</v>
      </c>
      <c r="S665" s="307">
        <f t="shared" ca="1" si="311"/>
        <v>8.1379999999999981</v>
      </c>
      <c r="T665" s="304">
        <f t="shared" ca="1" si="291"/>
        <v>79.83377999999999</v>
      </c>
      <c r="U665" s="311">
        <f t="shared" ca="1" si="292"/>
        <v>0</v>
      </c>
      <c r="V665" s="306">
        <f t="shared" ca="1" si="293"/>
        <v>1.166169851598764</v>
      </c>
      <c r="W665" s="304">
        <f t="shared" ca="1" si="294"/>
        <v>44.592124242777828</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4.2507219826738254</v>
      </c>
      <c r="AH665" s="304">
        <f t="shared" ca="1" si="318"/>
        <v>-5.4305095129140497</v>
      </c>
    </row>
    <row r="666" spans="1:34" x14ac:dyDescent="0.2">
      <c r="A666" s="347">
        <f t="shared" ca="1" si="296"/>
        <v>0.1</v>
      </c>
      <c r="B666" s="304">
        <f t="shared" ca="1" si="297"/>
        <v>30.200000000000117</v>
      </c>
      <c r="D666" s="306">
        <f t="shared" ca="1" si="298"/>
        <v>-0.8769401622252978</v>
      </c>
      <c r="E666" s="307">
        <f t="shared" ca="1" si="299"/>
        <v>-4.4011338307818466</v>
      </c>
      <c r="F666" s="304">
        <f t="shared" ca="1" si="300"/>
        <v>4.487650058168108</v>
      </c>
      <c r="G666" s="306">
        <f t="shared" ca="1" si="301"/>
        <v>17.13142167985151</v>
      </c>
      <c r="H666" s="307">
        <f t="shared" ca="1" si="302"/>
        <v>-106.64564069751799</v>
      </c>
      <c r="I666" s="304">
        <f t="shared" ca="1" si="303"/>
        <v>108.01286168117662</v>
      </c>
      <c r="J666" s="306">
        <f t="shared" ca="1" si="304"/>
        <v>793.5817819253291</v>
      </c>
      <c r="K666" s="307">
        <f t="shared" ca="1" si="305"/>
        <v>481.41908550062038</v>
      </c>
      <c r="L666" s="304">
        <f t="shared" ca="1" si="290"/>
        <v>928.18984075890114</v>
      </c>
      <c r="M666" s="306">
        <f t="shared" ca="1" si="306"/>
        <v>-1.4115183272988672</v>
      </c>
      <c r="N666" s="304">
        <f t="shared" ca="1" si="307"/>
        <v>-80.874042859590659</v>
      </c>
      <c r="P666" s="310">
        <f t="shared" ca="1" si="308"/>
        <v>23</v>
      </c>
      <c r="Q666" s="304">
        <f t="shared" ca="1" si="309"/>
        <v>0</v>
      </c>
      <c r="R666" s="306">
        <f t="shared" ca="1" si="310"/>
        <v>0</v>
      </c>
      <c r="S666" s="307">
        <f t="shared" ca="1" si="311"/>
        <v>8.1379999999999981</v>
      </c>
      <c r="T666" s="304">
        <f t="shared" ca="1" si="291"/>
        <v>79.83377999999999</v>
      </c>
      <c r="U666" s="311">
        <f t="shared" ca="1" si="292"/>
        <v>0</v>
      </c>
      <c r="V666" s="306">
        <f t="shared" ca="1" si="293"/>
        <v>1.1674123516757928</v>
      </c>
      <c r="W666" s="304">
        <f t="shared" ca="1" si="294"/>
        <v>44.989261203693772</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4.2040594926534878</v>
      </c>
      <c r="AH666" s="304">
        <f t="shared" ca="1" si="318"/>
        <v>-5.4794942544578324</v>
      </c>
    </row>
    <row r="667" spans="1:34" x14ac:dyDescent="0.2">
      <c r="A667" s="347">
        <f t="shared" ca="1" si="296"/>
        <v>0.1</v>
      </c>
      <c r="B667" s="304">
        <f t="shared" ca="1" si="297"/>
        <v>30.300000000000118</v>
      </c>
      <c r="D667" s="306">
        <f t="shared" ca="1" si="298"/>
        <v>-0.87681729712882284</v>
      </c>
      <c r="E667" s="307">
        <f t="shared" ca="1" si="299"/>
        <v>-4.3516822856595621</v>
      </c>
      <c r="F667" s="304">
        <f t="shared" ca="1" si="300"/>
        <v>4.4391381244412216</v>
      </c>
      <c r="G667" s="306">
        <f t="shared" ca="1" si="301"/>
        <v>17.043739950138626</v>
      </c>
      <c r="H667" s="307">
        <f t="shared" ca="1" si="302"/>
        <v>-107.08080892608395</v>
      </c>
      <c r="I667" s="304">
        <f t="shared" ca="1" si="303"/>
        <v>108.42872641395567</v>
      </c>
      <c r="J667" s="306">
        <f t="shared" ca="1" si="304"/>
        <v>795.29054000682856</v>
      </c>
      <c r="K667" s="307">
        <f t="shared" ca="1" si="305"/>
        <v>470.73276301944031</v>
      </c>
      <c r="L667" s="304">
        <f t="shared" ca="1" si="290"/>
        <v>924.16252748327202</v>
      </c>
      <c r="M667" s="306">
        <f t="shared" ca="1" si="306"/>
        <v>-1.4129532970043486</v>
      </c>
      <c r="N667" s="304">
        <f t="shared" ca="1" si="307"/>
        <v>-80.956260567443877</v>
      </c>
      <c r="P667" s="310">
        <f t="shared" ca="1" si="308"/>
        <v>23</v>
      </c>
      <c r="Q667" s="304">
        <f t="shared" ca="1" si="309"/>
        <v>0</v>
      </c>
      <c r="R667" s="306">
        <f t="shared" ca="1" si="310"/>
        <v>0</v>
      </c>
      <c r="S667" s="307">
        <f t="shared" ca="1" si="311"/>
        <v>8.1379999999999981</v>
      </c>
      <c r="T667" s="304">
        <f t="shared" ca="1" si="291"/>
        <v>79.83377999999999</v>
      </c>
      <c r="U667" s="311">
        <f t="shared" ca="1" si="292"/>
        <v>0</v>
      </c>
      <c r="V667" s="306">
        <f t="shared" ca="1" si="293"/>
        <v>1.1686612610428355</v>
      </c>
      <c r="W667" s="304">
        <f t="shared" ca="1" si="294"/>
        <v>45.384859379634335</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4.1575309793978059</v>
      </c>
      <c r="AH667" s="304">
        <f t="shared" ca="1" si="318"/>
        <v>-5.5282945691439886</v>
      </c>
    </row>
    <row r="668" spans="1:34" x14ac:dyDescent="0.2">
      <c r="A668" s="347">
        <f t="shared" ca="1" si="296"/>
        <v>0.1</v>
      </c>
      <c r="B668" s="304">
        <f t="shared" ca="1" si="297"/>
        <v>30.400000000000119</v>
      </c>
      <c r="D668" s="306">
        <f t="shared" ca="1" si="298"/>
        <v>-0.8766249985750606</v>
      </c>
      <c r="E668" s="307">
        <f t="shared" ca="1" si="299"/>
        <v>-4.3024227753497781</v>
      </c>
      <c r="F668" s="304">
        <f t="shared" ca="1" si="300"/>
        <v>4.3908214636870868</v>
      </c>
      <c r="G668" s="306">
        <f t="shared" ca="1" si="301"/>
        <v>16.956077450281121</v>
      </c>
      <c r="H668" s="307">
        <f t="shared" ca="1" si="302"/>
        <v>-107.51105120361892</v>
      </c>
      <c r="I668" s="304">
        <f t="shared" ca="1" si="303"/>
        <v>108.83994989619896</v>
      </c>
      <c r="J668" s="306">
        <f t="shared" ca="1" si="304"/>
        <v>796.99053087684956</v>
      </c>
      <c r="K668" s="307">
        <f t="shared" ca="1" si="305"/>
        <v>460.0031700129552</v>
      </c>
      <c r="L668" s="304">
        <f t="shared" ca="1" si="290"/>
        <v>920.21563925491409</v>
      </c>
      <c r="M668" s="306">
        <f t="shared" ca="1" si="306"/>
        <v>-1.4143700735611695</v>
      </c>
      <c r="N668" s="304">
        <f t="shared" ca="1" si="307"/>
        <v>-81.037435884662798</v>
      </c>
      <c r="P668" s="310">
        <f t="shared" ca="1" si="308"/>
        <v>23</v>
      </c>
      <c r="Q668" s="304">
        <f t="shared" ca="1" si="309"/>
        <v>0</v>
      </c>
      <c r="R668" s="306">
        <f t="shared" ca="1" si="310"/>
        <v>0</v>
      </c>
      <c r="S668" s="307">
        <f t="shared" ca="1" si="311"/>
        <v>8.1379999999999981</v>
      </c>
      <c r="T668" s="304">
        <f t="shared" ca="1" si="291"/>
        <v>79.83377999999999</v>
      </c>
      <c r="U668" s="311">
        <f t="shared" ca="1" si="292"/>
        <v>0</v>
      </c>
      <c r="V668" s="306">
        <f t="shared" ca="1" si="293"/>
        <v>1.169916539984533</v>
      </c>
      <c r="W668" s="304">
        <f t="shared" ca="1" si="294"/>
        <v>45.77888176072301</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4.1111424745055736</v>
      </c>
      <c r="AH668" s="304">
        <f t="shared" ca="1" si="318"/>
        <v>-5.5769057974483101</v>
      </c>
    </row>
    <row r="669" spans="1:34" x14ac:dyDescent="0.2">
      <c r="A669" s="347">
        <f t="shared" ca="1" si="296"/>
        <v>0.1</v>
      </c>
      <c r="B669" s="304">
        <f t="shared" ca="1" si="297"/>
        <v>30.500000000000121</v>
      </c>
      <c r="D669" s="306">
        <f t="shared" ca="1" si="298"/>
        <v>-0.87636404832572756</v>
      </c>
      <c r="E669" s="307">
        <f t="shared" ca="1" si="299"/>
        <v>-4.2533598897605902</v>
      </c>
      <c r="F669" s="304">
        <f t="shared" ca="1" si="300"/>
        <v>4.3427047213714722</v>
      </c>
      <c r="G669" s="306">
        <f t="shared" ca="1" si="301"/>
        <v>16.868441045448549</v>
      </c>
      <c r="H669" s="307">
        <f t="shared" ca="1" si="302"/>
        <v>-107.93638719259498</v>
      </c>
      <c r="I669" s="304">
        <f t="shared" ca="1" si="303"/>
        <v>109.24654678063538</v>
      </c>
      <c r="J669" s="306">
        <f t="shared" ca="1" si="304"/>
        <v>798.68175680163608</v>
      </c>
      <c r="K669" s="307">
        <f t="shared" ca="1" si="305"/>
        <v>449.23079809314447</v>
      </c>
      <c r="L669" s="304">
        <f t="shared" ca="1" si="290"/>
        <v>916.35192944804305</v>
      </c>
      <c r="M669" s="306">
        <f t="shared" ca="1" si="306"/>
        <v>-1.4157690116324788</v>
      </c>
      <c r="N669" s="304">
        <f t="shared" ca="1" si="307"/>
        <v>-81.117589131948989</v>
      </c>
      <c r="P669" s="310">
        <f t="shared" ca="1" si="308"/>
        <v>23</v>
      </c>
      <c r="Q669" s="304">
        <f t="shared" ca="1" si="309"/>
        <v>0</v>
      </c>
      <c r="R669" s="306">
        <f t="shared" ca="1" si="310"/>
        <v>0</v>
      </c>
      <c r="S669" s="307">
        <f t="shared" ca="1" si="311"/>
        <v>8.1379999999999981</v>
      </c>
      <c r="T669" s="304">
        <f t="shared" ca="1" si="291"/>
        <v>79.83377999999999</v>
      </c>
      <c r="U669" s="311">
        <f t="shared" ca="1" si="292"/>
        <v>0</v>
      </c>
      <c r="V669" s="306">
        <f t="shared" ca="1" si="293"/>
        <v>1.171178148890039</v>
      </c>
      <c r="W669" s="304">
        <f t="shared" ca="1" si="294"/>
        <v>46.171292243447674</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4.0648998519326573</v>
      </c>
      <c r="AH669" s="304">
        <f t="shared" ca="1" si="318"/>
        <v>-5.6253233915855274</v>
      </c>
    </row>
    <row r="670" spans="1:34" x14ac:dyDescent="0.2">
      <c r="A670" s="347">
        <f t="shared" ca="1" si="296"/>
        <v>0.1</v>
      </c>
      <c r="B670" s="304">
        <f t="shared" ca="1" si="297"/>
        <v>30.600000000000122</v>
      </c>
      <c r="D670" s="306">
        <f t="shared" ca="1" si="298"/>
        <v>-0.87603523409405382</v>
      </c>
      <c r="E670" s="307">
        <f t="shared" ca="1" si="299"/>
        <v>-4.2044981064480451</v>
      </c>
      <c r="F670" s="304">
        <f t="shared" ca="1" si="300"/>
        <v>4.29479243485636</v>
      </c>
      <c r="G670" s="306">
        <f t="shared" ca="1" si="301"/>
        <v>16.780837522039143</v>
      </c>
      <c r="H670" s="307">
        <f t="shared" ca="1" si="302"/>
        <v>-108.35683700323979</v>
      </c>
      <c r="I670" s="304">
        <f t="shared" ca="1" si="303"/>
        <v>109.6485322897108</v>
      </c>
      <c r="J670" s="306">
        <f t="shared" ca="1" si="304"/>
        <v>800.36422073001052</v>
      </c>
      <c r="K670" s="307">
        <f t="shared" ca="1" si="305"/>
        <v>438.41613688335275</v>
      </c>
      <c r="L670" s="304">
        <f t="shared" ca="1" si="290"/>
        <v>912.57415857807405</v>
      </c>
      <c r="M670" s="306">
        <f t="shared" ca="1" si="306"/>
        <v>-1.4171504564844308</v>
      </c>
      <c r="N670" s="304">
        <f t="shared" ca="1" si="307"/>
        <v>-81.196740091595913</v>
      </c>
      <c r="P670" s="310">
        <f t="shared" ca="1" si="308"/>
        <v>23</v>
      </c>
      <c r="Q670" s="304">
        <f t="shared" ca="1" si="309"/>
        <v>0</v>
      </c>
      <c r="R670" s="306">
        <f t="shared" ca="1" si="310"/>
        <v>0</v>
      </c>
      <c r="S670" s="307">
        <f t="shared" ca="1" si="311"/>
        <v>8.1379999999999981</v>
      </c>
      <c r="T670" s="304">
        <f t="shared" ca="1" si="291"/>
        <v>79.83377999999999</v>
      </c>
      <c r="U670" s="311">
        <f t="shared" ca="1" si="292"/>
        <v>0</v>
      </c>
      <c r="V670" s="306">
        <f t="shared" ca="1" si="293"/>
        <v>1.1724460482568488</v>
      </c>
      <c r="W670" s="304">
        <f t="shared" ca="1" si="294"/>
        <v>46.562055627337863</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4.0188088301742093</v>
      </c>
      <c r="AH670" s="304">
        <f t="shared" ca="1" si="318"/>
        <v>-5.6735429151447141</v>
      </c>
    </row>
    <row r="671" spans="1:34" x14ac:dyDescent="0.2">
      <c r="A671" s="347">
        <f t="shared" ca="1" si="296"/>
        <v>0.1</v>
      </c>
      <c r="B671" s="304">
        <f t="shared" ca="1" si="297"/>
        <v>30.700000000000124</v>
      </c>
      <c r="D671" s="306">
        <f t="shared" ca="1" si="298"/>
        <v>-0.87563934914458119</v>
      </c>
      <c r="E671" s="307">
        <f t="shared" ca="1" si="299"/>
        <v>-4.1558417910149261</v>
      </c>
      <c r="F671" s="304">
        <f t="shared" ca="1" si="300"/>
        <v>4.2470890338815002</v>
      </c>
      <c r="G671" s="306">
        <f t="shared" ca="1" si="301"/>
        <v>16.693273587124686</v>
      </c>
      <c r="H671" s="307">
        <f t="shared" ca="1" si="302"/>
        <v>-108.77242118234128</v>
      </c>
      <c r="I671" s="304">
        <f t="shared" ca="1" si="303"/>
        <v>110.0459222003398</v>
      </c>
      <c r="J671" s="306">
        <f t="shared" ca="1" si="304"/>
        <v>802.03792628546876</v>
      </c>
      <c r="K671" s="307">
        <f t="shared" ca="1" si="305"/>
        <v>427.55967397407369</v>
      </c>
      <c r="L671" s="304">
        <f t="shared" ca="1" si="290"/>
        <v>908.88509175203831</v>
      </c>
      <c r="M671" s="306">
        <f t="shared" ca="1" si="306"/>
        <v>-1.4185147442908095</v>
      </c>
      <c r="N671" s="304">
        <f t="shared" ca="1" si="307"/>
        <v>-81.274908024942576</v>
      </c>
      <c r="P671" s="310">
        <f t="shared" ca="1" si="308"/>
        <v>23</v>
      </c>
      <c r="Q671" s="304">
        <f t="shared" ca="1" si="309"/>
        <v>0</v>
      </c>
      <c r="R671" s="306">
        <f t="shared" ca="1" si="310"/>
        <v>0</v>
      </c>
      <c r="S671" s="307">
        <f t="shared" ca="1" si="311"/>
        <v>8.1379999999999981</v>
      </c>
      <c r="T671" s="304">
        <f t="shared" ca="1" si="291"/>
        <v>79.83377999999999</v>
      </c>
      <c r="U671" s="311">
        <f t="shared" ca="1" si="292"/>
        <v>0</v>
      </c>
      <c r="V671" s="306">
        <f t="shared" ca="1" si="293"/>
        <v>1.1737201986945569</v>
      </c>
      <c r="W671" s="304">
        <f t="shared" ca="1" si="294"/>
        <v>46.951137611295742</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3.9728749744079765</v>
      </c>
      <c r="AH671" s="304">
        <f t="shared" ca="1" si="318"/>
        <v>-5.7215600426809869</v>
      </c>
    </row>
    <row r="672" spans="1:34" x14ac:dyDescent="0.2">
      <c r="A672" s="347">
        <f t="shared" ca="1" si="296"/>
        <v>0.1</v>
      </c>
      <c r="B672" s="304">
        <f t="shared" ca="1" si="297"/>
        <v>30.800000000000125</v>
      </c>
      <c r="D672" s="306">
        <f t="shared" ca="1" si="298"/>
        <v>-0.87517719189971066</v>
      </c>
      <c r="E672" s="307">
        <f t="shared" ca="1" si="299"/>
        <v>-4.1073951975532905</v>
      </c>
      <c r="F672" s="304">
        <f t="shared" ca="1" si="300"/>
        <v>4.1995988410924801</v>
      </c>
      <c r="G672" s="306">
        <f t="shared" ca="1" si="301"/>
        <v>16.605755867934715</v>
      </c>
      <c r="H672" s="307">
        <f t="shared" ca="1" si="302"/>
        <v>-109.1831607020966</v>
      </c>
      <c r="I672" s="304">
        <f t="shared" ca="1" si="303"/>
        <v>110.43873282886445</v>
      </c>
      <c r="J672" s="306">
        <f t="shared" ca="1" si="304"/>
        <v>803.70287775822169</v>
      </c>
      <c r="K672" s="307">
        <f t="shared" ca="1" si="305"/>
        <v>416.66189487985179</v>
      </c>
      <c r="L672" s="304">
        <f t="shared" ca="1" si="290"/>
        <v>905.28749597115041</v>
      </c>
      <c r="M672" s="306">
        <f t="shared" ca="1" si="306"/>
        <v>-1.4198622024260716</v>
      </c>
      <c r="N672" s="304">
        <f t="shared" ca="1" si="307"/>
        <v>-81.352111689163664</v>
      </c>
      <c r="P672" s="310">
        <f t="shared" ca="1" si="308"/>
        <v>23</v>
      </c>
      <c r="Q672" s="304">
        <f t="shared" ca="1" si="309"/>
        <v>0</v>
      </c>
      <c r="R672" s="306">
        <f t="shared" ca="1" si="310"/>
        <v>0</v>
      </c>
      <c r="S672" s="307">
        <f t="shared" ca="1" si="311"/>
        <v>8.1379999999999981</v>
      </c>
      <c r="T672" s="304">
        <f t="shared" ca="1" si="291"/>
        <v>79.83377999999999</v>
      </c>
      <c r="U672" s="311">
        <f t="shared" ca="1" si="292"/>
        <v>0</v>
      </c>
      <c r="V672" s="306">
        <f t="shared" ca="1" si="293"/>
        <v>1.1750005609285403</v>
      </c>
      <c r="W672" s="304">
        <f t="shared" ca="1" si="294"/>
        <v>47.338504789590232</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3.9271036986017878</v>
      </c>
      <c r="AH672" s="304">
        <f t="shared" ca="1" si="318"/>
        <v>-5.7693705592646536</v>
      </c>
    </row>
    <row r="673" spans="1:34" x14ac:dyDescent="0.2">
      <c r="A673" s="347">
        <f t="shared" ca="1" si="296"/>
        <v>0.1</v>
      </c>
      <c r="B673" s="304">
        <f t="shared" ca="1" si="297"/>
        <v>30.900000000000126</v>
      </c>
      <c r="D673" s="306">
        <f t="shared" ca="1" si="298"/>
        <v>-0.87464956555299123</v>
      </c>
      <c r="E673" s="307">
        <f t="shared" ca="1" si="299"/>
        <v>-4.0591624691295465</v>
      </c>
      <c r="F673" s="304">
        <f t="shared" ca="1" si="300"/>
        <v>4.1523260726142297</v>
      </c>
      <c r="G673" s="306">
        <f t="shared" ca="1" si="301"/>
        <v>16.518290911379417</v>
      </c>
      <c r="H673" s="307">
        <f t="shared" ca="1" si="302"/>
        <v>-109.58907694900955</v>
      </c>
      <c r="I673" s="304">
        <f t="shared" ca="1" si="303"/>
        <v>110.82698101621688</v>
      </c>
      <c r="J673" s="306">
        <f t="shared" ca="1" si="304"/>
        <v>805.35908009718742</v>
      </c>
      <c r="K673" s="307">
        <f t="shared" ca="1" si="305"/>
        <v>405.72328299729645</v>
      </c>
      <c r="L673" s="304">
        <f t="shared" ca="1" si="290"/>
        <v>901.7841372862423</v>
      </c>
      <c r="M673" s="306">
        <f t="shared" ca="1" si="306"/>
        <v>-1.4211931497473107</v>
      </c>
      <c r="N673" s="304">
        <f t="shared" ca="1" si="307"/>
        <v>-81.428369353424898</v>
      </c>
      <c r="P673" s="310">
        <f t="shared" ca="1" si="308"/>
        <v>23</v>
      </c>
      <c r="Q673" s="304">
        <f t="shared" ca="1" si="309"/>
        <v>0</v>
      </c>
      <c r="R673" s="306">
        <f t="shared" ca="1" si="310"/>
        <v>0</v>
      </c>
      <c r="S673" s="307">
        <f t="shared" ca="1" si="311"/>
        <v>8.1379999999999981</v>
      </c>
      <c r="T673" s="304">
        <f t="shared" ca="1" si="291"/>
        <v>79.83377999999999</v>
      </c>
      <c r="U673" s="311">
        <f t="shared" ca="1" si="292"/>
        <v>0</v>
      </c>
      <c r="V673" s="306">
        <f t="shared" ca="1" si="293"/>
        <v>1.1762870958035765</v>
      </c>
      <c r="W673" s="304">
        <f t="shared" ca="1" si="294"/>
        <v>47.724124647524476</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3.8815002675880512</v>
      </c>
      <c r="AH673" s="304">
        <f t="shared" ca="1" si="318"/>
        <v>-5.8169703599889706</v>
      </c>
    </row>
    <row r="674" spans="1:34" x14ac:dyDescent="0.2">
      <c r="A674" s="347">
        <f t="shared" ca="1" si="296"/>
        <v>0.1</v>
      </c>
      <c r="B674" s="304">
        <f t="shared" ca="1" si="297"/>
        <v>31.000000000000128</v>
      </c>
      <c r="D674" s="306">
        <f t="shared" ca="1" si="298"/>
        <v>-0.87405727768919061</v>
      </c>
      <c r="E674" s="307">
        <f t="shared" ca="1" si="299"/>
        <v>-4.0111476383107583</v>
      </c>
      <c r="F674" s="304">
        <f t="shared" ca="1" si="300"/>
        <v>4.1052748386688327</v>
      </c>
      <c r="G674" s="306">
        <f t="shared" ca="1" si="301"/>
        <v>16.430885183610499</v>
      </c>
      <c r="H674" s="307">
        <f t="shared" ca="1" si="302"/>
        <v>-109.99019171284063</v>
      </c>
      <c r="I674" s="304">
        <f t="shared" ca="1" si="303"/>
        <v>111.21068411328304</v>
      </c>
      <c r="J674" s="306">
        <f t="shared" ca="1" si="304"/>
        <v>807.00653890193689</v>
      </c>
      <c r="K674" s="307">
        <f t="shared" ca="1" si="305"/>
        <v>394.74431956420392</v>
      </c>
      <c r="L674" s="304">
        <f t="shared" ca="1" si="290"/>
        <v>898.37777780769363</v>
      </c>
      <c r="M674" s="306">
        <f t="shared" ca="1" si="306"/>
        <v>-1.4225078968656215</v>
      </c>
      <c r="N674" s="304">
        <f t="shared" ca="1" si="307"/>
        <v>-81.503698814431104</v>
      </c>
      <c r="P674" s="310">
        <f t="shared" ca="1" si="308"/>
        <v>23</v>
      </c>
      <c r="Q674" s="304">
        <f t="shared" ca="1" si="309"/>
        <v>0</v>
      </c>
      <c r="R674" s="306">
        <f t="shared" ca="1" si="310"/>
        <v>0</v>
      </c>
      <c r="S674" s="307">
        <f t="shared" ca="1" si="311"/>
        <v>8.1379999999999981</v>
      </c>
      <c r="T674" s="304">
        <f t="shared" ca="1" si="291"/>
        <v>79.83377999999999</v>
      </c>
      <c r="U674" s="311">
        <f t="shared" ca="1" si="292"/>
        <v>0</v>
      </c>
      <c r="V674" s="306">
        <f t="shared" ca="1" si="293"/>
        <v>1.1775797642873826</v>
      </c>
      <c r="W674" s="304">
        <f t="shared" ca="1" si="294"/>
        <v>48.107965556785764</v>
      </c>
      <c r="Y674" s="314" t="str">
        <f t="shared" ca="1" si="312"/>
        <v/>
      </c>
      <c r="Z674" s="315" t="str">
        <f t="shared" ca="1" si="313"/>
        <v/>
      </c>
      <c r="AA674" s="316" t="str">
        <f t="shared" ca="1" si="314"/>
        <v/>
      </c>
      <c r="AC674" s="310">
        <f t="shared" ca="1" si="315"/>
        <v>31.000000000000128</v>
      </c>
      <c r="AD674" s="323">
        <f t="shared" ca="1" si="316"/>
        <v>807.00653890193689</v>
      </c>
      <c r="AE674" s="324" t="e">
        <f t="shared" ca="1" si="295"/>
        <v>#N/A</v>
      </c>
      <c r="AG674" s="306">
        <f t="shared" ca="1" si="317"/>
        <v>3.8360697991077473</v>
      </c>
      <c r="AH674" s="304">
        <f t="shared" ca="1" si="318"/>
        <v>-5.8643554494377597</v>
      </c>
    </row>
    <row r="675" spans="1:34" x14ac:dyDescent="0.2">
      <c r="A675" s="347">
        <f t="shared" ca="1" si="296"/>
        <v>0.1</v>
      </c>
      <c r="B675" s="304">
        <f t="shared" ca="1" si="297"/>
        <v>31.100000000000129</v>
      </c>
      <c r="D675" s="306">
        <f t="shared" ca="1" si="298"/>
        <v>-0.87340113991113466</v>
      </c>
      <c r="E675" s="307">
        <f t="shared" ca="1" si="299"/>
        <v>-3.9633546277310252</v>
      </c>
      <c r="F675" s="304">
        <f t="shared" ca="1" si="300"/>
        <v>4.0584491442366257</v>
      </c>
      <c r="G675" s="306">
        <f t="shared" ca="1" si="301"/>
        <v>16.343545069619385</v>
      </c>
      <c r="H675" s="307">
        <f t="shared" ca="1" si="302"/>
        <v>-110.38652717561374</v>
      </c>
      <c r="I675" s="304">
        <f t="shared" ca="1" si="303"/>
        <v>111.58985996646466</v>
      </c>
      <c r="J675" s="306">
        <f t="shared" ca="1" si="304"/>
        <v>808.6452604145984</v>
      </c>
      <c r="K675" s="307">
        <f t="shared" ca="1" si="305"/>
        <v>383.72548361978119</v>
      </c>
      <c r="L675" s="304">
        <f t="shared" ca="1" si="290"/>
        <v>895.07117257245454</v>
      </c>
      <c r="M675" s="306">
        <f t="shared" ca="1" si="306"/>
        <v>-1.4238067464073203</v>
      </c>
      <c r="N675" s="304">
        <f t="shared" ca="1" si="307"/>
        <v>-81.578117411392938</v>
      </c>
      <c r="P675" s="310">
        <f t="shared" ca="1" si="308"/>
        <v>23</v>
      </c>
      <c r="Q675" s="304">
        <f t="shared" ca="1" si="309"/>
        <v>0</v>
      </c>
      <c r="R675" s="306">
        <f t="shared" ca="1" si="310"/>
        <v>0</v>
      </c>
      <c r="S675" s="307">
        <f t="shared" ca="1" si="311"/>
        <v>8.1379999999999981</v>
      </c>
      <c r="T675" s="304">
        <f t="shared" ca="1" si="291"/>
        <v>79.83377999999999</v>
      </c>
      <c r="U675" s="311">
        <f t="shared" ca="1" si="292"/>
        <v>0</v>
      </c>
      <c r="V675" s="306">
        <f t="shared" ca="1" si="293"/>
        <v>1.1788785274740896</v>
      </c>
      <c r="W675" s="304">
        <f t="shared" ca="1" si="294"/>
        <v>48.489996770488005</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3.7908172658263659</v>
      </c>
      <c r="AH675" s="304">
        <f t="shared" ca="1" si="318"/>
        <v>-5.911521941114005</v>
      </c>
    </row>
    <row r="676" spans="1:34" x14ac:dyDescent="0.2">
      <c r="A676" s="347">
        <f t="shared" ca="1" si="296"/>
        <v>0.1</v>
      </c>
      <c r="B676" s="304">
        <f t="shared" ca="1" si="297"/>
        <v>31.200000000000131</v>
      </c>
      <c r="D676" s="306">
        <f t="shared" ca="1" si="298"/>
        <v>-0.87268196747334514</v>
      </c>
      <c r="E676" s="307">
        <f t="shared" ca="1" si="299"/>
        <v>-3.9157872506966536</v>
      </c>
      <c r="F676" s="304">
        <f t="shared" ca="1" si="300"/>
        <v>4.0118528897594947</v>
      </c>
      <c r="G676" s="306">
        <f t="shared" ca="1" si="301"/>
        <v>16.25627687287205</v>
      </c>
      <c r="H676" s="307">
        <f t="shared" ca="1" si="302"/>
        <v>-110.7781059006834</v>
      </c>
      <c r="I676" s="304">
        <f t="shared" ca="1" si="303"/>
        <v>111.96452690343715</v>
      </c>
      <c r="J676" s="306">
        <f t="shared" ca="1" si="304"/>
        <v>810.27525151172301</v>
      </c>
      <c r="K676" s="307">
        <f t="shared" ca="1" si="305"/>
        <v>372.66725196596633</v>
      </c>
      <c r="L676" s="304">
        <f t="shared" ca="1" si="290"/>
        <v>891.8670662717908</v>
      </c>
      <c r="M676" s="306">
        <f t="shared" ca="1" si="306"/>
        <v>-1.4250899932654553</v>
      </c>
      <c r="N676" s="304">
        <f t="shared" ca="1" si="307"/>
        <v>-81.651642040437494</v>
      </c>
      <c r="P676" s="310">
        <f t="shared" ca="1" si="308"/>
        <v>23</v>
      </c>
      <c r="Q676" s="304">
        <f t="shared" ca="1" si="309"/>
        <v>0</v>
      </c>
      <c r="R676" s="306">
        <f t="shared" ca="1" si="310"/>
        <v>0</v>
      </c>
      <c r="S676" s="307">
        <f t="shared" ca="1" si="311"/>
        <v>8.1379999999999981</v>
      </c>
      <c r="T676" s="304">
        <f t="shared" ca="1" si="291"/>
        <v>79.83377999999999</v>
      </c>
      <c r="U676" s="311">
        <f t="shared" ca="1" si="292"/>
        <v>0</v>
      </c>
      <c r="V676" s="306">
        <f t="shared" ca="1" si="293"/>
        <v>1.1801833465876439</v>
      </c>
      <c r="W676" s="304">
        <f t="shared" ca="1" si="294"/>
        <v>48.870188417916246</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3.745747497323844</v>
      </c>
      <c r="AH676" s="304">
        <f t="shared" ca="1" si="318"/>
        <v>-5.9584660568306731</v>
      </c>
    </row>
    <row r="677" spans="1:34" x14ac:dyDescent="0.2">
      <c r="A677" s="347">
        <f t="shared" ca="1" si="296"/>
        <v>0.1</v>
      </c>
      <c r="B677" s="304">
        <f t="shared" ca="1" si="297"/>
        <v>31.300000000000132</v>
      </c>
      <c r="D677" s="306">
        <f t="shared" ca="1" si="298"/>
        <v>-0.8719005789224713</v>
      </c>
      <c r="E677" s="307">
        <f t="shared" ca="1" si="299"/>
        <v>-3.8684492118288967</v>
      </c>
      <c r="F677" s="304">
        <f t="shared" ca="1" si="300"/>
        <v>3.9654898718853073</v>
      </c>
      <c r="G677" s="306">
        <f t="shared" ca="1" si="301"/>
        <v>16.169086814979803</v>
      </c>
      <c r="H677" s="307">
        <f t="shared" ca="1" si="302"/>
        <v>-111.16495082186628</v>
      </c>
      <c r="I677" s="304">
        <f t="shared" ca="1" si="303"/>
        <v>112.33470371910144</v>
      </c>
      <c r="J677" s="306">
        <f t="shared" ca="1" si="304"/>
        <v>811.89651969611566</v>
      </c>
      <c r="K677" s="307">
        <f t="shared" ca="1" si="305"/>
        <v>361.57009912983887</v>
      </c>
      <c r="L677" s="304">
        <f t="shared" ca="1" si="290"/>
        <v>888.76818984447607</v>
      </c>
      <c r="M677" s="306">
        <f t="shared" ca="1" si="306"/>
        <v>-1.4263579248420202</v>
      </c>
      <c r="N677" s="304">
        <f t="shared" ca="1" si="307"/>
        <v>-81.724289168486038</v>
      </c>
      <c r="P677" s="310">
        <f t="shared" ca="1" si="308"/>
        <v>23</v>
      </c>
      <c r="Q677" s="304">
        <f t="shared" ca="1" si="309"/>
        <v>0</v>
      </c>
      <c r="R677" s="306">
        <f t="shared" ca="1" si="310"/>
        <v>0</v>
      </c>
      <c r="S677" s="307">
        <f t="shared" ca="1" si="311"/>
        <v>8.1379999999999981</v>
      </c>
      <c r="T677" s="304">
        <f t="shared" ca="1" si="291"/>
        <v>79.83377999999999</v>
      </c>
      <c r="U677" s="311">
        <f t="shared" ca="1" si="292"/>
        <v>0</v>
      </c>
      <c r="V677" s="306">
        <f t="shared" ca="1" si="293"/>
        <v>1.1814941829851342</v>
      </c>
      <c r="W677" s="304">
        <f t="shared" ca="1" si="294"/>
        <v>49.248511498982921</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3.7008651820605794</v>
      </c>
      <c r="AH677" s="304">
        <f t="shared" ca="1" si="318"/>
        <v>-6.0051841260649121</v>
      </c>
    </row>
    <row r="678" spans="1:34" x14ac:dyDescent="0.2">
      <c r="A678" s="347">
        <f t="shared" ca="1" si="296"/>
        <v>0.1</v>
      </c>
      <c r="B678" s="304">
        <f t="shared" ca="1" si="297"/>
        <v>31.400000000000134</v>
      </c>
      <c r="D678" s="306">
        <f t="shared" ca="1" si="298"/>
        <v>-0.87105779574452213</v>
      </c>
      <c r="E678" s="307">
        <f t="shared" ca="1" si="299"/>
        <v>-3.8213441077430428</v>
      </c>
      <c r="F678" s="304">
        <f t="shared" ca="1" si="300"/>
        <v>3.9193637842524618</v>
      </c>
      <c r="G678" s="306">
        <f t="shared" ca="1" si="301"/>
        <v>16.081981035405352</v>
      </c>
      <c r="H678" s="307">
        <f t="shared" ca="1" si="302"/>
        <v>-111.54708523264058</v>
      </c>
      <c r="I678" s="304">
        <f t="shared" ca="1" si="303"/>
        <v>112.70040966172715</v>
      </c>
      <c r="J678" s="306">
        <f t="shared" ca="1" si="304"/>
        <v>813.50907308863486</v>
      </c>
      <c r="K678" s="307">
        <f t="shared" ca="1" si="305"/>
        <v>350.43449732711355</v>
      </c>
      <c r="L678" s="304">
        <f t="shared" ca="1" si="290"/>
        <v>885.77725694129026</v>
      </c>
      <c r="M678" s="306">
        <f t="shared" ca="1" si="306"/>
        <v>-1.427610821281263</v>
      </c>
      <c r="N678" s="304">
        <f t="shared" ca="1" si="307"/>
        <v>-81.796074846621622</v>
      </c>
      <c r="P678" s="310">
        <f t="shared" ca="1" si="308"/>
        <v>23</v>
      </c>
      <c r="Q678" s="304">
        <f t="shared" ca="1" si="309"/>
        <v>0</v>
      </c>
      <c r="R678" s="306">
        <f t="shared" ca="1" si="310"/>
        <v>0</v>
      </c>
      <c r="S678" s="307">
        <f t="shared" ca="1" si="311"/>
        <v>8.1379999999999981</v>
      </c>
      <c r="T678" s="304">
        <f t="shared" ca="1" si="291"/>
        <v>79.83377999999999</v>
      </c>
      <c r="U678" s="311">
        <f t="shared" ca="1" si="292"/>
        <v>0</v>
      </c>
      <c r="V678" s="306">
        <f t="shared" ca="1" si="293"/>
        <v>1.1828109981600543</v>
      </c>
      <c r="W678" s="304">
        <f t="shared" ca="1" si="294"/>
        <v>49.624937878405611</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3.6561748693212381</v>
      </c>
      <c r="AH678" s="304">
        <f t="shared" ca="1" si="318"/>
        <v>-6.0516725852768412</v>
      </c>
    </row>
    <row r="679" spans="1:34" x14ac:dyDescent="0.2">
      <c r="A679" s="347">
        <f t="shared" ca="1" si="296"/>
        <v>0.1</v>
      </c>
      <c r="B679" s="304">
        <f t="shared" ca="1" si="297"/>
        <v>31.500000000000135</v>
      </c>
      <c r="D679" s="306">
        <f t="shared" ca="1" si="298"/>
        <v>-0.87015444201891523</v>
      </c>
      <c r="E679" s="307">
        <f t="shared" ca="1" si="299"/>
        <v>-3.77447542776261</v>
      </c>
      <c r="F679" s="304">
        <f t="shared" ca="1" si="300"/>
        <v>3.8734782183134819</v>
      </c>
      <c r="G679" s="306">
        <f t="shared" ca="1" si="301"/>
        <v>15.99496559120346</v>
      </c>
      <c r="H679" s="307">
        <f t="shared" ca="1" si="302"/>
        <v>-111.92453277541685</v>
      </c>
      <c r="I679" s="304">
        <f t="shared" ca="1" si="303"/>
        <v>113.06166441928556</v>
      </c>
      <c r="J679" s="306">
        <f t="shared" ca="1" si="304"/>
        <v>815.11292041996535</v>
      </c>
      <c r="K679" s="307">
        <f t="shared" ca="1" si="305"/>
        <v>339.26091642671065</v>
      </c>
      <c r="L679" s="304">
        <f t="shared" ca="1" si="290"/>
        <v>882.89696026787647</v>
      </c>
      <c r="M679" s="306">
        <f t="shared" ca="1" si="306"/>
        <v>-1.4288489556944683</v>
      </c>
      <c r="N679" s="304">
        <f t="shared" ca="1" si="307"/>
        <v>-81.867014722968193</v>
      </c>
      <c r="P679" s="310">
        <f t="shared" ca="1" si="308"/>
        <v>23</v>
      </c>
      <c r="Q679" s="304">
        <f t="shared" ca="1" si="309"/>
        <v>0</v>
      </c>
      <c r="R679" s="306">
        <f t="shared" ca="1" si="310"/>
        <v>0</v>
      </c>
      <c r="S679" s="307">
        <f t="shared" ca="1" si="311"/>
        <v>8.1379999999999981</v>
      </c>
      <c r="T679" s="304">
        <f t="shared" ca="1" si="291"/>
        <v>79.83377999999999</v>
      </c>
      <c r="U679" s="311">
        <f t="shared" ca="1" si="292"/>
        <v>0</v>
      </c>
      <c r="V679" s="306">
        <f t="shared" ca="1" si="293"/>
        <v>1.184133753745489</v>
      </c>
      <c r="W679" s="304">
        <f t="shared" ca="1" si="294"/>
        <v>49.999440279615591</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3.6116809711380382</v>
      </c>
      <c r="AH679" s="304">
        <f t="shared" ca="1" si="318"/>
        <v>-6.0979279771941046</v>
      </c>
    </row>
    <row r="680" spans="1:34" x14ac:dyDescent="0.2">
      <c r="A680" s="347">
        <f t="shared" ca="1" si="296"/>
        <v>0.1</v>
      </c>
      <c r="B680" s="304">
        <f t="shared" ca="1" si="297"/>
        <v>31.600000000000136</v>
      </c>
      <c r="D680" s="306">
        <f t="shared" ca="1" si="298"/>
        <v>-0.86919134407931098</v>
      </c>
      <c r="E680" s="307">
        <f t="shared" ca="1" si="299"/>
        <v>-3.7278465546674653</v>
      </c>
      <c r="F680" s="304">
        <f t="shared" ca="1" si="300"/>
        <v>3.8278366641966963</v>
      </c>
      <c r="G680" s="306">
        <f t="shared" ca="1" si="301"/>
        <v>15.908046456795528</v>
      </c>
      <c r="H680" s="307">
        <f t="shared" ca="1" si="302"/>
        <v>-112.2973174308836</v>
      </c>
      <c r="I680" s="304">
        <f t="shared" ca="1" si="303"/>
        <v>113.41848810597061</v>
      </c>
      <c r="J680" s="306">
        <f t="shared" ca="1" si="304"/>
        <v>816.70807102236529</v>
      </c>
      <c r="K680" s="307">
        <f t="shared" ca="1" si="305"/>
        <v>328.04982391639561</v>
      </c>
      <c r="L680" s="304">
        <f t="shared" ca="1" si="290"/>
        <v>880.12996781421498</v>
      </c>
      <c r="M680" s="306">
        <f t="shared" ca="1" si="306"/>
        <v>-1.4300725943765644</v>
      </c>
      <c r="N680" s="304">
        <f t="shared" ca="1" si="307"/>
        <v>-81.937124055101251</v>
      </c>
      <c r="P680" s="310">
        <f t="shared" ca="1" si="308"/>
        <v>23</v>
      </c>
      <c r="Q680" s="304">
        <f t="shared" ca="1" si="309"/>
        <v>0</v>
      </c>
      <c r="R680" s="306">
        <f t="shared" ca="1" si="310"/>
        <v>0</v>
      </c>
      <c r="S680" s="307">
        <f t="shared" ca="1" si="311"/>
        <v>8.1379999999999981</v>
      </c>
      <c r="T680" s="304">
        <f t="shared" ca="1" si="291"/>
        <v>79.83377999999999</v>
      </c>
      <c r="U680" s="311">
        <f t="shared" ca="1" si="292"/>
        <v>0</v>
      </c>
      <c r="V680" s="306">
        <f t="shared" ca="1" si="293"/>
        <v>1.1854624115172341</v>
      </c>
      <c r="W680" s="304">
        <f t="shared" ca="1" si="294"/>
        <v>50.371992278407191</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3.567387764195022</v>
      </c>
      <c r="AH680" s="304">
        <f t="shared" ca="1" si="318"/>
        <v>-6.1439469500633574</v>
      </c>
    </row>
    <row r="681" spans="1:34" x14ac:dyDescent="0.2">
      <c r="A681" s="347">
        <f t="shared" ca="1" si="296"/>
        <v>0.1</v>
      </c>
      <c r="B681" s="304">
        <f t="shared" ca="1" si="297"/>
        <v>31.700000000000138</v>
      </c>
      <c r="D681" s="306">
        <f t="shared" ca="1" si="298"/>
        <v>-0.86816933018127418</v>
      </c>
      <c r="E681" s="307">
        <f t="shared" ca="1" si="299"/>
        <v>-3.6814607654745997</v>
      </c>
      <c r="F681" s="304">
        <f t="shared" ca="1" si="300"/>
        <v>3.7824425116049323</v>
      </c>
      <c r="G681" s="306">
        <f t="shared" ca="1" si="301"/>
        <v>15.821229523777401</v>
      </c>
      <c r="H681" s="307">
        <f t="shared" ca="1" si="302"/>
        <v>-112.66546350743106</v>
      </c>
      <c r="I681" s="304">
        <f t="shared" ca="1" si="303"/>
        <v>113.77090124890603</v>
      </c>
      <c r="J681" s="306">
        <f t="shared" ca="1" si="304"/>
        <v>818.29453482139388</v>
      </c>
      <c r="K681" s="307">
        <f t="shared" ca="1" si="305"/>
        <v>316.80168486947986</v>
      </c>
      <c r="L681" s="304">
        <f t="shared" ca="1" si="290"/>
        <v>877.47891898022408</v>
      </c>
      <c r="M681" s="306">
        <f t="shared" ca="1" si="306"/>
        <v>-1.4312819970149013</v>
      </c>
      <c r="N681" s="304">
        <f t="shared" ca="1" si="307"/>
        <v>-82.006417722009942</v>
      </c>
      <c r="P681" s="310">
        <f t="shared" ca="1" si="308"/>
        <v>23</v>
      </c>
      <c r="Q681" s="304">
        <f t="shared" ca="1" si="309"/>
        <v>0</v>
      </c>
      <c r="R681" s="306">
        <f t="shared" ca="1" si="310"/>
        <v>0</v>
      </c>
      <c r="S681" s="307">
        <f t="shared" ca="1" si="311"/>
        <v>8.1379999999999981</v>
      </c>
      <c r="T681" s="304">
        <f t="shared" ca="1" si="291"/>
        <v>79.83377999999999</v>
      </c>
      <c r="U681" s="311">
        <f t="shared" ca="1" si="292"/>
        <v>0</v>
      </c>
      <c r="V681" s="306">
        <f t="shared" ca="1" si="293"/>
        <v>1.186796933396842</v>
      </c>
      <c r="W681" s="304">
        <f t="shared" ca="1" si="294"/>
        <v>50.742568296337033</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3.5232993917146018</v>
      </c>
      <c r="AH681" s="304">
        <f t="shared" ca="1" si="318"/>
        <v>-6.1897262568698945</v>
      </c>
    </row>
    <row r="682" spans="1:34" x14ac:dyDescent="0.2">
      <c r="A682" s="347">
        <f t="shared" ca="1" si="296"/>
        <v>0.1</v>
      </c>
      <c r="B682" s="304">
        <f t="shared" ca="1" si="297"/>
        <v>31.800000000000139</v>
      </c>
      <c r="D682" s="306">
        <f t="shared" ca="1" si="298"/>
        <v>-0.86708923017671535</v>
      </c>
      <c r="E682" s="307">
        <f t="shared" ca="1" si="299"/>
        <v>-3.6353212322504156</v>
      </c>
      <c r="F682" s="304">
        <f t="shared" ca="1" si="300"/>
        <v>3.737299050750305</v>
      </c>
      <c r="G682" s="306">
        <f t="shared" ca="1" si="301"/>
        <v>15.73452060075973</v>
      </c>
      <c r="H682" s="307">
        <f t="shared" ca="1" si="302"/>
        <v>-113.0289956306561</v>
      </c>
      <c r="I682" s="304">
        <f t="shared" ca="1" si="303"/>
        <v>114.11892477503724</v>
      </c>
      <c r="J682" s="306">
        <f t="shared" ca="1" si="304"/>
        <v>819.87232232762074</v>
      </c>
      <c r="K682" s="307">
        <f t="shared" ca="1" si="305"/>
        <v>305.51696191257548</v>
      </c>
      <c r="L682" s="304">
        <f t="shared" ca="1" si="290"/>
        <v>874.94642060824276</v>
      </c>
      <c r="M682" s="306">
        <f t="shared" ca="1" si="306"/>
        <v>-1.4324774168905212</v>
      </c>
      <c r="N682" s="304">
        <f t="shared" ca="1" si="307"/>
        <v>-82.074910235629005</v>
      </c>
      <c r="P682" s="310">
        <f t="shared" ca="1" si="308"/>
        <v>23</v>
      </c>
      <c r="Q682" s="304">
        <f t="shared" ca="1" si="309"/>
        <v>0</v>
      </c>
      <c r="R682" s="306">
        <f t="shared" ca="1" si="310"/>
        <v>0</v>
      </c>
      <c r="S682" s="307">
        <f t="shared" ca="1" si="311"/>
        <v>8.1379999999999981</v>
      </c>
      <c r="T682" s="304">
        <f t="shared" ca="1" si="291"/>
        <v>79.83377999999999</v>
      </c>
      <c r="U682" s="311">
        <f t="shared" ca="1" si="292"/>
        <v>0</v>
      </c>
      <c r="V682" s="306">
        <f t="shared" ca="1" si="293"/>
        <v>1.1881372814546007</v>
      </c>
      <c r="W682" s="304">
        <f t="shared" ca="1" si="294"/>
        <v>51.111143593882915</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3.4794198653276789</v>
      </c>
      <c r="AH682" s="304">
        <f t="shared" ca="1" si="318"/>
        <v>-6.2352627545265475</v>
      </c>
    </row>
    <row r="683" spans="1:34" x14ac:dyDescent="0.2">
      <c r="A683" s="347">
        <f t="shared" ca="1" si="296"/>
        <v>0.1</v>
      </c>
      <c r="B683" s="304">
        <f t="shared" ca="1" si="297"/>
        <v>31.900000000000141</v>
      </c>
      <c r="D683" s="306">
        <f t="shared" ca="1" si="298"/>
        <v>-0.86595187519512618</v>
      </c>
      <c r="E683" s="307">
        <f t="shared" ca="1" si="299"/>
        <v>-3.5894310229532858</v>
      </c>
      <c r="F683" s="304">
        <f t="shared" ca="1" si="300"/>
        <v>3.6924094733240822</v>
      </c>
      <c r="G683" s="306">
        <f t="shared" ca="1" si="301"/>
        <v>15.647925413240218</v>
      </c>
      <c r="H683" s="307">
        <f t="shared" ca="1" si="302"/>
        <v>-113.38793873295143</v>
      </c>
      <c r="I683" s="304">
        <f t="shared" ca="1" si="303"/>
        <v>114.46257999820673</v>
      </c>
      <c r="J683" s="306">
        <f t="shared" ca="1" si="304"/>
        <v>821.44144462832071</v>
      </c>
      <c r="K683" s="307">
        <f t="shared" ca="1" si="305"/>
        <v>294.19611519439513</v>
      </c>
      <c r="L683" s="304">
        <f t="shared" ca="1" si="290"/>
        <v>872.53504293440062</v>
      </c>
      <c r="M683" s="306">
        <f t="shared" ca="1" si="306"/>
        <v>-1.4336591010722295</v>
      </c>
      <c r="N683" s="304">
        <f t="shared" ca="1" si="307"/>
        <v>-82.14261575195826</v>
      </c>
      <c r="P683" s="310">
        <f t="shared" ca="1" si="308"/>
        <v>23</v>
      </c>
      <c r="Q683" s="304">
        <f t="shared" ca="1" si="309"/>
        <v>0</v>
      </c>
      <c r="R683" s="306">
        <f t="shared" ca="1" si="310"/>
        <v>0</v>
      </c>
      <c r="S683" s="307">
        <f t="shared" ca="1" si="311"/>
        <v>8.1379999999999981</v>
      </c>
      <c r="T683" s="304">
        <f t="shared" ca="1" si="291"/>
        <v>79.83377999999999</v>
      </c>
      <c r="U683" s="311">
        <f t="shared" ca="1" si="292"/>
        <v>0</v>
      </c>
      <c r="V683" s="306">
        <f t="shared" ca="1" si="293"/>
        <v>1.1894834179124438</v>
      </c>
      <c r="W683" s="304">
        <f t="shared" ca="1" si="294"/>
        <v>51.477694263371873</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3.4357530669283891</v>
      </c>
      <c r="AH683" s="304">
        <f t="shared" ca="1" si="318"/>
        <v>-6.2805534030330454</v>
      </c>
    </row>
    <row r="684" spans="1:34" x14ac:dyDescent="0.2">
      <c r="A684" s="347">
        <f t="shared" ca="1" si="296"/>
        <v>0.1</v>
      </c>
      <c r="B684" s="304">
        <f t="shared" ca="1" si="297"/>
        <v>32.000000000000142</v>
      </c>
      <c r="D684" s="306">
        <f t="shared" ca="1" si="298"/>
        <v>-0.86475809733160725</v>
      </c>
      <c r="E684" s="307">
        <f t="shared" ca="1" si="299"/>
        <v>-3.5437931023051839</v>
      </c>
      <c r="F684" s="304">
        <f t="shared" ca="1" si="300"/>
        <v>3.6477768735006779</v>
      </c>
      <c r="G684" s="306">
        <f t="shared" ca="1" si="301"/>
        <v>15.561449603507057</v>
      </c>
      <c r="H684" s="307">
        <f t="shared" ca="1" si="302"/>
        <v>-113.74231804318194</v>
      </c>
      <c r="I684" s="304">
        <f t="shared" ca="1" si="303"/>
        <v>114.80188860641118</v>
      </c>
      <c r="J684" s="306">
        <f t="shared" ca="1" si="304"/>
        <v>823.00191337915805</v>
      </c>
      <c r="K684" s="307">
        <f t="shared" ca="1" si="305"/>
        <v>282.83960235558845</v>
      </c>
      <c r="L684" s="304">
        <f t="shared" ca="1" si="290"/>
        <v>870.24731547211479</v>
      </c>
      <c r="M684" s="306">
        <f t="shared" ca="1" si="306"/>
        <v>-1.4348272906037656</v>
      </c>
      <c r="N684" s="304">
        <f t="shared" ca="1" si="307"/>
        <v>-82.20954808178665</v>
      </c>
      <c r="P684" s="310">
        <f t="shared" ca="1" si="308"/>
        <v>23</v>
      </c>
      <c r="Q684" s="304">
        <f t="shared" ca="1" si="309"/>
        <v>0</v>
      </c>
      <c r="R684" s="306">
        <f t="shared" ca="1" si="310"/>
        <v>0</v>
      </c>
      <c r="S684" s="307">
        <f t="shared" ca="1" si="311"/>
        <v>8.1379999999999981</v>
      </c>
      <c r="T684" s="304">
        <f t="shared" ca="1" si="291"/>
        <v>79.83377999999999</v>
      </c>
      <c r="U684" s="311">
        <f t="shared" ca="1" si="292"/>
        <v>0</v>
      </c>
      <c r="V684" s="306">
        <f t="shared" ca="1" si="293"/>
        <v>1.1908353051467848</v>
      </c>
      <c r="W684" s="304">
        <f t="shared" ca="1" si="294"/>
        <v>51.842197221686071</v>
      </c>
      <c r="Y684" s="314" t="str">
        <f t="shared" ca="1" si="312"/>
        <v/>
      </c>
      <c r="Z684" s="315" t="str">
        <f t="shared" ca="1" si="313"/>
        <v/>
      </c>
      <c r="AA684" s="316" t="str">
        <f t="shared" ca="1" si="314"/>
        <v/>
      </c>
      <c r="AC684" s="310">
        <f t="shared" ca="1" si="315"/>
        <v>32.000000000000142</v>
      </c>
      <c r="AD684" s="323">
        <f t="shared" ca="1" si="316"/>
        <v>823.00191337915805</v>
      </c>
      <c r="AE684" s="324" t="e">
        <f t="shared" ca="1" si="295"/>
        <v>#N/A</v>
      </c>
      <c r="AG684" s="306">
        <f t="shared" ca="1" si="317"/>
        <v>3.3923027505144381</v>
      </c>
      <c r="AH684" s="304">
        <f t="shared" ca="1" si="318"/>
        <v>-6.3255952646070144</v>
      </c>
    </row>
    <row r="685" spans="1:34" x14ac:dyDescent="0.2">
      <c r="A685" s="347">
        <f t="shared" ca="1" si="296"/>
        <v>0.1</v>
      </c>
      <c r="B685" s="304">
        <f t="shared" ca="1" si="297"/>
        <v>32.100000000000144</v>
      </c>
      <c r="D685" s="306">
        <f t="shared" ca="1" si="298"/>
        <v>-0.86350872934163747</v>
      </c>
      <c r="E685" s="307">
        <f t="shared" ca="1" si="299"/>
        <v>-3.498410332691285</v>
      </c>
      <c r="F685" s="304">
        <f t="shared" ca="1" si="300"/>
        <v>3.6034042489748987</v>
      </c>
      <c r="G685" s="306">
        <f t="shared" ca="1" si="301"/>
        <v>15.475098730572894</v>
      </c>
      <c r="H685" s="307">
        <f t="shared" ca="1" si="302"/>
        <v>-114.09215907645107</v>
      </c>
      <c r="I685" s="304">
        <f t="shared" ca="1" si="303"/>
        <v>115.13687264923949</v>
      </c>
      <c r="J685" s="306">
        <f t="shared" ca="1" si="304"/>
        <v>824.55374079586204</v>
      </c>
      <c r="K685" s="307">
        <f t="shared" ca="1" si="305"/>
        <v>271.44787849960682</v>
      </c>
      <c r="L685" s="304">
        <f t="shared" ca="1" si="290"/>
        <v>868.08572284215506</v>
      </c>
      <c r="M685" s="306">
        <f t="shared" ca="1" si="306"/>
        <v>-1.4359822206843493</v>
      </c>
      <c r="N685" s="304">
        <f t="shared" ca="1" si="307"/>
        <v>-82.275720701036803</v>
      </c>
      <c r="P685" s="310">
        <f t="shared" ca="1" si="308"/>
        <v>23</v>
      </c>
      <c r="Q685" s="304">
        <f t="shared" ca="1" si="309"/>
        <v>0</v>
      </c>
      <c r="R685" s="306">
        <f t="shared" ca="1" si="310"/>
        <v>0</v>
      </c>
      <c r="S685" s="307">
        <f t="shared" ca="1" si="311"/>
        <v>8.1379999999999981</v>
      </c>
      <c r="T685" s="304">
        <f t="shared" ca="1" si="291"/>
        <v>79.83377999999999</v>
      </c>
      <c r="U685" s="311">
        <f t="shared" ca="1" si="292"/>
        <v>0</v>
      </c>
      <c r="V685" s="306">
        <f t="shared" ca="1" si="293"/>
        <v>1.1921929056912901</v>
      </c>
      <c r="W685" s="304">
        <f t="shared" ca="1" si="294"/>
        <v>52.204630202756697</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3.3490725440140219</v>
      </c>
      <c r="AH685" s="304">
        <f t="shared" ca="1" si="318"/>
        <v>-6.3703855027876726</v>
      </c>
    </row>
    <row r="686" spans="1:34" x14ac:dyDescent="0.2">
      <c r="A686" s="347">
        <f t="shared" ca="1" si="296"/>
        <v>0.1</v>
      </c>
      <c r="B686" s="304">
        <f t="shared" ca="1" si="297"/>
        <v>32.200000000000145</v>
      </c>
      <c r="D686" s="306">
        <f t="shared" ca="1" si="298"/>
        <v>-0.86220460434262003</v>
      </c>
      <c r="E686" s="307">
        <f t="shared" ca="1" si="299"/>
        <v>-3.4532854750862683</v>
      </c>
      <c r="F686" s="304">
        <f t="shared" ca="1" si="300"/>
        <v>3.5592945020314639</v>
      </c>
      <c r="G686" s="306">
        <f t="shared" ca="1" si="301"/>
        <v>15.388878270138632</v>
      </c>
      <c r="H686" s="307">
        <f t="shared" ca="1" si="302"/>
        <v>-114.4374876239597</v>
      </c>
      <c r="I686" s="304">
        <f t="shared" ca="1" si="303"/>
        <v>115.4675545254903</v>
      </c>
      <c r="J686" s="306">
        <f t="shared" ca="1" si="304"/>
        <v>826.09693964589758</v>
      </c>
      <c r="K686" s="307">
        <f t="shared" ca="1" si="305"/>
        <v>260.02139616458629</v>
      </c>
      <c r="L686" s="304">
        <f t="shared" ca="1" si="290"/>
        <v>866.05270056486665</v>
      </c>
      <c r="M686" s="306">
        <f t="shared" ca="1" si="306"/>
        <v>-1.4371241208428773</v>
      </c>
      <c r="N686" s="304">
        <f t="shared" ca="1" si="307"/>
        <v>-82.341146760745772</v>
      </c>
      <c r="P686" s="310">
        <f t="shared" ca="1" si="308"/>
        <v>23</v>
      </c>
      <c r="Q686" s="304">
        <f t="shared" ca="1" si="309"/>
        <v>0</v>
      </c>
      <c r="R686" s="306">
        <f t="shared" ca="1" si="310"/>
        <v>0</v>
      </c>
      <c r="S686" s="307">
        <f t="shared" ca="1" si="311"/>
        <v>8.1379999999999981</v>
      </c>
      <c r="T686" s="304">
        <f t="shared" ca="1" si="291"/>
        <v>79.83377999999999</v>
      </c>
      <c r="U686" s="311">
        <f t="shared" ca="1" si="292"/>
        <v>0</v>
      </c>
      <c r="V686" s="306">
        <f t="shared" ca="1" si="293"/>
        <v>1.1935561822395788</v>
      </c>
      <c r="W686" s="304">
        <f t="shared" ca="1" si="294"/>
        <v>52.564971749854514</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3.3060659510999697</v>
      </c>
      <c r="AH686" s="304">
        <f t="shared" ca="1" si="318"/>
        <v>-6.4149213815134809</v>
      </c>
    </row>
    <row r="687" spans="1:34" x14ac:dyDescent="0.2">
      <c r="A687" s="347">
        <f t="shared" ca="1" si="296"/>
        <v>0.1</v>
      </c>
      <c r="B687" s="304">
        <f t="shared" ca="1" si="297"/>
        <v>32.300000000000146</v>
      </c>
      <c r="D687" s="306">
        <f t="shared" ca="1" si="298"/>
        <v>-0.86084655552214018</v>
      </c>
      <c r="E687" s="307">
        <f t="shared" ca="1" si="299"/>
        <v>-3.4084211900062131</v>
      </c>
      <c r="F687" s="304">
        <f t="shared" ca="1" si="300"/>
        <v>3.5154504406459357</v>
      </c>
      <c r="G687" s="306">
        <f t="shared" ca="1" si="301"/>
        <v>15.302793614586417</v>
      </c>
      <c r="H687" s="307">
        <f t="shared" ca="1" si="302"/>
        <v>-114.77832974296032</v>
      </c>
      <c r="I687" s="304">
        <f t="shared" ca="1" si="303"/>
        <v>115.79395697096786</v>
      </c>
      <c r="J687" s="306">
        <f t="shared" ca="1" si="304"/>
        <v>827.63152324013379</v>
      </c>
      <c r="K687" s="307">
        <f t="shared" ca="1" si="305"/>
        <v>248.56060529624028</v>
      </c>
      <c r="L687" s="304">
        <f t="shared" ca="1" si="290"/>
        <v>864.15063083123277</v>
      </c>
      <c r="M687" s="306">
        <f t="shared" ca="1" si="306"/>
        <v>-1.4382532151060208</v>
      </c>
      <c r="N687" s="304">
        <f t="shared" ca="1" si="307"/>
        <v>-82.405839096696326</v>
      </c>
      <c r="P687" s="310">
        <f t="shared" ca="1" si="308"/>
        <v>23</v>
      </c>
      <c r="Q687" s="304">
        <f t="shared" ca="1" si="309"/>
        <v>0</v>
      </c>
      <c r="R687" s="306">
        <f t="shared" ca="1" si="310"/>
        <v>0</v>
      </c>
      <c r="S687" s="307">
        <f t="shared" ca="1" si="311"/>
        <v>8.1379999999999981</v>
      </c>
      <c r="T687" s="304">
        <f t="shared" ca="1" si="291"/>
        <v>79.83377999999999</v>
      </c>
      <c r="U687" s="311">
        <f t="shared" ca="1" si="292"/>
        <v>0</v>
      </c>
      <c r="V687" s="306">
        <f t="shared" ca="1" si="293"/>
        <v>1.1949250976478545</v>
      </c>
      <c r="W687" s="304">
        <f t="shared" ca="1" si="294"/>
        <v>52.923201207685985</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3.2632863529918925</v>
      </c>
      <c r="AH687" s="304">
        <f t="shared" ca="1" si="318"/>
        <v>-6.4592002641748003</v>
      </c>
    </row>
    <row r="688" spans="1:34" x14ac:dyDescent="0.2">
      <c r="A688" s="347">
        <f t="shared" ca="1" si="296"/>
        <v>0.1</v>
      </c>
      <c r="B688" s="304">
        <f t="shared" ca="1" si="297"/>
        <v>32.400000000000148</v>
      </c>
      <c r="D688" s="306">
        <f t="shared" ca="1" si="298"/>
        <v>-0.85943541585294125</v>
      </c>
      <c r="E688" s="307">
        <f t="shared" ca="1" si="299"/>
        <v>-3.363820038484973</v>
      </c>
      <c r="F688" s="304">
        <f t="shared" ca="1" si="300"/>
        <v>3.4718747796162468</v>
      </c>
      <c r="G688" s="306">
        <f t="shared" ca="1" si="301"/>
        <v>15.216850073001122</v>
      </c>
      <c r="H688" s="307">
        <f t="shared" ca="1" si="302"/>
        <v>-115.11471174680882</v>
      </c>
      <c r="I688" s="304">
        <f t="shared" ca="1" si="303"/>
        <v>116.11610304645554</v>
      </c>
      <c r="J688" s="306">
        <f t="shared" ca="1" si="304"/>
        <v>829.15750542451315</v>
      </c>
      <c r="K688" s="307">
        <f t="shared" ca="1" si="305"/>
        <v>237.06595322175184</v>
      </c>
      <c r="L688" s="304">
        <f t="shared" ca="1" si="290"/>
        <v>862.38183827046089</v>
      </c>
      <c r="M688" s="306">
        <f t="shared" ca="1" si="306"/>
        <v>-1.4393697221604735</v>
      </c>
      <c r="N688" s="304">
        <f t="shared" ca="1" si="307"/>
        <v>-82.469810238713052</v>
      </c>
      <c r="P688" s="310">
        <f t="shared" ca="1" si="308"/>
        <v>23</v>
      </c>
      <c r="Q688" s="304">
        <f t="shared" ca="1" si="309"/>
        <v>0</v>
      </c>
      <c r="R688" s="306">
        <f t="shared" ca="1" si="310"/>
        <v>0</v>
      </c>
      <c r="S688" s="307">
        <f t="shared" ca="1" si="311"/>
        <v>8.1379999999999981</v>
      </c>
      <c r="T688" s="304">
        <f t="shared" ca="1" si="291"/>
        <v>79.83377999999999</v>
      </c>
      <c r="U688" s="311">
        <f t="shared" ca="1" si="292"/>
        <v>0</v>
      </c>
      <c r="V688" s="306">
        <f t="shared" ca="1" si="293"/>
        <v>1.1962996149374696</v>
      </c>
      <c r="W688" s="304">
        <f t="shared" ca="1" si="294"/>
        <v>53.279298714304687</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3.2207370102469763</v>
      </c>
      <c r="AH688" s="304">
        <f t="shared" ca="1" si="318"/>
        <v>-6.5032196126426633</v>
      </c>
    </row>
    <row r="689" spans="1:34" x14ac:dyDescent="0.2">
      <c r="A689" s="347">
        <f t="shared" ca="1" si="296"/>
        <v>0.1</v>
      </c>
      <c r="B689" s="304">
        <f t="shared" ca="1" si="297"/>
        <v>32.500000000000149</v>
      </c>
      <c r="D689" s="306">
        <f t="shared" ca="1" si="298"/>
        <v>-0.85797201781457921</v>
      </c>
      <c r="E689" s="307">
        <f t="shared" ca="1" si="299"/>
        <v>-3.3194844830738104</v>
      </c>
      <c r="F689" s="304">
        <f t="shared" ca="1" si="300"/>
        <v>3.4285701417238972</v>
      </c>
      <c r="G689" s="306">
        <f t="shared" ca="1" si="301"/>
        <v>15.131052871219664</v>
      </c>
      <c r="H689" s="307">
        <f t="shared" ca="1" si="302"/>
        <v>-115.44666019511621</v>
      </c>
      <c r="I689" s="304">
        <f t="shared" ca="1" si="303"/>
        <v>116.43401612586536</v>
      </c>
      <c r="J689" s="306">
        <f t="shared" ca="1" si="304"/>
        <v>830.67490057172415</v>
      </c>
      <c r="K689" s="307">
        <f t="shared" ca="1" si="305"/>
        <v>225.53788462465559</v>
      </c>
      <c r="L689" s="304">
        <f t="shared" ca="1" si="290"/>
        <v>860.74858573267966</v>
      </c>
      <c r="M689" s="306">
        <f t="shared" ca="1" si="306"/>
        <v>-1.4404738555095795</v>
      </c>
      <c r="N689" s="304">
        <f t="shared" ca="1" si="307"/>
        <v>-82.533072419636468</v>
      </c>
      <c r="P689" s="310">
        <f t="shared" ca="1" si="308"/>
        <v>23</v>
      </c>
      <c r="Q689" s="304">
        <f t="shared" ca="1" si="309"/>
        <v>0</v>
      </c>
      <c r="R689" s="306">
        <f t="shared" ca="1" si="310"/>
        <v>0</v>
      </c>
      <c r="S689" s="307">
        <f t="shared" ca="1" si="311"/>
        <v>8.1379999999999981</v>
      </c>
      <c r="T689" s="304">
        <f t="shared" ca="1" si="291"/>
        <v>79.83377999999999</v>
      </c>
      <c r="U689" s="311">
        <f t="shared" ca="1" si="292"/>
        <v>0</v>
      </c>
      <c r="V689" s="306">
        <f t="shared" ca="1" si="293"/>
        <v>1.197679697297422</v>
      </c>
      <c r="W689" s="304">
        <f t="shared" ca="1" si="294"/>
        <v>53.633245192846047</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3.1784210645398305</v>
      </c>
      <c r="AH689" s="304">
        <f t="shared" ca="1" si="318"/>
        <v>-6.5469769862748466</v>
      </c>
    </row>
    <row r="690" spans="1:34" x14ac:dyDescent="0.2">
      <c r="A690" s="347">
        <f t="shared" ca="1" si="296"/>
        <v>0.1</v>
      </c>
      <c r="B690" s="304">
        <f t="shared" ca="1" si="297"/>
        <v>32.600000000000151</v>
      </c>
      <c r="D690" s="306">
        <f t="shared" ca="1" si="298"/>
        <v>-0.85645719312174462</v>
      </c>
      <c r="E690" s="307">
        <f t="shared" ca="1" si="299"/>
        <v>-3.2754168888632629</v>
      </c>
      <c r="F690" s="304">
        <f t="shared" ca="1" si="300"/>
        <v>3.385539058924099</v>
      </c>
      <c r="G690" s="306">
        <f t="shared" ca="1" si="301"/>
        <v>15.04540715190749</v>
      </c>
      <c r="H690" s="307">
        <f t="shared" ca="1" si="302"/>
        <v>-115.77420188400254</v>
      </c>
      <c r="I690" s="304">
        <f t="shared" ca="1" si="303"/>
        <v>116.74771988456324</v>
      </c>
      <c r="J690" s="306">
        <f t="shared" ca="1" si="304"/>
        <v>832.18372357288047</v>
      </c>
      <c r="K690" s="307">
        <f t="shared" ca="1" si="305"/>
        <v>213.97684152069965</v>
      </c>
      <c r="L690" s="304">
        <f t="shared" ca="1" si="290"/>
        <v>859.25307010612357</v>
      </c>
      <c r="M690" s="306">
        <f t="shared" ca="1" si="306"/>
        <v>-1.4415658236245679</v>
      </c>
      <c r="N690" s="304">
        <f t="shared" ca="1" si="307"/>
        <v>-82.595637583988164</v>
      </c>
      <c r="P690" s="310">
        <f t="shared" ca="1" si="308"/>
        <v>23</v>
      </c>
      <c r="Q690" s="304">
        <f t="shared" ca="1" si="309"/>
        <v>0</v>
      </c>
      <c r="R690" s="306">
        <f t="shared" ca="1" si="310"/>
        <v>0</v>
      </c>
      <c r="S690" s="307">
        <f t="shared" ca="1" si="311"/>
        <v>8.1379999999999981</v>
      </c>
      <c r="T690" s="304">
        <f t="shared" ca="1" si="291"/>
        <v>79.83377999999999</v>
      </c>
      <c r="U690" s="311">
        <f t="shared" ca="1" si="292"/>
        <v>0</v>
      </c>
      <c r="V690" s="306">
        <f t="shared" ca="1" si="293"/>
        <v>1.1990653080867844</v>
      </c>
      <c r="W690" s="304">
        <f t="shared" ca="1" si="294"/>
        <v>53.98502234309499</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3.1363415404319959</v>
      </c>
      <c r="AH690" s="304">
        <f t="shared" ca="1" si="318"/>
        <v>-6.5904700409002288</v>
      </c>
    </row>
    <row r="691" spans="1:34" x14ac:dyDescent="0.2">
      <c r="A691" s="347">
        <f t="shared" ca="1" si="296"/>
        <v>0.1</v>
      </c>
      <c r="B691" s="304">
        <f t="shared" ca="1" si="297"/>
        <v>32.700000000000152</v>
      </c>
      <c r="D691" s="306">
        <f t="shared" ca="1" si="298"/>
        <v>-0.854891772459201</v>
      </c>
      <c r="E691" s="307">
        <f t="shared" ca="1" si="299"/>
        <v>-3.2316195245260539</v>
      </c>
      <c r="F691" s="304">
        <f t="shared" ca="1" si="300"/>
        <v>3.3427839735640164</v>
      </c>
      <c r="G691" s="306">
        <f t="shared" ca="1" si="301"/>
        <v>14.95991797466157</v>
      </c>
      <c r="H691" s="307">
        <f t="shared" ca="1" si="302"/>
        <v>-116.09736383645514</v>
      </c>
      <c r="I691" s="304">
        <f t="shared" ca="1" si="303"/>
        <v>117.05723828786857</v>
      </c>
      <c r="J691" s="306">
        <f t="shared" ca="1" si="304"/>
        <v>833.68398982920894</v>
      </c>
      <c r="K691" s="307">
        <f t="shared" ca="1" si="305"/>
        <v>202.38326323467678</v>
      </c>
      <c r="L691" s="304">
        <f t="shared" ca="1" si="290"/>
        <v>857.89741818883283</v>
      </c>
      <c r="M691" s="306">
        <f t="shared" ca="1" si="306"/>
        <v>-1.4426458300906047</v>
      </c>
      <c r="N691" s="304">
        <f t="shared" ca="1" si="307"/>
        <v>-82.657517396338903</v>
      </c>
      <c r="P691" s="310">
        <f t="shared" ca="1" si="308"/>
        <v>23</v>
      </c>
      <c r="Q691" s="304">
        <f t="shared" ca="1" si="309"/>
        <v>0</v>
      </c>
      <c r="R691" s="306">
        <f t="shared" ca="1" si="310"/>
        <v>0</v>
      </c>
      <c r="S691" s="307">
        <f t="shared" ca="1" si="311"/>
        <v>8.1379999999999981</v>
      </c>
      <c r="T691" s="304">
        <f t="shared" ca="1" si="291"/>
        <v>79.83377999999999</v>
      </c>
      <c r="U691" s="311">
        <f t="shared" ca="1" si="292"/>
        <v>0</v>
      </c>
      <c r="V691" s="306">
        <f t="shared" ca="1" si="293"/>
        <v>1.2004564108370661</v>
      </c>
      <c r="W691" s="304">
        <f t="shared" ca="1" si="294"/>
        <v>54.33461263289454</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3.0945013471313914</v>
      </c>
      <c r="AH691" s="304">
        <f t="shared" ca="1" si="318"/>
        <v>-6.6336965277826252</v>
      </c>
    </row>
    <row r="692" spans="1:34" x14ac:dyDescent="0.2">
      <c r="A692" s="347">
        <f t="shared" ca="1" si="296"/>
        <v>0.1</v>
      </c>
      <c r="B692" s="304">
        <f t="shared" ca="1" si="297"/>
        <v>32.800000000000153</v>
      </c>
      <c r="D692" s="306">
        <f t="shared" ca="1" si="298"/>
        <v>-0.85327658522332561</v>
      </c>
      <c r="E692" s="307">
        <f t="shared" ca="1" si="299"/>
        <v>-3.1880945633800231</v>
      </c>
      <c r="F692" s="304">
        <f t="shared" ca="1" si="300"/>
        <v>3.3003072396284017</v>
      </c>
      <c r="G692" s="306">
        <f t="shared" ca="1" si="301"/>
        <v>14.874590316139237</v>
      </c>
      <c r="H692" s="307">
        <f t="shared" ca="1" si="302"/>
        <v>-116.41617329279315</v>
      </c>
      <c r="I692" s="304">
        <f t="shared" ca="1" si="303"/>
        <v>117.3625955797273</v>
      </c>
      <c r="J692" s="306">
        <f t="shared" ca="1" si="304"/>
        <v>835.17571524374898</v>
      </c>
      <c r="K692" s="307">
        <f t="shared" ca="1" si="305"/>
        <v>190.75758637821437</v>
      </c>
      <c r="L692" s="304">
        <f t="shared" ca="1" si="290"/>
        <v>856.68368263539924</v>
      </c>
      <c r="M692" s="306">
        <f t="shared" ca="1" si="306"/>
        <v>-1.4437140737478682</v>
      </c>
      <c r="N692" s="304">
        <f t="shared" ca="1" si="307"/>
        <v>-82.718723249391729</v>
      </c>
      <c r="P692" s="310">
        <f t="shared" ca="1" si="308"/>
        <v>23</v>
      </c>
      <c r="Q692" s="304">
        <f t="shared" ca="1" si="309"/>
        <v>0</v>
      </c>
      <c r="R692" s="306">
        <f t="shared" ca="1" si="310"/>
        <v>0</v>
      </c>
      <c r="S692" s="307">
        <f t="shared" ca="1" si="311"/>
        <v>8.1379999999999981</v>
      </c>
      <c r="T692" s="304">
        <f t="shared" ca="1" si="291"/>
        <v>79.83377999999999</v>
      </c>
      <c r="U692" s="311">
        <f t="shared" ca="1" si="292"/>
        <v>0</v>
      </c>
      <c r="V692" s="306">
        <f t="shared" ca="1" si="293"/>
        <v>1.2018529692545104</v>
      </c>
      <c r="W692" s="304">
        <f t="shared" ca="1" si="294"/>
        <v>54.681999289404409</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3.0529032802420986</v>
      </c>
      <c r="AH692" s="304">
        <f t="shared" ca="1" si="318"/>
        <v>-6.6766542925650718</v>
      </c>
    </row>
    <row r="693" spans="1:34" x14ac:dyDescent="0.2">
      <c r="A693" s="347">
        <f t="shared" ca="1" si="296"/>
        <v>0.1</v>
      </c>
      <c r="B693" s="304">
        <f t="shared" ca="1" si="297"/>
        <v>32.900000000000155</v>
      </c>
      <c r="D693" s="306">
        <f t="shared" ca="1" si="298"/>
        <v>-0.85161245927020124</v>
      </c>
      <c r="E693" s="307">
        <f t="shared" ca="1" si="299"/>
        <v>-3.1448440844699403</v>
      </c>
      <c r="F693" s="304">
        <f t="shared" ca="1" si="300"/>
        <v>3.2581111240118585</v>
      </c>
      <c r="G693" s="306">
        <f t="shared" ca="1" si="301"/>
        <v>14.789429070212217</v>
      </c>
      <c r="H693" s="307">
        <f t="shared" ca="1" si="302"/>
        <v>-116.73065770124015</v>
      </c>
      <c r="I693" s="304">
        <f t="shared" ca="1" si="303"/>
        <v>117.66381627155791</v>
      </c>
      <c r="J693" s="306">
        <f t="shared" ca="1" si="304"/>
        <v>836.6589162130665</v>
      </c>
      <c r="K693" s="307">
        <f t="shared" ca="1" si="305"/>
        <v>179.1002448285127</v>
      </c>
      <c r="L693" s="304">
        <f t="shared" ca="1" si="290"/>
        <v>855.6138379996296</v>
      </c>
      <c r="M693" s="306">
        <f t="shared" ca="1" si="306"/>
        <v>-1.4447707488278387</v>
      </c>
      <c r="N693" s="304">
        <f t="shared" ca="1" si="307"/>
        <v>-82.779266271790689</v>
      </c>
      <c r="P693" s="310">
        <f t="shared" ca="1" si="308"/>
        <v>23</v>
      </c>
      <c r="Q693" s="304">
        <f t="shared" ca="1" si="309"/>
        <v>0</v>
      </c>
      <c r="R693" s="306">
        <f t="shared" ca="1" si="310"/>
        <v>0</v>
      </c>
      <c r="S693" s="307">
        <f t="shared" ca="1" si="311"/>
        <v>8.1379999999999981</v>
      </c>
      <c r="T693" s="304">
        <f t="shared" ca="1" si="291"/>
        <v>79.83377999999999</v>
      </c>
      <c r="U693" s="311">
        <f t="shared" ca="1" si="292"/>
        <v>0</v>
      </c>
      <c r="V693" s="306">
        <f t="shared" ca="1" si="293"/>
        <v>1.2032549472223217</v>
      </c>
      <c r="W693" s="304">
        <f t="shared" ca="1" si="294"/>
        <v>55.027166290217842</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3.0115500235047303</v>
      </c>
      <c r="AH693" s="304">
        <f t="shared" ca="1" si="318"/>
        <v>-6.7193412741956777</v>
      </c>
    </row>
    <row r="694" spans="1:34" x14ac:dyDescent="0.2">
      <c r="A694" s="347">
        <f t="shared" ca="1" si="296"/>
        <v>0.1</v>
      </c>
      <c r="B694" s="304">
        <f t="shared" ca="1" si="297"/>
        <v>33.000000000000156</v>
      </c>
      <c r="D694" s="306">
        <f t="shared" ca="1" si="298"/>
        <v>-0.84990022067024762</v>
      </c>
      <c r="E694" s="307">
        <f t="shared" ca="1" si="299"/>
        <v>-3.1018700736671843</v>
      </c>
      <c r="F694" s="304">
        <f t="shared" ca="1" si="300"/>
        <v>3.2161978078170814</v>
      </c>
      <c r="G694" s="306">
        <f t="shared" ca="1" si="301"/>
        <v>14.704439048145192</v>
      </c>
      <c r="H694" s="307">
        <f t="shared" ca="1" si="302"/>
        <v>-117.04084470860687</v>
      </c>
      <c r="I694" s="304">
        <f t="shared" ca="1" si="303"/>
        <v>117.96092513126898</v>
      </c>
      <c r="J694" s="306">
        <f t="shared" ca="1" si="304"/>
        <v>838.13360961898434</v>
      </c>
      <c r="K694" s="307">
        <f t="shared" ca="1" si="305"/>
        <v>167.41166970802036</v>
      </c>
      <c r="L694" s="304">
        <f t="shared" ca="1" si="290"/>
        <v>854.68977689415203</v>
      </c>
      <c r="M694" s="306">
        <f t="shared" ca="1" si="306"/>
        <v>-1.4458160450849953</v>
      </c>
      <c r="N694" s="304">
        <f t="shared" ca="1" si="307"/>
        <v>-82.839157335666584</v>
      </c>
      <c r="P694" s="310">
        <f t="shared" ca="1" si="308"/>
        <v>23</v>
      </c>
      <c r="Q694" s="304">
        <f t="shared" ca="1" si="309"/>
        <v>0</v>
      </c>
      <c r="R694" s="306">
        <f t="shared" ca="1" si="310"/>
        <v>0</v>
      </c>
      <c r="S694" s="307">
        <f t="shared" ca="1" si="311"/>
        <v>8.1379999999999981</v>
      </c>
      <c r="T694" s="304">
        <f t="shared" ca="1" si="291"/>
        <v>79.83377999999999</v>
      </c>
      <c r="U694" s="311">
        <f t="shared" ca="1" si="292"/>
        <v>0</v>
      </c>
      <c r="V694" s="306">
        <f t="shared" ca="1" si="293"/>
        <v>1.2046623088028339</v>
      </c>
      <c r="W694" s="304">
        <f t="shared" ca="1" si="294"/>
        <v>55.370098354345025</v>
      </c>
      <c r="Y694" s="314" t="str">
        <f t="shared" ca="1" si="312"/>
        <v/>
      </c>
      <c r="Z694" s="315" t="str">
        <f t="shared" ca="1" si="313"/>
        <v/>
      </c>
      <c r="AA694" s="316" t="str">
        <f t="shared" ca="1" si="314"/>
        <v/>
      </c>
      <c r="AC694" s="310">
        <f t="shared" ca="1" si="315"/>
        <v>33.000000000000156</v>
      </c>
      <c r="AD694" s="323">
        <f t="shared" ca="1" si="316"/>
        <v>838.13360961898434</v>
      </c>
      <c r="AE694" s="324" t="e">
        <f t="shared" ca="1" si="295"/>
        <v>#N/A</v>
      </c>
      <c r="AG694" s="306">
        <f t="shared" ca="1" si="317"/>
        <v>2.9704441505276087</v>
      </c>
      <c r="AH694" s="304">
        <f t="shared" ca="1" si="318"/>
        <v>-6.7617555038360599</v>
      </c>
    </row>
    <row r="695" spans="1:34" x14ac:dyDescent="0.2">
      <c r="A695" s="347">
        <f t="shared" ca="1" si="296"/>
        <v>0.1</v>
      </c>
      <c r="B695" s="304">
        <f t="shared" ca="1" si="297"/>
        <v>33.100000000000158</v>
      </c>
      <c r="D695" s="306">
        <f t="shared" ca="1" si="298"/>
        <v>-0.84814069346930343</v>
      </c>
      <c r="E695" s="307">
        <f t="shared" ca="1" si="299"/>
        <v>-3.0591744247862049</v>
      </c>
      <c r="F695" s="304">
        <f t="shared" ca="1" si="300"/>
        <v>3.1745693876783667</v>
      </c>
      <c r="G695" s="306">
        <f t="shared" ca="1" si="301"/>
        <v>14.619624978798262</v>
      </c>
      <c r="H695" s="307">
        <f t="shared" ca="1" si="302"/>
        <v>-117.34676215108549</v>
      </c>
      <c r="I695" s="304">
        <f t="shared" ca="1" si="303"/>
        <v>118.25394717244804</v>
      </c>
      <c r="J695" s="306">
        <f t="shared" ca="1" si="304"/>
        <v>839.59981282033152</v>
      </c>
      <c r="K695" s="307">
        <f t="shared" ca="1" si="305"/>
        <v>155.69228936503575</v>
      </c>
      <c r="L695" s="304">
        <f t="shared" ca="1" si="290"/>
        <v>853.91330628797539</v>
      </c>
      <c r="M695" s="306">
        <f t="shared" ca="1" si="306"/>
        <v>-1.4468501479240885</v>
      </c>
      <c r="N695" s="304">
        <f t="shared" ca="1" si="307"/>
        <v>-82.898407063929113</v>
      </c>
      <c r="P695" s="310">
        <f t="shared" ca="1" si="308"/>
        <v>23</v>
      </c>
      <c r="Q695" s="304">
        <f t="shared" ca="1" si="309"/>
        <v>0</v>
      </c>
      <c r="R695" s="306">
        <f t="shared" ca="1" si="310"/>
        <v>0</v>
      </c>
      <c r="S695" s="307">
        <f t="shared" ca="1" si="311"/>
        <v>8.1379999999999981</v>
      </c>
      <c r="T695" s="304">
        <f t="shared" ca="1" si="291"/>
        <v>79.83377999999999</v>
      </c>
      <c r="U695" s="311">
        <f t="shared" ca="1" si="292"/>
        <v>0</v>
      </c>
      <c r="V695" s="306">
        <f t="shared" ca="1" si="293"/>
        <v>1.2060750182396065</v>
      </c>
      <c r="W695" s="304">
        <f t="shared" ca="1" si="294"/>
        <v>55.710780933071419</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2.9295881265089179</v>
      </c>
      <c r="AH695" s="304">
        <f t="shared" ca="1" si="318"/>
        <v>-6.8038951037533835</v>
      </c>
    </row>
    <row r="696" spans="1:34" x14ac:dyDescent="0.2">
      <c r="A696" s="347">
        <f t="shared" ca="1" si="296"/>
        <v>0.1</v>
      </c>
      <c r="B696" s="304">
        <f t="shared" ca="1" si="297"/>
        <v>33.200000000000159</v>
      </c>
      <c r="D696" s="306">
        <f t="shared" ca="1" si="298"/>
        <v>-0.84633469945618389</v>
      </c>
      <c r="E696" s="307">
        <f t="shared" ca="1" si="299"/>
        <v>-3.0167589407167581</v>
      </c>
      <c r="F696" s="304">
        <f t="shared" ca="1" si="300"/>
        <v>3.1332278771098161</v>
      </c>
      <c r="G696" s="306">
        <f t="shared" ca="1" si="301"/>
        <v>14.534991508852643</v>
      </c>
      <c r="H696" s="307">
        <f t="shared" ca="1" si="302"/>
        <v>-117.64843804515716</v>
      </c>
      <c r="I696" s="304">
        <f t="shared" ca="1" si="303"/>
        <v>118.54290764372031</v>
      </c>
      <c r="J696" s="306">
        <f t="shared" ca="1" si="304"/>
        <v>841.05754364471409</v>
      </c>
      <c r="K696" s="307">
        <f t="shared" ca="1" si="305"/>
        <v>143.94252935522363</v>
      </c>
      <c r="L696" s="304">
        <f t="shared" ca="1" si="290"/>
        <v>853.28614396277385</v>
      </c>
      <c r="M696" s="306">
        <f t="shared" ca="1" si="306"/>
        <v>-1.4478732385231696</v>
      </c>
      <c r="N696" s="304">
        <f t="shared" ca="1" si="307"/>
        <v>-82.957025837315982</v>
      </c>
      <c r="P696" s="310">
        <f t="shared" ca="1" si="308"/>
        <v>23</v>
      </c>
      <c r="Q696" s="304">
        <f t="shared" ca="1" si="309"/>
        <v>0</v>
      </c>
      <c r="R696" s="306">
        <f t="shared" ca="1" si="310"/>
        <v>0</v>
      </c>
      <c r="S696" s="307">
        <f t="shared" ca="1" si="311"/>
        <v>8.1379999999999981</v>
      </c>
      <c r="T696" s="304">
        <f t="shared" ca="1" si="291"/>
        <v>79.83377999999999</v>
      </c>
      <c r="U696" s="311">
        <f t="shared" ca="1" si="292"/>
        <v>0</v>
      </c>
      <c r="V696" s="306">
        <f t="shared" ca="1" si="293"/>
        <v>1.207493039959463</v>
      </c>
      <c r="W696" s="304">
        <f t="shared" ca="1" si="294"/>
        <v>56.049200200698998</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2.8889843099499846</v>
      </c>
      <c r="AH696" s="304">
        <f t="shared" ca="1" si="318"/>
        <v>-6.8457582861970305</v>
      </c>
    </row>
    <row r="697" spans="1:34" x14ac:dyDescent="0.2">
      <c r="A697" s="347">
        <f t="shared" ca="1" si="296"/>
        <v>0.1</v>
      </c>
      <c r="B697" s="304">
        <f t="shared" ca="1" si="297"/>
        <v>33.300000000000161</v>
      </c>
      <c r="D697" s="306">
        <f t="shared" ca="1" si="298"/>
        <v>-0.84448305793659673</v>
      </c>
      <c r="E697" s="307">
        <f t="shared" ca="1" si="299"/>
        <v>-2.9746253345708897</v>
      </c>
      <c r="F697" s="304">
        <f t="shared" ca="1" si="300"/>
        <v>3.0921752078776072</v>
      </c>
      <c r="G697" s="306">
        <f t="shared" ca="1" si="301"/>
        <v>14.450543203058984</v>
      </c>
      <c r="H697" s="307">
        <f t="shared" ca="1" si="302"/>
        <v>-117.94590057861426</v>
      </c>
      <c r="I697" s="304">
        <f t="shared" ca="1" si="303"/>
        <v>118.82783201827691</v>
      </c>
      <c r="J697" s="306">
        <f t="shared" ca="1" si="304"/>
        <v>842.5068203803097</v>
      </c>
      <c r="K697" s="307">
        <f t="shared" ca="1" si="305"/>
        <v>132.16281242403505</v>
      </c>
      <c r="L697" s="304">
        <f t="shared" ca="1" si="290"/>
        <v>852.8099151482528</v>
      </c>
      <c r="M697" s="306">
        <f t="shared" ca="1" si="306"/>
        <v>-1.44888549395253</v>
      </c>
      <c r="N697" s="304">
        <f t="shared" ca="1" si="307"/>
        <v>-83.015023801207533</v>
      </c>
      <c r="P697" s="310">
        <f t="shared" ca="1" si="308"/>
        <v>23</v>
      </c>
      <c r="Q697" s="304">
        <f t="shared" ca="1" si="309"/>
        <v>0</v>
      </c>
      <c r="R697" s="306">
        <f t="shared" ca="1" si="310"/>
        <v>0</v>
      </c>
      <c r="S697" s="307">
        <f t="shared" ca="1" si="311"/>
        <v>8.1379999999999981</v>
      </c>
      <c r="T697" s="304">
        <f t="shared" ca="1" si="291"/>
        <v>79.83377999999999</v>
      </c>
      <c r="U697" s="311">
        <f t="shared" ca="1" si="292"/>
        <v>0</v>
      </c>
      <c r="V697" s="306">
        <f t="shared" ca="1" si="293"/>
        <v>1.2089163385744597</v>
      </c>
      <c r="W697" s="304">
        <f t="shared" ca="1" si="294"/>
        <v>56.385343045178281</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2.8486349543597385</v>
      </c>
      <c r="AH697" s="304">
        <f t="shared" ca="1" si="318"/>
        <v>-6.887343352260876</v>
      </c>
    </row>
    <row r="698" spans="1:34" x14ac:dyDescent="0.2">
      <c r="A698" s="347">
        <f t="shared" ca="1" si="296"/>
        <v>0.1</v>
      </c>
      <c r="B698" s="304">
        <f t="shared" ca="1" si="297"/>
        <v>33.400000000000162</v>
      </c>
      <c r="D698" s="306">
        <f t="shared" ca="1" si="298"/>
        <v>-0.84258658551342824</v>
      </c>
      <c r="E698" s="307">
        <f t="shared" ca="1" si="299"/>
        <v>-2.932775230843677</v>
      </c>
      <c r="F698" s="304">
        <f t="shared" ca="1" si="300"/>
        <v>3.0514132313958005</v>
      </c>
      <c r="G698" s="306">
        <f t="shared" ca="1" si="301"/>
        <v>14.366284544507641</v>
      </c>
      <c r="H698" s="307">
        <f t="shared" ca="1" si="302"/>
        <v>-118.23917810169863</v>
      </c>
      <c r="I698" s="304">
        <f t="shared" ca="1" si="303"/>
        <v>119.10874598357154</v>
      </c>
      <c r="J698" s="306">
        <f t="shared" ca="1" si="304"/>
        <v>843.94766176768803</v>
      </c>
      <c r="K698" s="307">
        <f t="shared" ca="1" si="305"/>
        <v>120.35355849001941</v>
      </c>
      <c r="L698" s="304">
        <f t="shared" ca="1" si="290"/>
        <v>852.48614935631565</v>
      </c>
      <c r="M698" s="306">
        <f t="shared" ca="1" si="306"/>
        <v>-1.4498870872897132</v>
      </c>
      <c r="N698" s="304">
        <f t="shared" ca="1" si="307"/>
        <v>-83.072410872216551</v>
      </c>
      <c r="P698" s="310">
        <f t="shared" ca="1" si="308"/>
        <v>23</v>
      </c>
      <c r="Q698" s="304">
        <f t="shared" ca="1" si="309"/>
        <v>0</v>
      </c>
      <c r="R698" s="306">
        <f t="shared" ca="1" si="310"/>
        <v>0</v>
      </c>
      <c r="S698" s="307">
        <f t="shared" ca="1" si="311"/>
        <v>8.1379999999999981</v>
      </c>
      <c r="T698" s="304">
        <f t="shared" ca="1" si="291"/>
        <v>79.83377999999999</v>
      </c>
      <c r="U698" s="311">
        <f t="shared" ca="1" si="292"/>
        <v>0</v>
      </c>
      <c r="V698" s="306">
        <f t="shared" ca="1" si="293"/>
        <v>1.2103448788837945</v>
      </c>
      <c r="W698" s="304">
        <f t="shared" ca="1" si="294"/>
        <v>56.719197058639196</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2.8085422099504402</v>
      </c>
      <c r="AH698" s="304">
        <f t="shared" ca="1" si="318"/>
        <v>-6.9286486907321567</v>
      </c>
    </row>
    <row r="699" spans="1:34" x14ac:dyDescent="0.2">
      <c r="A699" s="347">
        <f t="shared" ca="1" si="296"/>
        <v>0.1</v>
      </c>
      <c r="B699" s="304">
        <f t="shared" ca="1" si="297"/>
        <v>33.500000000000163</v>
      </c>
      <c r="D699" s="306">
        <f t="shared" ca="1" si="298"/>
        <v>-0.84064609587330741</v>
      </c>
      <c r="E699" s="307">
        <f t="shared" ca="1" si="299"/>
        <v>-2.8912101665867356</v>
      </c>
      <c r="F699" s="304">
        <f t="shared" ca="1" si="300"/>
        <v>3.010943720145153</v>
      </c>
      <c r="G699" s="306">
        <f t="shared" ca="1" si="301"/>
        <v>14.28221993492031</v>
      </c>
      <c r="H699" s="307">
        <f t="shared" ca="1" si="302"/>
        <v>-118.5282991183573</v>
      </c>
      <c r="I699" s="304">
        <f t="shared" ca="1" si="303"/>
        <v>119.38567543118485</v>
      </c>
      <c r="J699" s="306">
        <f t="shared" ca="1" si="304"/>
        <v>845.38008699165948</v>
      </c>
      <c r="K699" s="307">
        <f t="shared" ca="1" si="305"/>
        <v>108.51518462901662</v>
      </c>
      <c r="L699" s="304">
        <f t="shared" ca="1" si="290"/>
        <v>852.31627743291119</v>
      </c>
      <c r="M699" s="306">
        <f t="shared" ca="1" si="306"/>
        <v>-1.4508781877307444</v>
      </c>
      <c r="N699" s="304">
        <f t="shared" ca="1" si="307"/>
        <v>-83.129196744561199</v>
      </c>
      <c r="P699" s="310">
        <f t="shared" ca="1" si="308"/>
        <v>23</v>
      </c>
      <c r="Q699" s="304">
        <f t="shared" ca="1" si="309"/>
        <v>0</v>
      </c>
      <c r="R699" s="306">
        <f t="shared" ca="1" si="310"/>
        <v>0</v>
      </c>
      <c r="S699" s="307">
        <f t="shared" ca="1" si="311"/>
        <v>8.1379999999999981</v>
      </c>
      <c r="T699" s="304">
        <f t="shared" ca="1" si="291"/>
        <v>79.83377999999999</v>
      </c>
      <c r="U699" s="311">
        <f t="shared" ca="1" si="292"/>
        <v>0</v>
      </c>
      <c r="V699" s="306">
        <f t="shared" ca="1" si="293"/>
        <v>1.2117786258756531</v>
      </c>
      <c r="W699" s="304">
        <f t="shared" ca="1" si="294"/>
        <v>57.050750527828271</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2.7687081253246619</v>
      </c>
      <c r="AH699" s="304">
        <f t="shared" ca="1" si="318"/>
        <v>-6.9696727769278946</v>
      </c>
    </row>
    <row r="700" spans="1:34" x14ac:dyDescent="0.2">
      <c r="A700" s="347">
        <f t="shared" ca="1" si="296"/>
        <v>0.1</v>
      </c>
      <c r="B700" s="304">
        <f t="shared" ca="1" si="297"/>
        <v>33.600000000000165</v>
      </c>
      <c r="D700" s="306">
        <f t="shared" ca="1" si="298"/>
        <v>-0.83866239957942756</v>
      </c>
      <c r="E700" s="307">
        <f t="shared" ca="1" si="299"/>
        <v>-2.8499315925935349</v>
      </c>
      <c r="F700" s="304">
        <f t="shared" ca="1" si="300"/>
        <v>2.9707683691144697</v>
      </c>
      <c r="G700" s="306">
        <f t="shared" ca="1" si="301"/>
        <v>14.198353694962368</v>
      </c>
      <c r="H700" s="307">
        <f t="shared" ca="1" si="302"/>
        <v>-118.81329227761665</v>
      </c>
      <c r="I700" s="304">
        <f t="shared" ca="1" si="303"/>
        <v>119.6586464468557</v>
      </c>
      <c r="J700" s="306">
        <f t="shared" ca="1" si="304"/>
        <v>846.80411567315366</v>
      </c>
      <c r="K700" s="307">
        <f t="shared" ca="1" si="305"/>
        <v>96.648105059217926</v>
      </c>
      <c r="L700" s="304">
        <f t="shared" ca="1" si="290"/>
        <v>852.30162884540437</v>
      </c>
      <c r="M700" s="306">
        <f t="shared" ca="1" si="306"/>
        <v>-1.4518589606977232</v>
      </c>
      <c r="N700" s="304">
        <f t="shared" ca="1" si="307"/>
        <v>-83.185390896229606</v>
      </c>
      <c r="P700" s="310">
        <f t="shared" ca="1" si="308"/>
        <v>23</v>
      </c>
      <c r="Q700" s="304">
        <f t="shared" ca="1" si="309"/>
        <v>0</v>
      </c>
      <c r="R700" s="306">
        <f t="shared" ca="1" si="310"/>
        <v>0</v>
      </c>
      <c r="S700" s="307">
        <f t="shared" ca="1" si="311"/>
        <v>8.1379999999999981</v>
      </c>
      <c r="T700" s="304">
        <f t="shared" ca="1" si="291"/>
        <v>79.83377999999999</v>
      </c>
      <c r="U700" s="311">
        <f t="shared" ca="1" si="292"/>
        <v>0</v>
      </c>
      <c r="V700" s="306">
        <f t="shared" ca="1" si="293"/>
        <v>1.2132175447289901</v>
      </c>
      <c r="W700" s="304">
        <f t="shared" ca="1" si="294"/>
        <v>57.379992424459751</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2.7291346491535107</v>
      </c>
      <c r="AH700" s="304">
        <f t="shared" ca="1" si="318"/>
        <v>-7.0104141715198187</v>
      </c>
    </row>
    <row r="701" spans="1:34" x14ac:dyDescent="0.2">
      <c r="A701" s="347">
        <f t="shared" ca="1" si="296"/>
        <v>0.1</v>
      </c>
      <c r="B701" s="304">
        <f t="shared" ca="1" si="297"/>
        <v>33.700000000000166</v>
      </c>
      <c r="D701" s="306">
        <f t="shared" ca="1" si="298"/>
        <v>-0.83663630387054477</v>
      </c>
      <c r="E701" s="307">
        <f t="shared" ca="1" si="299"/>
        <v>-2.8089408745955762</v>
      </c>
      <c r="F701" s="304">
        <f t="shared" ca="1" si="300"/>
        <v>2.9308887972640529</v>
      </c>
      <c r="G701" s="306">
        <f t="shared" ca="1" si="301"/>
        <v>14.114690064575313</v>
      </c>
      <c r="H701" s="307">
        <f t="shared" ca="1" si="302"/>
        <v>-119.09418636507621</v>
      </c>
      <c r="I701" s="304">
        <f t="shared" ca="1" si="303"/>
        <v>119.92768530067828</v>
      </c>
      <c r="J701" s="306">
        <f t="shared" ca="1" si="304"/>
        <v>848.21976786113055</v>
      </c>
      <c r="K701" s="307">
        <f t="shared" ca="1" si="305"/>
        <v>84.75273112708328</v>
      </c>
      <c r="L701" s="304">
        <f t="shared" ca="1" si="290"/>
        <v>852.44342922207443</v>
      </c>
      <c r="M701" s="306">
        <f t="shared" ca="1" si="306"/>
        <v>-1.4528295679429148</v>
      </c>
      <c r="N701" s="304">
        <f t="shared" ca="1" si="307"/>
        <v>-83.241002594943907</v>
      </c>
      <c r="P701" s="310">
        <f t="shared" ca="1" si="308"/>
        <v>23</v>
      </c>
      <c r="Q701" s="304">
        <f t="shared" ca="1" si="309"/>
        <v>0</v>
      </c>
      <c r="R701" s="306">
        <f t="shared" ca="1" si="310"/>
        <v>0</v>
      </c>
      <c r="S701" s="307">
        <f t="shared" ca="1" si="311"/>
        <v>8.1379999999999981</v>
      </c>
      <c r="T701" s="304">
        <f t="shared" ca="1" si="291"/>
        <v>79.83377999999999</v>
      </c>
      <c r="U701" s="311">
        <f t="shared" ca="1" si="292"/>
        <v>0</v>
      </c>
      <c r="V701" s="306">
        <f t="shared" ca="1" si="293"/>
        <v>1.214661600815252</v>
      </c>
      <c r="W701" s="304">
        <f t="shared" ca="1" si="294"/>
        <v>57.706912395488068</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2.6898236318460889</v>
      </c>
      <c r="AH701" s="304">
        <f t="shared" ca="1" si="318"/>
        <v>-7.0508715193487053</v>
      </c>
    </row>
    <row r="702" spans="1:34" x14ac:dyDescent="0.2">
      <c r="A702" s="347">
        <f t="shared" ca="1" si="296"/>
        <v>0.1</v>
      </c>
      <c r="B702" s="304">
        <f t="shared" ca="1" si="297"/>
        <v>33.800000000000168</v>
      </c>
      <c r="D702" s="306">
        <f t="shared" ca="1" si="298"/>
        <v>-0.83456861246611203</v>
      </c>
      <c r="E702" s="307">
        <f t="shared" ca="1" si="299"/>
        <v>-2.7682392944685104</v>
      </c>
      <c r="F702" s="304">
        <f t="shared" ca="1" si="300"/>
        <v>2.8913065490108667</v>
      </c>
      <c r="G702" s="306">
        <f t="shared" ca="1" si="301"/>
        <v>14.031233203328702</v>
      </c>
      <c r="H702" s="307">
        <f t="shared" ca="1" si="302"/>
        <v>-119.37101029452306</v>
      </c>
      <c r="I702" s="304">
        <f t="shared" ca="1" si="303"/>
        <v>120.19281843746457</v>
      </c>
      <c r="J702" s="306">
        <f t="shared" ca="1" si="304"/>
        <v>849.62706402452579</v>
      </c>
      <c r="K702" s="307">
        <f t="shared" ca="1" si="305"/>
        <v>72.829471294103314</v>
      </c>
      <c r="L702" s="304">
        <f t="shared" ca="1" si="290"/>
        <v>852.74279815892567</v>
      </c>
      <c r="M702" s="306">
        <f t="shared" ca="1" si="306"/>
        <v>-1.4537901676494702</v>
      </c>
      <c r="N702" s="304">
        <f t="shared" ca="1" si="307"/>
        <v>-83.296040903931029</v>
      </c>
      <c r="P702" s="310">
        <f t="shared" ca="1" si="308"/>
        <v>23</v>
      </c>
      <c r="Q702" s="304">
        <f t="shared" ca="1" si="309"/>
        <v>0</v>
      </c>
      <c r="R702" s="306">
        <f t="shared" ca="1" si="310"/>
        <v>0</v>
      </c>
      <c r="S702" s="307">
        <f t="shared" ca="1" si="311"/>
        <v>8.1379999999999981</v>
      </c>
      <c r="T702" s="304">
        <f t="shared" ca="1" si="291"/>
        <v>79.83377999999999</v>
      </c>
      <c r="U702" s="311">
        <f t="shared" ca="1" si="292"/>
        <v>0</v>
      </c>
      <c r="V702" s="306">
        <f t="shared" ca="1" si="293"/>
        <v>1.2161107597000351</v>
      </c>
      <c r="W702" s="304">
        <f t="shared" ca="1" si="294"/>
        <v>58.031500753308769</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2.6507768272100565</v>
      </c>
      <c r="AH702" s="304">
        <f t="shared" ca="1" si="318"/>
        <v>-7.0910435482290586</v>
      </c>
    </row>
    <row r="703" spans="1:34" x14ac:dyDescent="0.2">
      <c r="A703" s="347">
        <f t="shared" ca="1" si="296"/>
        <v>0.1</v>
      </c>
      <c r="B703" s="304">
        <f t="shared" ca="1" si="297"/>
        <v>33.900000000000169</v>
      </c>
      <c r="D703" s="306">
        <f t="shared" ca="1" si="298"/>
        <v>-0.83246012537748737</v>
      </c>
      <c r="E703" s="307">
        <f t="shared" ca="1" si="299"/>
        <v>-2.7278280514472808</v>
      </c>
      <c r="F703" s="304">
        <f t="shared" ca="1" si="300"/>
        <v>2.8520230957350559</v>
      </c>
      <c r="G703" s="306">
        <f t="shared" ca="1" si="301"/>
        <v>13.947987190790952</v>
      </c>
      <c r="H703" s="307">
        <f t="shared" ca="1" si="302"/>
        <v>-119.64379309966779</v>
      </c>
      <c r="I703" s="304">
        <f t="shared" ca="1" si="303"/>
        <v>120.45407246727103</v>
      </c>
      <c r="J703" s="306">
        <f t="shared" ca="1" si="304"/>
        <v>851.0260250442318</v>
      </c>
      <c r="K703" s="307">
        <f t="shared" ca="1" si="305"/>
        <v>60.878731124393774</v>
      </c>
      <c r="L703" s="304">
        <f t="shared" ca="1" si="290"/>
        <v>853.20074730739759</v>
      </c>
      <c r="M703" s="306">
        <f t="shared" ca="1" si="306"/>
        <v>-1.4547409145289016</v>
      </c>
      <c r="N703" s="304">
        <f t="shared" ca="1" si="307"/>
        <v>-83.350514687507683</v>
      </c>
      <c r="P703" s="310">
        <f t="shared" ca="1" si="308"/>
        <v>23</v>
      </c>
      <c r="Q703" s="304">
        <f t="shared" ca="1" si="309"/>
        <v>0</v>
      </c>
      <c r="R703" s="306">
        <f t="shared" ca="1" si="310"/>
        <v>0</v>
      </c>
      <c r="S703" s="307">
        <f t="shared" ca="1" si="311"/>
        <v>8.1379999999999981</v>
      </c>
      <c r="T703" s="304">
        <f t="shared" ca="1" si="291"/>
        <v>79.83377999999999</v>
      </c>
      <c r="U703" s="311">
        <f t="shared" ca="1" si="292"/>
        <v>0</v>
      </c>
      <c r="V703" s="306">
        <f t="shared" ca="1" si="293"/>
        <v>1.2175649871446879</v>
      </c>
      <c r="W703" s="304">
        <f t="shared" ca="1" si="294"/>
        <v>58.353748465895414</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2.6119958941032797</v>
      </c>
      <c r="AH703" s="304">
        <f t="shared" ca="1" si="318"/>
        <v>-7.1309290677449964</v>
      </c>
    </row>
    <row r="704" spans="1:34" x14ac:dyDescent="0.2">
      <c r="A704" s="347">
        <f t="shared" ca="1" si="296"/>
        <v>0.1</v>
      </c>
      <c r="B704" s="304">
        <f t="shared" ca="1" si="297"/>
        <v>34.000000000000171</v>
      </c>
      <c r="D704" s="306">
        <f t="shared" ca="1" si="298"/>
        <v>-0.83031163872515934</v>
      </c>
      <c r="E704" s="307">
        <f t="shared" ca="1" si="299"/>
        <v>-2.6877082633493874</v>
      </c>
      <c r="F704" s="304">
        <f t="shared" ca="1" si="300"/>
        <v>2.8130398373075063</v>
      </c>
      <c r="G704" s="306">
        <f t="shared" ca="1" si="301"/>
        <v>13.864956026918437</v>
      </c>
      <c r="H704" s="307">
        <f t="shared" ca="1" si="302"/>
        <v>-119.91256392600273</v>
      </c>
      <c r="I704" s="304">
        <f t="shared" ca="1" si="303"/>
        <v>120.71147415608871</v>
      </c>
      <c r="J704" s="306">
        <f t="shared" ca="1" si="304"/>
        <v>852.41667220511727</v>
      </c>
      <c r="K704" s="307">
        <f t="shared" ca="1" si="305"/>
        <v>48.900913273110248</v>
      </c>
      <c r="L704" s="304">
        <f t="shared" ca="1" si="290"/>
        <v>853.81817875481579</v>
      </c>
      <c r="M704" s="306">
        <f t="shared" ca="1" si="306"/>
        <v>-1.4556819599154345</v>
      </c>
      <c r="N704" s="304">
        <f t="shared" ca="1" si="307"/>
        <v>-83.404432616486275</v>
      </c>
      <c r="P704" s="310">
        <f t="shared" ca="1" si="308"/>
        <v>23</v>
      </c>
      <c r="Q704" s="304">
        <f t="shared" ca="1" si="309"/>
        <v>0</v>
      </c>
      <c r="R704" s="306">
        <f t="shared" ca="1" si="310"/>
        <v>0</v>
      </c>
      <c r="S704" s="307">
        <f t="shared" ca="1" si="311"/>
        <v>8.1379999999999981</v>
      </c>
      <c r="T704" s="304">
        <f t="shared" ca="1" si="291"/>
        <v>79.83377999999999</v>
      </c>
      <c r="U704" s="311">
        <f t="shared" ca="1" si="292"/>
        <v>0</v>
      </c>
      <c r="V704" s="306">
        <f t="shared" ca="1" si="293"/>
        <v>1.2190242491078498</v>
      </c>
      <c r="W704" s="304">
        <f t="shared" ca="1" si="294"/>
        <v>58.673647146878821</v>
      </c>
      <c r="Y704" s="314" t="str">
        <f t="shared" ca="1" si="312"/>
        <v/>
      </c>
      <c r="Z704" s="315" t="str">
        <f t="shared" ca="1" si="313"/>
        <v/>
      </c>
      <c r="AA704" s="316" t="str">
        <f t="shared" ca="1" si="314"/>
        <v/>
      </c>
      <c r="AC704" s="310">
        <f t="shared" ca="1" si="315"/>
        <v>34.000000000000171</v>
      </c>
      <c r="AD704" s="323">
        <f t="shared" ca="1" si="316"/>
        <v>852.41667220511727</v>
      </c>
      <c r="AE704" s="324" t="e">
        <f t="shared" ca="1" si="295"/>
        <v>#N/A</v>
      </c>
      <c r="AG704" s="306">
        <f t="shared" ca="1" si="317"/>
        <v>2.5734823980763766</v>
      </c>
      <c r="AH704" s="304">
        <f t="shared" ca="1" si="318"/>
        <v>-7.1705269680382679</v>
      </c>
    </row>
    <row r="705" spans="1:34" x14ac:dyDescent="0.2">
      <c r="A705" s="347">
        <f t="shared" ca="1" si="296"/>
        <v>0.1</v>
      </c>
      <c r="B705" s="304">
        <f t="shared" ca="1" si="297"/>
        <v>34.100000000000172</v>
      </c>
      <c r="D705" s="306">
        <f t="shared" ca="1" si="298"/>
        <v>-0.82812394456190896</v>
      </c>
      <c r="E705" s="307">
        <f t="shared" ca="1" si="299"/>
        <v>-2.6478809678054294</v>
      </c>
      <c r="F705" s="304">
        <f t="shared" ca="1" si="300"/>
        <v>2.7743581036382077</v>
      </c>
      <c r="G705" s="306">
        <f t="shared" ca="1" si="301"/>
        <v>13.782143632462246</v>
      </c>
      <c r="H705" s="307">
        <f t="shared" ca="1" si="302"/>
        <v>-120.17735202278328</v>
      </c>
      <c r="I705" s="304">
        <f t="shared" ca="1" si="303"/>
        <v>120.96505041669595</v>
      </c>
      <c r="J705" s="306">
        <f t="shared" ca="1" si="304"/>
        <v>853.79902718808626</v>
      </c>
      <c r="K705" s="307">
        <f t="shared" ca="1" si="305"/>
        <v>36.896417475670944</v>
      </c>
      <c r="L705" s="304">
        <f t="shared" ca="1" si="290"/>
        <v>854.5958837075342</v>
      </c>
      <c r="M705" s="306">
        <f t="shared" ca="1" si="306"/>
        <v>-1.4566134518573475</v>
      </c>
      <c r="N705" s="304">
        <f t="shared" ca="1" si="307"/>
        <v>-83.457803173408337</v>
      </c>
      <c r="P705" s="310">
        <f t="shared" ca="1" si="308"/>
        <v>23</v>
      </c>
      <c r="Q705" s="304">
        <f t="shared" ca="1" si="309"/>
        <v>0</v>
      </c>
      <c r="R705" s="306">
        <f t="shared" ca="1" si="310"/>
        <v>0</v>
      </c>
      <c r="S705" s="307">
        <f t="shared" ca="1" si="311"/>
        <v>8.1379999999999981</v>
      </c>
      <c r="T705" s="304">
        <f t="shared" ca="1" si="291"/>
        <v>79.83377999999999</v>
      </c>
      <c r="U705" s="311">
        <f t="shared" ca="1" si="292"/>
        <v>0</v>
      </c>
      <c r="V705" s="306">
        <f t="shared" ca="1" si="293"/>
        <v>1.2204885117469317</v>
      </c>
      <c r="W705" s="304">
        <f t="shared" ca="1" si="294"/>
        <v>58.991189045575972</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2.5352378130061055</v>
      </c>
      <c r="AH705" s="304">
        <f t="shared" ca="1" si="318"/>
        <v>-7.2098362185891904</v>
      </c>
    </row>
    <row r="706" spans="1:34" x14ac:dyDescent="0.2">
      <c r="A706" s="347">
        <f t="shared" ca="1" si="296"/>
        <v>0.1</v>
      </c>
      <c r="B706" s="304">
        <f t="shared" ca="1" si="297"/>
        <v>34.200000000000173</v>
      </c>
      <c r="D706" s="306">
        <f t="shared" ca="1" si="298"/>
        <v>-0.8258978307018745</v>
      </c>
      <c r="E706" s="307">
        <f t="shared" ca="1" si="299"/>
        <v>-2.6083471234960562</v>
      </c>
      <c r="F706" s="304">
        <f t="shared" ca="1" si="300"/>
        <v>2.7359791562452029</v>
      </c>
      <c r="G706" s="306">
        <f t="shared" ca="1" si="301"/>
        <v>13.699553849392059</v>
      </c>
      <c r="H706" s="307">
        <f t="shared" ca="1" si="302"/>
        <v>-120.43818673513289</v>
      </c>
      <c r="I706" s="304">
        <f t="shared" ca="1" si="303"/>
        <v>121.21482829967269</v>
      </c>
      <c r="J706" s="306">
        <f t="shared" ca="1" si="304"/>
        <v>855.17311206217892</v>
      </c>
      <c r="K706" s="307">
        <f t="shared" ca="1" si="305"/>
        <v>24.865640537775135</v>
      </c>
      <c r="L706" s="304">
        <f t="shared" ca="1" si="290"/>
        <v>855.53454148471758</v>
      </c>
      <c r="M706" s="306">
        <f t="shared" ca="1" si="306"/>
        <v>-1.4575355352054145</v>
      </c>
      <c r="N706" s="304">
        <f t="shared" ca="1" si="307"/>
        <v>-83.51063465761186</v>
      </c>
      <c r="P706" s="310">
        <f t="shared" ca="1" si="308"/>
        <v>23</v>
      </c>
      <c r="Q706" s="304">
        <f t="shared" ca="1" si="309"/>
        <v>0</v>
      </c>
      <c r="R706" s="306">
        <f t="shared" ca="1" si="310"/>
        <v>0</v>
      </c>
      <c r="S706" s="307">
        <f t="shared" ca="1" si="311"/>
        <v>8.1379999999999981</v>
      </c>
      <c r="T706" s="304">
        <f t="shared" ca="1" si="291"/>
        <v>79.83377999999999</v>
      </c>
      <c r="U706" s="311">
        <f t="shared" ca="1" si="292"/>
        <v>0</v>
      </c>
      <c r="V706" s="306">
        <f t="shared" ca="1" si="293"/>
        <v>1.2219577414195366</v>
      </c>
      <c r="W706" s="304">
        <f t="shared" ca="1" si="294"/>
        <v>59.306367036974819</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2.4972635227193969</v>
      </c>
      <c r="AH706" s="304">
        <f t="shared" ca="1" si="318"/>
        <v>-7.2488558669913967</v>
      </c>
    </row>
    <row r="707" spans="1:34" x14ac:dyDescent="0.2">
      <c r="A707" s="347">
        <f t="shared" ca="1" si="296"/>
        <v>0.1</v>
      </c>
      <c r="B707" s="304">
        <f t="shared" ca="1" si="297"/>
        <v>34.300000000000175</v>
      </c>
      <c r="D707" s="306">
        <f t="shared" ca="1" si="298"/>
        <v>-0.82363408055542831</v>
      </c>
      <c r="E707" s="307">
        <f t="shared" ca="1" si="299"/>
        <v>-2.5691076113945055</v>
      </c>
      <c r="F707" s="304">
        <f t="shared" ca="1" si="300"/>
        <v>2.6979041898439551</v>
      </c>
      <c r="G707" s="306">
        <f t="shared" ca="1" si="301"/>
        <v>13.617190441336517</v>
      </c>
      <c r="H707" s="307">
        <f t="shared" ca="1" si="302"/>
        <v>-120.69509749627234</v>
      </c>
      <c r="I707" s="304">
        <f t="shared" ca="1" si="303"/>
        <v>121.46083498457564</v>
      </c>
      <c r="J707" s="306">
        <f t="shared" ca="1" si="304"/>
        <v>856.53894927671536</v>
      </c>
      <c r="K707" s="307">
        <f t="shared" ca="1" si="305"/>
        <v>12.808976326204872</v>
      </c>
      <c r="L707" s="304">
        <f t="shared" ca="1" si="290"/>
        <v>856.63471882861768</v>
      </c>
      <c r="M707" s="306">
        <f t="shared" ca="1" si="306"/>
        <v>-1.4584483516985538</v>
      </c>
      <c r="N707" s="304">
        <f t="shared" ca="1" si="307"/>
        <v>-83.562935190138688</v>
      </c>
      <c r="P707" s="310">
        <f t="shared" ca="1" si="308"/>
        <v>23</v>
      </c>
      <c r="Q707" s="304">
        <f t="shared" ca="1" si="309"/>
        <v>0</v>
      </c>
      <c r="R707" s="306">
        <f t="shared" ca="1" si="310"/>
        <v>0</v>
      </c>
      <c r="S707" s="307">
        <f t="shared" ca="1" si="311"/>
        <v>8.1379999999999981</v>
      </c>
      <c r="T707" s="304">
        <f t="shared" ca="1" si="291"/>
        <v>79.83377999999999</v>
      </c>
      <c r="U707" s="311">
        <f t="shared" ca="1" si="292"/>
        <v>0</v>
      </c>
      <c r="V707" s="306">
        <f t="shared" ca="1" si="293"/>
        <v>1.2234319046848285</v>
      </c>
      <c r="W707" s="304">
        <f t="shared" ca="1" si="294"/>
        <v>59.619174611682247</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2.4595608226079078</v>
      </c>
      <c r="AH707" s="304">
        <f t="shared" ca="1" si="318"/>
        <v>-7.2875850377211639</v>
      </c>
    </row>
    <row r="708" spans="1:34" x14ac:dyDescent="0.2">
      <c r="A708" s="347">
        <f t="shared" ca="1" si="296"/>
        <v>0.1</v>
      </c>
      <c r="B708" s="304">
        <f t="shared" ca="1" si="297"/>
        <v>34.400000000000176</v>
      </c>
      <c r="D708" s="306">
        <f t="shared" ca="1" si="298"/>
        <v>-0.82133347296980408</v>
      </c>
      <c r="E708" s="307">
        <f t="shared" ca="1" si="299"/>
        <v>-2.5301632360138395</v>
      </c>
      <c r="F708" s="304">
        <f t="shared" ca="1" si="300"/>
        <v>2.660134333956965</v>
      </c>
      <c r="G708" s="306">
        <f t="shared" ca="1" si="301"/>
        <v>13.535057094039535</v>
      </c>
      <c r="H708" s="307">
        <f t="shared" ca="1" si="302"/>
        <v>-120.94811381987373</v>
      </c>
      <c r="I708" s="304">
        <f t="shared" ca="1" si="303"/>
        <v>121.70309777127302</v>
      </c>
      <c r="J708" s="306">
        <f t="shared" ca="1" si="304"/>
        <v>857.89656165348413</v>
      </c>
      <c r="K708" s="307">
        <f t="shared" ca="1" si="305"/>
        <v>0.72681576039756912</v>
      </c>
      <c r="L708" s="304">
        <f t="shared" ref="L708:L771" ca="1" si="319">SQRT(pos_x^2+pos_z^2)</f>
        <v>857.89686953503906</v>
      </c>
      <c r="M708" s="306">
        <f t="shared" ca="1" si="306"/>
        <v>-1.4593520400467828</v>
      </c>
      <c r="N708" s="304">
        <f t="shared" ca="1" si="307"/>
        <v>-83.614712718487354</v>
      </c>
      <c r="P708" s="310">
        <f t="shared" ca="1" si="308"/>
        <v>23</v>
      </c>
      <c r="Q708" s="304">
        <f t="shared" ca="1" si="309"/>
        <v>0</v>
      </c>
      <c r="R708" s="306">
        <f t="shared" ca="1" si="310"/>
        <v>0</v>
      </c>
      <c r="S708" s="307">
        <f t="shared" ca="1" si="311"/>
        <v>8.1379999999999981</v>
      </c>
      <c r="T708" s="304">
        <f t="shared" ref="T708:T771" ca="1" si="320">m*g</f>
        <v>79.83377999999999</v>
      </c>
      <c r="U708" s="311">
        <f t="shared" ref="U708:U771" ca="1" si="321">IF(pos_xz&lt;L_rampe,Poids*COS(Beta),0)</f>
        <v>0</v>
      </c>
      <c r="V708" s="306">
        <f t="shared" ref="V708:V771" ca="1" si="322">Rho_moyen*(20000-Alt_rampe-pos_z)/(20000+Alt_rampe+pos_z)</f>
        <v>1.2249109683048334</v>
      </c>
      <c r="W708" s="304">
        <f t="shared" ref="W708:W771" ca="1" si="323">1/2*Rho*Sref*Cx*vit_xz^2</f>
        <v>59.92960586584006</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2.4221309212328404</v>
      </c>
      <c r="AH708" s="304">
        <f t="shared" ca="1" si="318"/>
        <v>-7.3260229309022193</v>
      </c>
    </row>
    <row r="709" spans="1:34" x14ac:dyDescent="0.2">
      <c r="A709" s="347">
        <f t="shared" ref="A709:A772" ca="1" si="325">IF(B708+0.01&lt;=T_ini+ROUNDUP(Temps_fin_propu,0), 0.01, IF(K708&gt;0, 0.1, 0.0001))</f>
        <v>0.1</v>
      </c>
      <c r="B709" s="304">
        <f t="shared" ref="B709:B772" ca="1" si="326">B708+pas</f>
        <v>34.500000000000178</v>
      </c>
      <c r="D709" s="306">
        <f t="shared" ref="D709:D772" ca="1" si="327">IF(AND(L708&lt;L_rampe,Poussee&lt;Poids*SIN(M708)),0,(-W708+Poussee)/m*COS(M708)-U708/m*SIN(M708))</f>
        <v>-0.8189967820754166</v>
      </c>
      <c r="E709" s="307">
        <f t="shared" ref="E709:E772" ca="1" si="328">IF(AND(L708&lt;L_rampe,Poussee&lt;Poids*SIN(M708)),0,(-W708+Poussee)/m*SIN(M708)+U708/m*COS(M708)-Poids/m)</f>
        <v>-2.4915147266582753</v>
      </c>
      <c r="F709" s="304">
        <f t="shared" ref="F709:F772" ca="1" si="329">SQRT(acc_x^2+acc_z^2)</f>
        <v>2.622670654543751</v>
      </c>
      <c r="G709" s="306">
        <f t="shared" ref="G709:G772" ca="1" si="330">G708+acc_x*pas</f>
        <v>13.453157415831994</v>
      </c>
      <c r="H709" s="307">
        <f t="shared" ref="H709:H772" ca="1" si="331">H708+acc_z*pas</f>
        <v>-121.19726529253956</v>
      </c>
      <c r="I709" s="304">
        <f t="shared" ref="I709:I772" ca="1" si="332">SQRT(vit_x^2+vit_z^2)</f>
        <v>121.9416440714384</v>
      </c>
      <c r="J709" s="306">
        <f t="shared" ref="J709:J772" ca="1" si="333">J708+0.5*(vit_x+G708)*pas*(K708&gt;=0)</f>
        <v>859.24597237897774</v>
      </c>
      <c r="K709" s="307">
        <f t="shared" ref="K709:K772" ca="1" si="334">K708+0.5*(vit_z+H708)*pas</f>
        <v>-11.380453195223096</v>
      </c>
      <c r="L709" s="304">
        <f t="shared" ca="1" si="319"/>
        <v>859.32133440548512</v>
      </c>
      <c r="M709" s="306">
        <f t="shared" ref="M709:M772" ca="1" si="335">IF(AND(L708&gt;L_rampe,G709&gt;0),ATAN2(G709,H709),$M$4)</f>
        <v>-1.4602467360115805</v>
      </c>
      <c r="N709" s="304">
        <f t="shared" ref="N709:N772" ca="1" si="336">DEGREES(Beta)</f>
        <v>-83.665975021217648</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8.1379999999999981</v>
      </c>
      <c r="T709" s="304">
        <f t="shared" ca="1" si="320"/>
        <v>79.83377999999999</v>
      </c>
      <c r="U709" s="311">
        <f t="shared" ca="1" si="321"/>
        <v>0</v>
      </c>
      <c r="V709" s="306">
        <f t="shared" ca="1" si="322"/>
        <v>1.2263948992456937</v>
      </c>
      <c r="W709" s="304">
        <f t="shared" ca="1" si="323"/>
        <v>60.237655491017236</v>
      </c>
      <c r="Y709" s="314" t="str">
        <f t="shared" ref="Y709:Y772" ca="1" si="341">IF(AND(pos_z&lt;=0,K708&gt;0),"Impact balistique","") &amp; IF(AND(H710&lt;0,vit_z&gt;=0),"Apogée","") &amp; IF(AND(Poussee=0,Q708&gt;0),"Fin de propulsion","") &amp; IF(AND(L710&gt;L_rampe,pos_xz&lt;=L_rampe),"Sortie de rampe","")</f>
        <v>Impact balistique</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2.384974941920043</v>
      </c>
      <c r="AH709" s="304">
        <f t="shared" ref="AH709:AH772" ca="1" si="347">IF(AND(L708&lt;L_rampe,Poussee&lt;Poids*SIN(M708)), g*SIN(M708), (-W708+Poussee)/m)</f>
        <v>-7.3641688210666105</v>
      </c>
    </row>
    <row r="710" spans="1:34" x14ac:dyDescent="0.2">
      <c r="A710" s="347">
        <f t="shared" ca="1" si="325"/>
        <v>1E-4</v>
      </c>
      <c r="B710" s="304">
        <f t="shared" ca="1" si="326"/>
        <v>34.500100000000181</v>
      </c>
      <c r="D710" s="306">
        <f t="shared" ca="1" si="327"/>
        <v>-0.81662477713778459</v>
      </c>
      <c r="E710" s="307">
        <f t="shared" ca="1" si="328"/>
        <v>-2.4531627386775652</v>
      </c>
      <c r="F710" s="304">
        <f t="shared" ca="1" si="329"/>
        <v>2.5855141556509311</v>
      </c>
      <c r="G710" s="306">
        <f t="shared" ca="1" si="330"/>
        <v>13.45307575335428</v>
      </c>
      <c r="H710" s="307">
        <f t="shared" ca="1" si="331"/>
        <v>-121.19751060881342</v>
      </c>
      <c r="I710" s="304">
        <f t="shared" ca="1" si="332"/>
        <v>121.94187888087886</v>
      </c>
      <c r="J710" s="306">
        <f t="shared" ca="1" si="333"/>
        <v>859.24597237897774</v>
      </c>
      <c r="K710" s="307">
        <f t="shared" ca="1" si="334"/>
        <v>-11.392572934018164</v>
      </c>
      <c r="L710" s="304">
        <f t="shared" ca="1" si="319"/>
        <v>859.32149499913703</v>
      </c>
      <c r="M710" s="306">
        <f t="shared" ca="1" si="335"/>
        <v>-1.4602476235523321</v>
      </c>
      <c r="N710" s="304">
        <f t="shared" ca="1" si="336"/>
        <v>-83.666025873556862</v>
      </c>
      <c r="P710" s="310">
        <f t="shared" ca="1" si="337"/>
        <v>23</v>
      </c>
      <c r="Q710" s="304">
        <f t="shared" ca="1" si="338"/>
        <v>0</v>
      </c>
      <c r="R710" s="306">
        <f t="shared" ca="1" si="339"/>
        <v>0</v>
      </c>
      <c r="S710" s="307">
        <f t="shared" ca="1" si="340"/>
        <v>8.1379999999999981</v>
      </c>
      <c r="T710" s="304">
        <f t="shared" ca="1" si="320"/>
        <v>79.83377999999999</v>
      </c>
      <c r="U710" s="311">
        <f t="shared" ca="1" si="321"/>
        <v>0</v>
      </c>
      <c r="V710" s="306">
        <f t="shared" ca="1" si="322"/>
        <v>1.2263963856056603</v>
      </c>
      <c r="W710" s="304">
        <f t="shared" ca="1" si="323"/>
        <v>60.23796048394086</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2.3480939243449148</v>
      </c>
      <c r="AH710" s="304">
        <f t="shared" ca="1" si="347"/>
        <v>-7.4020220559126626</v>
      </c>
    </row>
    <row r="711" spans="1:34" x14ac:dyDescent="0.2">
      <c r="A711" s="347">
        <f t="shared" ca="1" si="325"/>
        <v>1E-4</v>
      </c>
      <c r="B711" s="304">
        <f t="shared" ca="1" si="326"/>
        <v>34.500200000000184</v>
      </c>
      <c r="D711" s="306">
        <f t="shared" ca="1" si="327"/>
        <v>-0.8166223823139237</v>
      </c>
      <c r="E711" s="307">
        <f t="shared" ca="1" si="328"/>
        <v>-2.4531247650404993</v>
      </c>
      <c r="F711" s="304">
        <f t="shared" ca="1" si="329"/>
        <v>2.5854773694911879</v>
      </c>
      <c r="G711" s="306">
        <f t="shared" ca="1" si="330"/>
        <v>13.452994091116048</v>
      </c>
      <c r="H711" s="307">
        <f t="shared" ca="1" si="331"/>
        <v>-121.19775592128993</v>
      </c>
      <c r="I711" s="304">
        <f t="shared" ca="1" si="332"/>
        <v>121.94211368666762</v>
      </c>
      <c r="J711" s="306">
        <f t="shared" ca="1" si="333"/>
        <v>859.24597237897774</v>
      </c>
      <c r="K711" s="307">
        <f t="shared" ca="1" si="334"/>
        <v>-11.404692697344668</v>
      </c>
      <c r="L711" s="304">
        <f t="shared" ca="1" si="319"/>
        <v>859.3216557640194</v>
      </c>
      <c r="M711" s="306">
        <f t="shared" ca="1" si="335"/>
        <v>-1.4602485110842782</v>
      </c>
      <c r="N711" s="304">
        <f t="shared" ca="1" si="336"/>
        <v>-83.666076725391548</v>
      </c>
      <c r="P711" s="310">
        <f t="shared" ca="1" si="337"/>
        <v>23</v>
      </c>
      <c r="Q711" s="304">
        <f t="shared" ca="1" si="338"/>
        <v>0</v>
      </c>
      <c r="R711" s="306">
        <f t="shared" ca="1" si="339"/>
        <v>0</v>
      </c>
      <c r="S711" s="307">
        <f t="shared" ca="1" si="340"/>
        <v>8.1379999999999981</v>
      </c>
      <c r="T711" s="304">
        <f t="shared" ca="1" si="320"/>
        <v>79.83377999999999</v>
      </c>
      <c r="U711" s="311">
        <f t="shared" ca="1" si="321"/>
        <v>0</v>
      </c>
      <c r="V711" s="306">
        <f t="shared" ca="1" si="322"/>
        <v>1.2263978719704376</v>
      </c>
      <c r="W711" s="304">
        <f t="shared" ca="1" si="323"/>
        <v>60.238265474501993</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2.3480574072857143</v>
      </c>
      <c r="AH711" s="304">
        <f t="shared" ca="1" si="347"/>
        <v>-7.4020595335390604</v>
      </c>
    </row>
    <row r="712" spans="1:34" x14ac:dyDescent="0.2">
      <c r="A712" s="347">
        <f t="shared" ca="1" si="325"/>
        <v>1E-4</v>
      </c>
      <c r="B712" s="304">
        <f t="shared" ca="1" si="326"/>
        <v>34.500300000000188</v>
      </c>
      <c r="D712" s="306">
        <f t="shared" ca="1" si="327"/>
        <v>-0.81661998745605313</v>
      </c>
      <c r="E712" s="307">
        <f t="shared" ca="1" si="328"/>
        <v>-2.4530867916976096</v>
      </c>
      <c r="F712" s="304">
        <f t="shared" ca="1" si="329"/>
        <v>2.5854405836363741</v>
      </c>
      <c r="G712" s="306">
        <f t="shared" ca="1" si="330"/>
        <v>13.452912429117303</v>
      </c>
      <c r="H712" s="307">
        <f t="shared" ca="1" si="331"/>
        <v>-121.19800122996909</v>
      </c>
      <c r="I712" s="304">
        <f t="shared" ca="1" si="332"/>
        <v>121.9423484888047</v>
      </c>
      <c r="J712" s="306">
        <f t="shared" ca="1" si="333"/>
        <v>859.24597237897774</v>
      </c>
      <c r="K712" s="307">
        <f t="shared" ca="1" si="334"/>
        <v>-11.416812485202231</v>
      </c>
      <c r="L712" s="304">
        <f t="shared" ca="1" si="319"/>
        <v>859.32181670013313</v>
      </c>
      <c r="M712" s="306">
        <f t="shared" ca="1" si="335"/>
        <v>-1.4602493986074188</v>
      </c>
      <c r="N712" s="304">
        <f t="shared" ca="1" si="336"/>
        <v>-83.666127576721721</v>
      </c>
      <c r="P712" s="310">
        <f t="shared" ca="1" si="337"/>
        <v>23</v>
      </c>
      <c r="Q712" s="304">
        <f t="shared" ca="1" si="338"/>
        <v>0</v>
      </c>
      <c r="R712" s="306">
        <f t="shared" ca="1" si="339"/>
        <v>0</v>
      </c>
      <c r="S712" s="307">
        <f t="shared" ca="1" si="340"/>
        <v>8.1379999999999981</v>
      </c>
      <c r="T712" s="304">
        <f t="shared" ca="1" si="320"/>
        <v>79.83377999999999</v>
      </c>
      <c r="U712" s="311">
        <f t="shared" ca="1" si="321"/>
        <v>0</v>
      </c>
      <c r="V712" s="306">
        <f t="shared" ca="1" si="322"/>
        <v>1.2263993583400259</v>
      </c>
      <c r="W712" s="304">
        <f t="shared" ca="1" si="323"/>
        <v>60.238570462700643</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2.3480208904996083</v>
      </c>
      <c r="AH712" s="304">
        <f t="shared" ca="1" si="347"/>
        <v>-7.4020970108751545</v>
      </c>
    </row>
    <row r="713" spans="1:34" x14ac:dyDescent="0.2">
      <c r="A713" s="347">
        <f t="shared" ca="1" si="325"/>
        <v>1E-4</v>
      </c>
      <c r="B713" s="304">
        <f t="shared" ca="1" si="326"/>
        <v>34.500400000000191</v>
      </c>
      <c r="D713" s="306">
        <f t="shared" ca="1" si="327"/>
        <v>-0.81661759256417665</v>
      </c>
      <c r="E713" s="307">
        <f t="shared" ca="1" si="328"/>
        <v>-2.4530488186488988</v>
      </c>
      <c r="F713" s="304">
        <f t="shared" ca="1" si="329"/>
        <v>2.5854037980864941</v>
      </c>
      <c r="G713" s="306">
        <f t="shared" ca="1" si="330"/>
        <v>13.452830767358046</v>
      </c>
      <c r="H713" s="307">
        <f t="shared" ca="1" si="331"/>
        <v>-121.19824653485095</v>
      </c>
      <c r="I713" s="304">
        <f t="shared" ca="1" si="332"/>
        <v>121.94258328729011</v>
      </c>
      <c r="J713" s="306">
        <f t="shared" ca="1" si="333"/>
        <v>859.24597237897774</v>
      </c>
      <c r="K713" s="307">
        <f t="shared" ca="1" si="334"/>
        <v>-11.428932297590471</v>
      </c>
      <c r="L713" s="304">
        <f t="shared" ca="1" si="319"/>
        <v>859.32197780747924</v>
      </c>
      <c r="M713" s="306">
        <f t="shared" ca="1" si="335"/>
        <v>-1.4602502861217541</v>
      </c>
      <c r="N713" s="304">
        <f t="shared" ca="1" si="336"/>
        <v>-83.666178427547393</v>
      </c>
      <c r="P713" s="310">
        <f t="shared" ca="1" si="337"/>
        <v>23</v>
      </c>
      <c r="Q713" s="304">
        <f t="shared" ca="1" si="338"/>
        <v>0</v>
      </c>
      <c r="R713" s="306">
        <f t="shared" ca="1" si="339"/>
        <v>0</v>
      </c>
      <c r="S713" s="307">
        <f t="shared" ca="1" si="340"/>
        <v>8.1379999999999981</v>
      </c>
      <c r="T713" s="304">
        <f t="shared" ca="1" si="320"/>
        <v>79.83377999999999</v>
      </c>
      <c r="U713" s="311">
        <f t="shared" ca="1" si="321"/>
        <v>0</v>
      </c>
      <c r="V713" s="306">
        <f t="shared" ca="1" si="322"/>
        <v>1.2264008447144248</v>
      </c>
      <c r="W713" s="304">
        <f t="shared" ca="1" si="323"/>
        <v>60.238875448536767</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2.347984373986594</v>
      </c>
      <c r="AH713" s="304">
        <f t="shared" ca="1" si="347"/>
        <v>-7.4021344879209456</v>
      </c>
    </row>
    <row r="714" spans="1:34" x14ac:dyDescent="0.2">
      <c r="A714" s="347">
        <f t="shared" ca="1" si="325"/>
        <v>1E-4</v>
      </c>
      <c r="B714" s="304">
        <f t="shared" ca="1" si="326"/>
        <v>34.500500000000194</v>
      </c>
      <c r="D714" s="306">
        <f t="shared" ca="1" si="327"/>
        <v>-0.81661519763829205</v>
      </c>
      <c r="E714" s="307">
        <f t="shared" ca="1" si="328"/>
        <v>-2.4530108458943705</v>
      </c>
      <c r="F714" s="304">
        <f t="shared" ca="1" si="329"/>
        <v>2.5853670128415502</v>
      </c>
      <c r="G714" s="306">
        <f t="shared" ca="1" si="330"/>
        <v>13.452749105838283</v>
      </c>
      <c r="H714" s="307">
        <f t="shared" ca="1" si="331"/>
        <v>-121.19849183593554</v>
      </c>
      <c r="I714" s="304">
        <f t="shared" ca="1" si="332"/>
        <v>121.94281808212391</v>
      </c>
      <c r="J714" s="306">
        <f t="shared" ca="1" si="333"/>
        <v>859.24597237897774</v>
      </c>
      <c r="K714" s="307">
        <f t="shared" ca="1" si="334"/>
        <v>-11.441052134509011</v>
      </c>
      <c r="L714" s="304">
        <f t="shared" ca="1" si="319"/>
        <v>859.32213908605866</v>
      </c>
      <c r="M714" s="306">
        <f t="shared" ca="1" si="335"/>
        <v>-1.4602511736272845</v>
      </c>
      <c r="N714" s="304">
        <f t="shared" ca="1" si="336"/>
        <v>-83.666229277868581</v>
      </c>
      <c r="P714" s="310">
        <f t="shared" ca="1" si="337"/>
        <v>23</v>
      </c>
      <c r="Q714" s="304">
        <f t="shared" ca="1" si="338"/>
        <v>0</v>
      </c>
      <c r="R714" s="306">
        <f t="shared" ca="1" si="339"/>
        <v>0</v>
      </c>
      <c r="S714" s="307">
        <f t="shared" ca="1" si="340"/>
        <v>8.1379999999999981</v>
      </c>
      <c r="T714" s="304">
        <f t="shared" ca="1" si="320"/>
        <v>79.83377999999999</v>
      </c>
      <c r="U714" s="311">
        <f t="shared" ca="1" si="321"/>
        <v>0</v>
      </c>
      <c r="V714" s="306">
        <f t="shared" ca="1" si="322"/>
        <v>1.2264023310936349</v>
      </c>
      <c r="W714" s="304">
        <f t="shared" ca="1" si="323"/>
        <v>60.23918043201045</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2.3479478577466759</v>
      </c>
      <c r="AH714" s="304">
        <f t="shared" ca="1" si="347"/>
        <v>-7.4021719646764295</v>
      </c>
    </row>
    <row r="715" spans="1:34" x14ac:dyDescent="0.2">
      <c r="A715" s="347">
        <f t="shared" ca="1" si="325"/>
        <v>1E-4</v>
      </c>
      <c r="B715" s="304">
        <f t="shared" ca="1" si="326"/>
        <v>34.500600000000198</v>
      </c>
      <c r="D715" s="306">
        <f t="shared" ca="1" si="327"/>
        <v>-0.81661280267840042</v>
      </c>
      <c r="E715" s="307">
        <f t="shared" ca="1" si="328"/>
        <v>-2.452972873434013</v>
      </c>
      <c r="F715" s="304">
        <f t="shared" ca="1" si="329"/>
        <v>2.5853302279015327</v>
      </c>
      <c r="G715" s="306">
        <f t="shared" ca="1" si="330"/>
        <v>13.452667444558015</v>
      </c>
      <c r="H715" s="307">
        <f t="shared" ca="1" si="331"/>
        <v>-121.19873713322289</v>
      </c>
      <c r="I715" s="304">
        <f t="shared" ca="1" si="332"/>
        <v>121.94305287330613</v>
      </c>
      <c r="J715" s="306">
        <f t="shared" ca="1" si="333"/>
        <v>859.24597237897774</v>
      </c>
      <c r="K715" s="307">
        <f t="shared" ca="1" si="334"/>
        <v>-11.453171995957469</v>
      </c>
      <c r="L715" s="304">
        <f t="shared" ca="1" si="319"/>
        <v>859.32230053587227</v>
      </c>
      <c r="M715" s="306">
        <f t="shared" ca="1" si="335"/>
        <v>-1.4602520611240097</v>
      </c>
      <c r="N715" s="304">
        <f t="shared" ca="1" si="336"/>
        <v>-83.666280127685269</v>
      </c>
      <c r="P715" s="310">
        <f t="shared" ca="1" si="337"/>
        <v>23</v>
      </c>
      <c r="Q715" s="304">
        <f t="shared" ca="1" si="338"/>
        <v>0</v>
      </c>
      <c r="R715" s="306">
        <f t="shared" ca="1" si="339"/>
        <v>0</v>
      </c>
      <c r="S715" s="307">
        <f t="shared" ca="1" si="340"/>
        <v>8.1379999999999981</v>
      </c>
      <c r="T715" s="304">
        <f t="shared" ca="1" si="320"/>
        <v>79.83377999999999</v>
      </c>
      <c r="U715" s="311">
        <f t="shared" ca="1" si="321"/>
        <v>0</v>
      </c>
      <c r="V715" s="306">
        <f t="shared" ca="1" si="322"/>
        <v>1.2264038174776557</v>
      </c>
      <c r="W715" s="304">
        <f t="shared" ca="1" si="323"/>
        <v>60.239485413121642</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2.3479113417798505</v>
      </c>
      <c r="AH715" s="304">
        <f t="shared" ca="1" si="347"/>
        <v>-7.4022094411416148</v>
      </c>
    </row>
    <row r="716" spans="1:34" x14ac:dyDescent="0.2">
      <c r="A716" s="347">
        <f t="shared" ca="1" si="325"/>
        <v>1E-4</v>
      </c>
      <c r="B716" s="304">
        <f t="shared" ca="1" si="326"/>
        <v>34.500700000000201</v>
      </c>
      <c r="D716" s="306">
        <f t="shared" ca="1" si="327"/>
        <v>-0.81661040768450477</v>
      </c>
      <c r="E716" s="307">
        <f t="shared" ca="1" si="328"/>
        <v>-2.4529349012678345</v>
      </c>
      <c r="F716" s="304">
        <f t="shared" ca="1" si="329"/>
        <v>2.5852934432664494</v>
      </c>
      <c r="G716" s="306">
        <f t="shared" ca="1" si="330"/>
        <v>13.452585783517247</v>
      </c>
      <c r="H716" s="307">
        <f t="shared" ca="1" si="331"/>
        <v>-121.19898242671302</v>
      </c>
      <c r="I716" s="304">
        <f t="shared" ca="1" si="332"/>
        <v>121.94328766083676</v>
      </c>
      <c r="J716" s="306">
        <f t="shared" ca="1" si="333"/>
        <v>859.24597237897774</v>
      </c>
      <c r="K716" s="307">
        <f t="shared" ca="1" si="334"/>
        <v>-11.465291881935466</v>
      </c>
      <c r="L716" s="304">
        <f t="shared" ca="1" si="319"/>
        <v>859.32246215692101</v>
      </c>
      <c r="M716" s="306">
        <f t="shared" ca="1" si="335"/>
        <v>-1.4602529486119302</v>
      </c>
      <c r="N716" s="304">
        <f t="shared" ca="1" si="336"/>
        <v>-83.666330976997486</v>
      </c>
      <c r="P716" s="310">
        <f t="shared" ca="1" si="337"/>
        <v>23</v>
      </c>
      <c r="Q716" s="304">
        <f t="shared" ca="1" si="338"/>
        <v>0</v>
      </c>
      <c r="R716" s="306">
        <f t="shared" ca="1" si="339"/>
        <v>0</v>
      </c>
      <c r="S716" s="307">
        <f t="shared" ca="1" si="340"/>
        <v>8.1379999999999981</v>
      </c>
      <c r="T716" s="304">
        <f t="shared" ca="1" si="320"/>
        <v>79.83377999999999</v>
      </c>
      <c r="U716" s="311">
        <f t="shared" ca="1" si="321"/>
        <v>0</v>
      </c>
      <c r="V716" s="306">
        <f t="shared" ca="1" si="322"/>
        <v>1.2264053038664875</v>
      </c>
      <c r="W716" s="304">
        <f t="shared" ca="1" si="323"/>
        <v>60.239790391870308</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2.3478748260861186</v>
      </c>
      <c r="AH716" s="304">
        <f t="shared" ca="1" si="347"/>
        <v>-7.4022469173164973</v>
      </c>
    </row>
    <row r="717" spans="1:34" x14ac:dyDescent="0.2">
      <c r="A717" s="347">
        <f t="shared" ca="1" si="325"/>
        <v>1E-4</v>
      </c>
      <c r="B717" s="304">
        <f t="shared" ca="1" si="326"/>
        <v>34.500800000000204</v>
      </c>
      <c r="D717" s="306">
        <f t="shared" ca="1" si="327"/>
        <v>-0.81660801265660299</v>
      </c>
      <c r="E717" s="307">
        <f t="shared" ca="1" si="328"/>
        <v>-2.4528969293958385</v>
      </c>
      <c r="F717" s="304">
        <f t="shared" ca="1" si="329"/>
        <v>2.5852566589363035</v>
      </c>
      <c r="G717" s="306">
        <f t="shared" ca="1" si="330"/>
        <v>13.452504122715981</v>
      </c>
      <c r="H717" s="307">
        <f t="shared" ca="1" si="331"/>
        <v>-121.19922771640596</v>
      </c>
      <c r="I717" s="304">
        <f t="shared" ca="1" si="332"/>
        <v>121.94352244471584</v>
      </c>
      <c r="J717" s="306">
        <f t="shared" ca="1" si="333"/>
        <v>859.24597237897774</v>
      </c>
      <c r="K717" s="307">
        <f t="shared" ca="1" si="334"/>
        <v>-11.477411792442622</v>
      </c>
      <c r="L717" s="304">
        <f t="shared" ca="1" si="319"/>
        <v>859.32262394920588</v>
      </c>
      <c r="M717" s="306">
        <f t="shared" ca="1" si="335"/>
        <v>-1.460253836091046</v>
      </c>
      <c r="N717" s="304">
        <f t="shared" ca="1" si="336"/>
        <v>-83.666381825805217</v>
      </c>
      <c r="P717" s="310">
        <f t="shared" ca="1" si="337"/>
        <v>23</v>
      </c>
      <c r="Q717" s="304">
        <f t="shared" ca="1" si="338"/>
        <v>0</v>
      </c>
      <c r="R717" s="306">
        <f t="shared" ca="1" si="339"/>
        <v>0</v>
      </c>
      <c r="S717" s="307">
        <f t="shared" ca="1" si="340"/>
        <v>8.1379999999999981</v>
      </c>
      <c r="T717" s="304">
        <f t="shared" ca="1" si="320"/>
        <v>79.83377999999999</v>
      </c>
      <c r="U717" s="311">
        <f t="shared" ca="1" si="321"/>
        <v>0</v>
      </c>
      <c r="V717" s="306">
        <f t="shared" ca="1" si="322"/>
        <v>1.2264067902601303</v>
      </c>
      <c r="W717" s="304">
        <f t="shared" ca="1" si="323"/>
        <v>60.240095368256483</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2.3478383106654839</v>
      </c>
      <c r="AH717" s="304">
        <f t="shared" ca="1" si="347"/>
        <v>-7.4022843932010716</v>
      </c>
    </row>
    <row r="718" spans="1:34" x14ac:dyDescent="0.2">
      <c r="A718" s="347">
        <f t="shared" ca="1" si="325"/>
        <v>1E-4</v>
      </c>
      <c r="B718" s="304">
        <f t="shared" ca="1" si="326"/>
        <v>34.500900000000208</v>
      </c>
      <c r="D718" s="306">
        <f t="shared" ca="1" si="327"/>
        <v>-0.8166056175946973</v>
      </c>
      <c r="E718" s="307">
        <f t="shared" ca="1" si="328"/>
        <v>-2.4528589578180204</v>
      </c>
      <c r="F718" s="304">
        <f t="shared" ca="1" si="329"/>
        <v>2.585219874911092</v>
      </c>
      <c r="G718" s="306">
        <f t="shared" ca="1" si="330"/>
        <v>13.452422462154221</v>
      </c>
      <c r="H718" s="307">
        <f t="shared" ca="1" si="331"/>
        <v>-121.19947300230174</v>
      </c>
      <c r="I718" s="304">
        <f t="shared" ca="1" si="332"/>
        <v>121.94375722494343</v>
      </c>
      <c r="J718" s="306">
        <f t="shared" ca="1" si="333"/>
        <v>859.24597237897774</v>
      </c>
      <c r="K718" s="307">
        <f t="shared" ca="1" si="334"/>
        <v>-11.489531727478557</v>
      </c>
      <c r="L718" s="304">
        <f t="shared" ca="1" si="319"/>
        <v>859.3227859127278</v>
      </c>
      <c r="M718" s="306">
        <f t="shared" ca="1" si="335"/>
        <v>-1.4602547235613572</v>
      </c>
      <c r="N718" s="304">
        <f t="shared" ca="1" si="336"/>
        <v>-83.666432674108506</v>
      </c>
      <c r="P718" s="310">
        <f t="shared" ca="1" si="337"/>
        <v>23</v>
      </c>
      <c r="Q718" s="304">
        <f t="shared" ca="1" si="338"/>
        <v>0</v>
      </c>
      <c r="R718" s="306">
        <f t="shared" ca="1" si="339"/>
        <v>0</v>
      </c>
      <c r="S718" s="307">
        <f t="shared" ca="1" si="340"/>
        <v>8.1379999999999981</v>
      </c>
      <c r="T718" s="304">
        <f t="shared" ca="1" si="320"/>
        <v>79.83377999999999</v>
      </c>
      <c r="U718" s="311">
        <f t="shared" ca="1" si="321"/>
        <v>0</v>
      </c>
      <c r="V718" s="306">
        <f t="shared" ca="1" si="322"/>
        <v>1.2264082766585838</v>
      </c>
      <c r="W718" s="304">
        <f t="shared" ca="1" si="323"/>
        <v>60.240400342280168</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2.3478017955179471</v>
      </c>
      <c r="AH718" s="304">
        <f t="shared" ca="1" si="347"/>
        <v>-7.402321868795342</v>
      </c>
    </row>
    <row r="719" spans="1:34" x14ac:dyDescent="0.2">
      <c r="A719" s="347">
        <f t="shared" ca="1" si="325"/>
        <v>1E-4</v>
      </c>
      <c r="B719" s="304">
        <f t="shared" ca="1" si="326"/>
        <v>34.501000000000211</v>
      </c>
      <c r="D719" s="306">
        <f t="shared" ca="1" si="327"/>
        <v>-0.81660322249878803</v>
      </c>
      <c r="E719" s="307">
        <f t="shared" ca="1" si="328"/>
        <v>-2.4528209865343804</v>
      </c>
      <c r="F719" s="304">
        <f t="shared" ca="1" si="329"/>
        <v>2.5851830911908147</v>
      </c>
      <c r="G719" s="306">
        <f t="shared" ca="1" si="330"/>
        <v>13.452340801831971</v>
      </c>
      <c r="H719" s="307">
        <f t="shared" ca="1" si="331"/>
        <v>-121.1997182844004</v>
      </c>
      <c r="I719" s="304">
        <f t="shared" ca="1" si="332"/>
        <v>121.94399200151952</v>
      </c>
      <c r="J719" s="306">
        <f t="shared" ca="1" si="333"/>
        <v>859.24597237897774</v>
      </c>
      <c r="K719" s="307">
        <f t="shared" ca="1" si="334"/>
        <v>-11.501651687042893</v>
      </c>
      <c r="L719" s="304">
        <f t="shared" ca="1" si="319"/>
        <v>859.32294804748756</v>
      </c>
      <c r="M719" s="306">
        <f t="shared" ca="1" si="335"/>
        <v>-1.4602556110228637</v>
      </c>
      <c r="N719" s="304">
        <f t="shared" ca="1" si="336"/>
        <v>-83.66648352190731</v>
      </c>
      <c r="P719" s="310">
        <f t="shared" ca="1" si="337"/>
        <v>23</v>
      </c>
      <c r="Q719" s="304">
        <f t="shared" ca="1" si="338"/>
        <v>0</v>
      </c>
      <c r="R719" s="306">
        <f t="shared" ca="1" si="339"/>
        <v>0</v>
      </c>
      <c r="S719" s="307">
        <f t="shared" ca="1" si="340"/>
        <v>8.1379999999999981</v>
      </c>
      <c r="T719" s="304">
        <f t="shared" ca="1" si="320"/>
        <v>79.83377999999999</v>
      </c>
      <c r="U719" s="311">
        <f t="shared" ca="1" si="321"/>
        <v>0</v>
      </c>
      <c r="V719" s="306">
        <f t="shared" ca="1" si="322"/>
        <v>1.2264097630618476</v>
      </c>
      <c r="W719" s="304">
        <f t="shared" ca="1" si="323"/>
        <v>60.240705313941319</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2.3477652806435039</v>
      </c>
      <c r="AH719" s="304">
        <f t="shared" ca="1" si="347"/>
        <v>-7.4023593440993096</v>
      </c>
    </row>
    <row r="720" spans="1:34" x14ac:dyDescent="0.2">
      <c r="A720" s="347">
        <f t="shared" ca="1" si="325"/>
        <v>1E-4</v>
      </c>
      <c r="B720" s="304">
        <f t="shared" ca="1" si="326"/>
        <v>34.501100000000214</v>
      </c>
      <c r="D720" s="306">
        <f t="shared" ca="1" si="327"/>
        <v>-0.81660082736887774</v>
      </c>
      <c r="E720" s="307">
        <f t="shared" ca="1" si="328"/>
        <v>-2.4527830155449237</v>
      </c>
      <c r="F720" s="304">
        <f t="shared" ca="1" si="329"/>
        <v>2.5851463077754779</v>
      </c>
      <c r="G720" s="306">
        <f t="shared" ca="1" si="330"/>
        <v>13.452259141749234</v>
      </c>
      <c r="H720" s="307">
        <f t="shared" ca="1" si="331"/>
        <v>-121.19996356270195</v>
      </c>
      <c r="I720" s="304">
        <f t="shared" ca="1" si="332"/>
        <v>121.94422677444413</v>
      </c>
      <c r="J720" s="306">
        <f t="shared" ca="1" si="333"/>
        <v>859.24597237897774</v>
      </c>
      <c r="K720" s="307">
        <f t="shared" ca="1" si="334"/>
        <v>-11.513771671135247</v>
      </c>
      <c r="L720" s="304">
        <f t="shared" ca="1" si="319"/>
        <v>859.3231103534863</v>
      </c>
      <c r="M720" s="306">
        <f t="shared" ca="1" si="335"/>
        <v>-1.4602564984755662</v>
      </c>
      <c r="N720" s="304">
        <f t="shared" ca="1" si="336"/>
        <v>-83.666534369201671</v>
      </c>
      <c r="P720" s="310">
        <f t="shared" ca="1" si="337"/>
        <v>23</v>
      </c>
      <c r="Q720" s="304">
        <f t="shared" ca="1" si="338"/>
        <v>0</v>
      </c>
      <c r="R720" s="306">
        <f t="shared" ca="1" si="339"/>
        <v>0</v>
      </c>
      <c r="S720" s="307">
        <f t="shared" ca="1" si="340"/>
        <v>8.1379999999999981</v>
      </c>
      <c r="T720" s="304">
        <f t="shared" ca="1" si="320"/>
        <v>79.83377999999999</v>
      </c>
      <c r="U720" s="311">
        <f t="shared" ca="1" si="321"/>
        <v>0</v>
      </c>
      <c r="V720" s="306">
        <f t="shared" ca="1" si="322"/>
        <v>1.2264112494699226</v>
      </c>
      <c r="W720" s="304">
        <f t="shared" ca="1" si="323"/>
        <v>60.241010283239959</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2.3477287660421622</v>
      </c>
      <c r="AH720" s="304">
        <f t="shared" ca="1" si="347"/>
        <v>-7.4023968191129681</v>
      </c>
    </row>
    <row r="721" spans="1:34" x14ac:dyDescent="0.2">
      <c r="A721" s="347">
        <f t="shared" ca="1" si="325"/>
        <v>1E-4</v>
      </c>
      <c r="B721" s="304">
        <f t="shared" ca="1" si="326"/>
        <v>34.501200000000217</v>
      </c>
      <c r="D721" s="306">
        <f t="shared" ca="1" si="327"/>
        <v>-0.81659843220496375</v>
      </c>
      <c r="E721" s="307">
        <f t="shared" ca="1" si="328"/>
        <v>-2.4527450448496486</v>
      </c>
      <c r="F721" s="304">
        <f t="shared" ca="1" si="329"/>
        <v>2.585109524665079</v>
      </c>
      <c r="G721" s="306">
        <f t="shared" ca="1" si="330"/>
        <v>13.452177481906014</v>
      </c>
      <c r="H721" s="307">
        <f t="shared" ca="1" si="331"/>
        <v>-121.20020883720643</v>
      </c>
      <c r="I721" s="304">
        <f t="shared" ca="1" si="332"/>
        <v>121.94446154371731</v>
      </c>
      <c r="J721" s="306">
        <f t="shared" ca="1" si="333"/>
        <v>859.24597237897774</v>
      </c>
      <c r="K721" s="307">
        <f t="shared" ca="1" si="334"/>
        <v>-11.525891679755242</v>
      </c>
      <c r="L721" s="304">
        <f t="shared" ca="1" si="319"/>
        <v>859.32327283072493</v>
      </c>
      <c r="M721" s="306">
        <f t="shared" ca="1" si="335"/>
        <v>-1.4602573859194643</v>
      </c>
      <c r="N721" s="304">
        <f t="shared" ca="1" si="336"/>
        <v>-83.666585215991589</v>
      </c>
      <c r="P721" s="310">
        <f t="shared" ca="1" si="337"/>
        <v>23</v>
      </c>
      <c r="Q721" s="304">
        <f t="shared" ca="1" si="338"/>
        <v>0</v>
      </c>
      <c r="R721" s="306">
        <f t="shared" ca="1" si="339"/>
        <v>0</v>
      </c>
      <c r="S721" s="307">
        <f t="shared" ca="1" si="340"/>
        <v>8.1379999999999981</v>
      </c>
      <c r="T721" s="304">
        <f t="shared" ca="1" si="320"/>
        <v>79.83377999999999</v>
      </c>
      <c r="U721" s="311">
        <f t="shared" ca="1" si="321"/>
        <v>0</v>
      </c>
      <c r="V721" s="306">
        <f t="shared" ca="1" si="322"/>
        <v>1.2264127358828079</v>
      </c>
      <c r="W721" s="304">
        <f t="shared" ca="1" si="323"/>
        <v>60.241315250176044</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2.3476922517139212</v>
      </c>
      <c r="AH721" s="304">
        <f t="shared" ca="1" si="347"/>
        <v>-7.4024342938363201</v>
      </c>
    </row>
    <row r="722" spans="1:34" x14ac:dyDescent="0.2">
      <c r="A722" s="347">
        <f t="shared" ca="1" si="325"/>
        <v>1E-4</v>
      </c>
      <c r="B722" s="304">
        <f t="shared" ca="1" si="326"/>
        <v>34.501300000000221</v>
      </c>
      <c r="D722" s="306">
        <f t="shared" ca="1" si="327"/>
        <v>-0.81659603700704875</v>
      </c>
      <c r="E722" s="307">
        <f t="shared" ca="1" si="328"/>
        <v>-2.4527070744485586</v>
      </c>
      <c r="F722" s="304">
        <f t="shared" ca="1" si="329"/>
        <v>2.5850727418596224</v>
      </c>
      <c r="G722" s="306">
        <f t="shared" ca="1" si="330"/>
        <v>13.452095822302313</v>
      </c>
      <c r="H722" s="307">
        <f t="shared" ca="1" si="331"/>
        <v>-121.20045410791387</v>
      </c>
      <c r="I722" s="304">
        <f t="shared" ca="1" si="332"/>
        <v>121.94469630933909</v>
      </c>
      <c r="J722" s="306">
        <f t="shared" ca="1" si="333"/>
        <v>859.24597237897774</v>
      </c>
      <c r="K722" s="307">
        <f t="shared" ca="1" si="334"/>
        <v>-11.538011712902499</v>
      </c>
      <c r="L722" s="304">
        <f t="shared" ca="1" si="319"/>
        <v>859.32343547920425</v>
      </c>
      <c r="M722" s="306">
        <f t="shared" ca="1" si="335"/>
        <v>-1.4602582733545582</v>
      </c>
      <c r="N722" s="304">
        <f t="shared" ca="1" si="336"/>
        <v>-83.666636062277064</v>
      </c>
      <c r="P722" s="310">
        <f t="shared" ca="1" si="337"/>
        <v>23</v>
      </c>
      <c r="Q722" s="304">
        <f t="shared" ca="1" si="338"/>
        <v>0</v>
      </c>
      <c r="R722" s="306">
        <f t="shared" ca="1" si="339"/>
        <v>0</v>
      </c>
      <c r="S722" s="307">
        <f t="shared" ca="1" si="340"/>
        <v>8.1379999999999981</v>
      </c>
      <c r="T722" s="304">
        <f t="shared" ca="1" si="320"/>
        <v>79.83377999999999</v>
      </c>
      <c r="U722" s="311">
        <f t="shared" ca="1" si="321"/>
        <v>0</v>
      </c>
      <c r="V722" s="306">
        <f t="shared" ca="1" si="322"/>
        <v>1.2264142223005041</v>
      </c>
      <c r="W722" s="304">
        <f t="shared" ca="1" si="323"/>
        <v>60.241620214749652</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2.3476557376587861</v>
      </c>
      <c r="AH722" s="304">
        <f t="shared" ca="1" si="347"/>
        <v>-7.4024717682693604</v>
      </c>
    </row>
    <row r="723" spans="1:34" x14ac:dyDescent="0.2">
      <c r="A723" s="347">
        <f t="shared" ca="1" si="325"/>
        <v>1E-4</v>
      </c>
      <c r="B723" s="304">
        <f t="shared" ca="1" si="326"/>
        <v>34.501400000000224</v>
      </c>
      <c r="D723" s="306">
        <f t="shared" ca="1" si="327"/>
        <v>-0.81659364177513583</v>
      </c>
      <c r="E723" s="307">
        <f t="shared" ca="1" si="328"/>
        <v>-2.4526691043416449</v>
      </c>
      <c r="F723" s="304">
        <f t="shared" ca="1" si="329"/>
        <v>2.5850359593591006</v>
      </c>
      <c r="G723" s="306">
        <f t="shared" ca="1" si="330"/>
        <v>13.452014162938136</v>
      </c>
      <c r="H723" s="307">
        <f t="shared" ca="1" si="331"/>
        <v>-121.20069937482431</v>
      </c>
      <c r="I723" s="304">
        <f t="shared" ca="1" si="332"/>
        <v>121.9449310713095</v>
      </c>
      <c r="J723" s="306">
        <f t="shared" ca="1" si="333"/>
        <v>859.24597237897774</v>
      </c>
      <c r="K723" s="307">
        <f t="shared" ca="1" si="334"/>
        <v>-11.550131770576636</v>
      </c>
      <c r="L723" s="304">
        <f t="shared" ca="1" si="319"/>
        <v>859.32359829892528</v>
      </c>
      <c r="M723" s="306">
        <f t="shared" ca="1" si="335"/>
        <v>-1.4602591607808484</v>
      </c>
      <c r="N723" s="304">
        <f t="shared" ca="1" si="336"/>
        <v>-83.666686908058125</v>
      </c>
      <c r="P723" s="310">
        <f t="shared" ca="1" si="337"/>
        <v>23</v>
      </c>
      <c r="Q723" s="304">
        <f t="shared" ca="1" si="338"/>
        <v>0</v>
      </c>
      <c r="R723" s="306">
        <f t="shared" ca="1" si="339"/>
        <v>0</v>
      </c>
      <c r="S723" s="307">
        <f t="shared" ca="1" si="340"/>
        <v>8.1379999999999981</v>
      </c>
      <c r="T723" s="304">
        <f t="shared" ca="1" si="320"/>
        <v>79.83377999999999</v>
      </c>
      <c r="U723" s="311">
        <f t="shared" ca="1" si="321"/>
        <v>0</v>
      </c>
      <c r="V723" s="306">
        <f t="shared" ca="1" si="322"/>
        <v>1.226415708723011</v>
      </c>
      <c r="W723" s="304">
        <f t="shared" ca="1" si="323"/>
        <v>60.241925176960727</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2.3476192238767446</v>
      </c>
      <c r="AH723" s="304">
        <f t="shared" ca="1" si="347"/>
        <v>-7.4025092424120995</v>
      </c>
    </row>
    <row r="724" spans="1:34" x14ac:dyDescent="0.2">
      <c r="A724" s="347">
        <f t="shared" ca="1" si="325"/>
        <v>1E-4</v>
      </c>
      <c r="B724" s="304">
        <f t="shared" ca="1" si="326"/>
        <v>34.501500000000227</v>
      </c>
      <c r="D724" s="306">
        <f t="shared" ca="1" si="327"/>
        <v>-0.81659124650922077</v>
      </c>
      <c r="E724" s="307">
        <f t="shared" ca="1" si="328"/>
        <v>-2.4526311345289153</v>
      </c>
      <c r="F724" s="304">
        <f t="shared" ca="1" si="329"/>
        <v>2.5849991771635206</v>
      </c>
      <c r="G724" s="306">
        <f t="shared" ca="1" si="330"/>
        <v>13.451932503813484</v>
      </c>
      <c r="H724" s="307">
        <f t="shared" ca="1" si="331"/>
        <v>-121.20094463793777</v>
      </c>
      <c r="I724" s="304">
        <f t="shared" ca="1" si="332"/>
        <v>121.94516582962856</v>
      </c>
      <c r="J724" s="306">
        <f t="shared" ca="1" si="333"/>
        <v>859.24597237897774</v>
      </c>
      <c r="K724" s="307">
        <f t="shared" ca="1" si="334"/>
        <v>-11.562251852777274</v>
      </c>
      <c r="L724" s="304">
        <f t="shared" ca="1" si="319"/>
        <v>859.32376128988892</v>
      </c>
      <c r="M724" s="306">
        <f t="shared" ca="1" si="335"/>
        <v>-1.4602600481983348</v>
      </c>
      <c r="N724" s="304">
        <f t="shared" ca="1" si="336"/>
        <v>-83.666737753334758</v>
      </c>
      <c r="P724" s="310">
        <f t="shared" ca="1" si="337"/>
        <v>23</v>
      </c>
      <c r="Q724" s="304">
        <f t="shared" ca="1" si="338"/>
        <v>0</v>
      </c>
      <c r="R724" s="306">
        <f t="shared" ca="1" si="339"/>
        <v>0</v>
      </c>
      <c r="S724" s="307">
        <f t="shared" ca="1" si="340"/>
        <v>8.1379999999999981</v>
      </c>
      <c r="T724" s="304">
        <f t="shared" ca="1" si="320"/>
        <v>79.83377999999999</v>
      </c>
      <c r="U724" s="311">
        <f t="shared" ca="1" si="321"/>
        <v>0</v>
      </c>
      <c r="V724" s="306">
        <f t="shared" ca="1" si="322"/>
        <v>1.226417195150328</v>
      </c>
      <c r="W724" s="304">
        <f t="shared" ca="1" si="323"/>
        <v>60.242230136809255</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2.3475827103678046</v>
      </c>
      <c r="AH724" s="304">
        <f t="shared" ca="1" si="347"/>
        <v>-7.4025467162645295</v>
      </c>
    </row>
    <row r="725" spans="1:34" x14ac:dyDescent="0.2">
      <c r="A725" s="347">
        <f t="shared" ca="1" si="325"/>
        <v>1E-4</v>
      </c>
      <c r="B725" s="304">
        <f t="shared" ca="1" si="326"/>
        <v>34.501600000000231</v>
      </c>
      <c r="D725" s="306">
        <f t="shared" ca="1" si="327"/>
        <v>-0.81658885120930691</v>
      </c>
      <c r="E725" s="307">
        <f t="shared" ca="1" si="328"/>
        <v>-2.4525931650103709</v>
      </c>
      <c r="F725" s="304">
        <f t="shared" ca="1" si="329"/>
        <v>2.5849623952728837</v>
      </c>
      <c r="G725" s="306">
        <f t="shared" ca="1" si="330"/>
        <v>13.451850844928364</v>
      </c>
      <c r="H725" s="307">
        <f t="shared" ca="1" si="331"/>
        <v>-121.20118989725427</v>
      </c>
      <c r="I725" s="304">
        <f t="shared" ca="1" si="332"/>
        <v>121.94540058429629</v>
      </c>
      <c r="J725" s="306">
        <f t="shared" ca="1" si="333"/>
        <v>859.24597237897774</v>
      </c>
      <c r="K725" s="307">
        <f t="shared" ca="1" si="334"/>
        <v>-11.574371959504035</v>
      </c>
      <c r="L725" s="304">
        <f t="shared" ca="1" si="319"/>
        <v>859.32392445209621</v>
      </c>
      <c r="M725" s="306">
        <f t="shared" ca="1" si="335"/>
        <v>-1.4602609356070173</v>
      </c>
      <c r="N725" s="304">
        <f t="shared" ca="1" si="336"/>
        <v>-83.666788598106962</v>
      </c>
      <c r="P725" s="310">
        <f t="shared" ca="1" si="337"/>
        <v>23</v>
      </c>
      <c r="Q725" s="304">
        <f t="shared" ca="1" si="338"/>
        <v>0</v>
      </c>
      <c r="R725" s="306">
        <f t="shared" ca="1" si="339"/>
        <v>0</v>
      </c>
      <c r="S725" s="307">
        <f t="shared" ca="1" si="340"/>
        <v>8.1379999999999981</v>
      </c>
      <c r="T725" s="304">
        <f t="shared" ca="1" si="320"/>
        <v>79.83377999999999</v>
      </c>
      <c r="U725" s="311">
        <f t="shared" ca="1" si="321"/>
        <v>0</v>
      </c>
      <c r="V725" s="306">
        <f t="shared" ca="1" si="322"/>
        <v>1.2264186815824558</v>
      </c>
      <c r="W725" s="304">
        <f t="shared" ca="1" si="323"/>
        <v>60.242535094295235</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2.3475461971319733</v>
      </c>
      <c r="AH725" s="304">
        <f t="shared" ca="1" si="347"/>
        <v>-7.4025841898266487</v>
      </c>
    </row>
    <row r="726" spans="1:34" x14ac:dyDescent="0.2">
      <c r="A726" s="347">
        <f t="shared" ca="1" si="325"/>
        <v>1E-4</v>
      </c>
      <c r="B726" s="304">
        <f t="shared" ca="1" si="326"/>
        <v>34.501700000000234</v>
      </c>
      <c r="D726" s="306">
        <f t="shared" ca="1" si="327"/>
        <v>-0.81658645587539602</v>
      </c>
      <c r="E726" s="307">
        <f t="shared" ca="1" si="328"/>
        <v>-2.4525551957860099</v>
      </c>
      <c r="F726" s="304">
        <f t="shared" ca="1" si="329"/>
        <v>2.5849256136871896</v>
      </c>
      <c r="G726" s="306">
        <f t="shared" ca="1" si="330"/>
        <v>13.451769186282776</v>
      </c>
      <c r="H726" s="307">
        <f t="shared" ca="1" si="331"/>
        <v>-121.20143515277384</v>
      </c>
      <c r="I726" s="304">
        <f t="shared" ca="1" si="332"/>
        <v>121.94563533531272</v>
      </c>
      <c r="J726" s="306">
        <f t="shared" ca="1" si="333"/>
        <v>859.24597237897774</v>
      </c>
      <c r="K726" s="307">
        <f t="shared" ca="1" si="334"/>
        <v>-11.586492090756536</v>
      </c>
      <c r="L726" s="304">
        <f t="shared" ca="1" si="319"/>
        <v>859.32408778554793</v>
      </c>
      <c r="M726" s="306">
        <f t="shared" ca="1" si="335"/>
        <v>-1.4602618230068962</v>
      </c>
      <c r="N726" s="304">
        <f t="shared" ca="1" si="336"/>
        <v>-83.666839442374766</v>
      </c>
      <c r="P726" s="310">
        <f t="shared" ca="1" si="337"/>
        <v>23</v>
      </c>
      <c r="Q726" s="304">
        <f t="shared" ca="1" si="338"/>
        <v>0</v>
      </c>
      <c r="R726" s="306">
        <f t="shared" ca="1" si="339"/>
        <v>0</v>
      </c>
      <c r="S726" s="307">
        <f t="shared" ca="1" si="340"/>
        <v>8.1379999999999981</v>
      </c>
      <c r="T726" s="304">
        <f t="shared" ca="1" si="320"/>
        <v>79.83377999999999</v>
      </c>
      <c r="U726" s="311">
        <f t="shared" ca="1" si="321"/>
        <v>0</v>
      </c>
      <c r="V726" s="306">
        <f t="shared" ca="1" si="322"/>
        <v>1.2264201680193938</v>
      </c>
      <c r="W726" s="304">
        <f t="shared" ca="1" si="323"/>
        <v>60.242840049418675</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2.3475096841692462</v>
      </c>
      <c r="AH726" s="304">
        <f t="shared" ca="1" si="347"/>
        <v>-7.4026216630984578</v>
      </c>
    </row>
    <row r="727" spans="1:34" x14ac:dyDescent="0.2">
      <c r="A727" s="347">
        <f t="shared" ca="1" si="325"/>
        <v>1E-4</v>
      </c>
      <c r="B727" s="304">
        <f t="shared" ca="1" si="326"/>
        <v>34.501800000000237</v>
      </c>
      <c r="D727" s="306">
        <f t="shared" ca="1" si="327"/>
        <v>-0.81658406050748844</v>
      </c>
      <c r="E727" s="307">
        <f t="shared" ca="1" si="328"/>
        <v>-2.4525172268558357</v>
      </c>
      <c r="F727" s="304">
        <f t="shared" ca="1" si="329"/>
        <v>2.5848888324064414</v>
      </c>
      <c r="G727" s="306">
        <f t="shared" ca="1" si="330"/>
        <v>13.451687527876725</v>
      </c>
      <c r="H727" s="307">
        <f t="shared" ca="1" si="331"/>
        <v>-121.20168040449653</v>
      </c>
      <c r="I727" s="304">
        <f t="shared" ca="1" si="332"/>
        <v>121.94587008267789</v>
      </c>
      <c r="J727" s="306">
        <f t="shared" ca="1" si="333"/>
        <v>859.24597237897774</v>
      </c>
      <c r="K727" s="307">
        <f t="shared" ca="1" si="334"/>
        <v>-11.598612246534399</v>
      </c>
      <c r="L727" s="304">
        <f t="shared" ca="1" si="319"/>
        <v>859.32425129024523</v>
      </c>
      <c r="M727" s="306">
        <f t="shared" ca="1" si="335"/>
        <v>-1.460262710397972</v>
      </c>
      <c r="N727" s="304">
        <f t="shared" ca="1" si="336"/>
        <v>-83.666890286138184</v>
      </c>
      <c r="P727" s="310">
        <f t="shared" ca="1" si="337"/>
        <v>23</v>
      </c>
      <c r="Q727" s="304">
        <f t="shared" ca="1" si="338"/>
        <v>0</v>
      </c>
      <c r="R727" s="306">
        <f t="shared" ca="1" si="339"/>
        <v>0</v>
      </c>
      <c r="S727" s="307">
        <f t="shared" ca="1" si="340"/>
        <v>8.1379999999999981</v>
      </c>
      <c r="T727" s="304">
        <f t="shared" ca="1" si="320"/>
        <v>79.83377999999999</v>
      </c>
      <c r="U727" s="311">
        <f t="shared" ca="1" si="321"/>
        <v>0</v>
      </c>
      <c r="V727" s="306">
        <f t="shared" ca="1" si="322"/>
        <v>1.2264216544611424</v>
      </c>
      <c r="W727" s="304">
        <f t="shared" ca="1" si="323"/>
        <v>60.243145002179581</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2.3474731714796215</v>
      </c>
      <c r="AH727" s="304">
        <f t="shared" ca="1" si="347"/>
        <v>-7.402659136079957</v>
      </c>
    </row>
    <row r="728" spans="1:34" x14ac:dyDescent="0.2">
      <c r="A728" s="347">
        <f t="shared" ca="1" si="325"/>
        <v>1E-4</v>
      </c>
      <c r="B728" s="304">
        <f t="shared" ca="1" si="326"/>
        <v>34.501900000000241</v>
      </c>
      <c r="D728" s="306">
        <f t="shared" ca="1" si="327"/>
        <v>-0.8165816651055825</v>
      </c>
      <c r="E728" s="307">
        <f t="shared" ca="1" si="328"/>
        <v>-2.4524792582198431</v>
      </c>
      <c r="F728" s="304">
        <f t="shared" ca="1" si="329"/>
        <v>2.5848520514306341</v>
      </c>
      <c r="G728" s="306">
        <f t="shared" ca="1" si="330"/>
        <v>13.451605869710214</v>
      </c>
      <c r="H728" s="307">
        <f t="shared" ca="1" si="331"/>
        <v>-121.20192565242235</v>
      </c>
      <c r="I728" s="304">
        <f t="shared" ca="1" si="332"/>
        <v>121.94610482639179</v>
      </c>
      <c r="J728" s="306">
        <f t="shared" ca="1" si="333"/>
        <v>859.24597237897774</v>
      </c>
      <c r="K728" s="307">
        <f t="shared" ca="1" si="334"/>
        <v>-11.610732426837245</v>
      </c>
      <c r="L728" s="304">
        <f t="shared" ca="1" si="319"/>
        <v>859.32441496618878</v>
      </c>
      <c r="M728" s="306">
        <f t="shared" ca="1" si="335"/>
        <v>-1.4602635977802443</v>
      </c>
      <c r="N728" s="304">
        <f t="shared" ca="1" si="336"/>
        <v>-83.666941129397202</v>
      </c>
      <c r="P728" s="310">
        <f t="shared" ca="1" si="337"/>
        <v>23</v>
      </c>
      <c r="Q728" s="304">
        <f t="shared" ca="1" si="338"/>
        <v>0</v>
      </c>
      <c r="R728" s="306">
        <f t="shared" ca="1" si="339"/>
        <v>0</v>
      </c>
      <c r="S728" s="307">
        <f t="shared" ca="1" si="340"/>
        <v>8.1379999999999981</v>
      </c>
      <c r="T728" s="304">
        <f t="shared" ca="1" si="320"/>
        <v>79.83377999999999</v>
      </c>
      <c r="U728" s="311">
        <f t="shared" ca="1" si="321"/>
        <v>0</v>
      </c>
      <c r="V728" s="306">
        <f t="shared" ca="1" si="322"/>
        <v>1.226423140907702</v>
      </c>
      <c r="W728" s="304">
        <f t="shared" ca="1" si="323"/>
        <v>60.24344995257794</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2.3474366590631055</v>
      </c>
      <c r="AH728" s="304">
        <f t="shared" ca="1" si="347"/>
        <v>-7.402696608771147</v>
      </c>
    </row>
    <row r="729" spans="1:34" x14ac:dyDescent="0.2">
      <c r="A729" s="347">
        <f t="shared" ca="1" si="325"/>
        <v>1E-4</v>
      </c>
      <c r="B729" s="304">
        <f t="shared" ca="1" si="326"/>
        <v>34.502000000000244</v>
      </c>
      <c r="D729" s="306">
        <f t="shared" ca="1" si="327"/>
        <v>-0.81657926966968164</v>
      </c>
      <c r="E729" s="307">
        <f t="shared" ca="1" si="328"/>
        <v>-2.4524412898780357</v>
      </c>
      <c r="F729" s="304">
        <f t="shared" ca="1" si="329"/>
        <v>2.5848152707597722</v>
      </c>
      <c r="G729" s="306">
        <f t="shared" ca="1" si="330"/>
        <v>13.451524211783246</v>
      </c>
      <c r="H729" s="307">
        <f t="shared" ca="1" si="331"/>
        <v>-121.20217089655134</v>
      </c>
      <c r="I729" s="304">
        <f t="shared" ca="1" si="332"/>
        <v>121.9463395664545</v>
      </c>
      <c r="J729" s="306">
        <f t="shared" ca="1" si="333"/>
        <v>859.24597237897774</v>
      </c>
      <c r="K729" s="307">
        <f t="shared" ca="1" si="334"/>
        <v>-11.622852631664694</v>
      </c>
      <c r="L729" s="304">
        <f t="shared" ca="1" si="319"/>
        <v>859.32457881337962</v>
      </c>
      <c r="M729" s="306">
        <f t="shared" ca="1" si="335"/>
        <v>-1.4602644851537134</v>
      </c>
      <c r="N729" s="304">
        <f t="shared" ca="1" si="336"/>
        <v>-83.666991972151834</v>
      </c>
      <c r="P729" s="310">
        <f t="shared" ca="1" si="337"/>
        <v>23</v>
      </c>
      <c r="Q729" s="304">
        <f t="shared" ca="1" si="338"/>
        <v>0</v>
      </c>
      <c r="R729" s="306">
        <f t="shared" ca="1" si="339"/>
        <v>0</v>
      </c>
      <c r="S729" s="307">
        <f t="shared" ca="1" si="340"/>
        <v>8.1379999999999981</v>
      </c>
      <c r="T729" s="304">
        <f t="shared" ca="1" si="320"/>
        <v>79.83377999999999</v>
      </c>
      <c r="U729" s="311">
        <f t="shared" ca="1" si="321"/>
        <v>0</v>
      </c>
      <c r="V729" s="306">
        <f t="shared" ca="1" si="322"/>
        <v>1.2264246273590715</v>
      </c>
      <c r="W729" s="304">
        <f t="shared" ca="1" si="323"/>
        <v>60.243754900613737</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2.3474001469196919</v>
      </c>
      <c r="AH729" s="304">
        <f t="shared" ca="1" si="347"/>
        <v>-7.402734081172027</v>
      </c>
    </row>
    <row r="730" spans="1:34" x14ac:dyDescent="0.2">
      <c r="A730" s="347">
        <f t="shared" ca="1" si="325"/>
        <v>1E-4</v>
      </c>
      <c r="B730" s="304">
        <f t="shared" ca="1" si="326"/>
        <v>34.502100000000247</v>
      </c>
      <c r="D730" s="306">
        <f t="shared" ca="1" si="327"/>
        <v>-0.81657687419978575</v>
      </c>
      <c r="E730" s="307">
        <f t="shared" ca="1" si="328"/>
        <v>-2.452403321830416</v>
      </c>
      <c r="F730" s="304">
        <f t="shared" ca="1" si="329"/>
        <v>2.584778490393858</v>
      </c>
      <c r="G730" s="306">
        <f t="shared" ca="1" si="330"/>
        <v>13.451442554095825</v>
      </c>
      <c r="H730" s="307">
        <f t="shared" ca="1" si="331"/>
        <v>-121.20241613688351</v>
      </c>
      <c r="I730" s="304">
        <f t="shared" ca="1" si="332"/>
        <v>121.94657430286601</v>
      </c>
      <c r="J730" s="306">
        <f t="shared" ca="1" si="333"/>
        <v>859.24597237897774</v>
      </c>
      <c r="K730" s="307">
        <f t="shared" ca="1" si="334"/>
        <v>-11.634972861016365</v>
      </c>
      <c r="L730" s="304">
        <f t="shared" ca="1" si="319"/>
        <v>859.32474283181875</v>
      </c>
      <c r="M730" s="306">
        <f t="shared" ca="1" si="335"/>
        <v>-1.4602653725183796</v>
      </c>
      <c r="N730" s="304">
        <f t="shared" ca="1" si="336"/>
        <v>-83.667042814402095</v>
      </c>
      <c r="P730" s="310">
        <f t="shared" ca="1" si="337"/>
        <v>23</v>
      </c>
      <c r="Q730" s="304">
        <f t="shared" ca="1" si="338"/>
        <v>0</v>
      </c>
      <c r="R730" s="306">
        <f t="shared" ca="1" si="339"/>
        <v>0</v>
      </c>
      <c r="S730" s="307">
        <f t="shared" ca="1" si="340"/>
        <v>8.1379999999999981</v>
      </c>
      <c r="T730" s="304">
        <f t="shared" ca="1" si="320"/>
        <v>79.83377999999999</v>
      </c>
      <c r="U730" s="311">
        <f t="shared" ca="1" si="321"/>
        <v>0</v>
      </c>
      <c r="V730" s="306">
        <f t="shared" ca="1" si="322"/>
        <v>1.2264261138152512</v>
      </c>
      <c r="W730" s="304">
        <f t="shared" ca="1" si="323"/>
        <v>60.244059846286952</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2.3473636350493887</v>
      </c>
      <c r="AH730" s="304">
        <f t="shared" ca="1" si="347"/>
        <v>-7.4027715532825944</v>
      </c>
    </row>
    <row r="731" spans="1:34" x14ac:dyDescent="0.2">
      <c r="A731" s="347">
        <f t="shared" ca="1" si="325"/>
        <v>1E-4</v>
      </c>
      <c r="B731" s="304">
        <f t="shared" ca="1" si="326"/>
        <v>34.502200000000251</v>
      </c>
      <c r="D731" s="306">
        <f t="shared" ca="1" si="327"/>
        <v>-0.8165744786958945</v>
      </c>
      <c r="E731" s="307">
        <f t="shared" ca="1" si="328"/>
        <v>-2.4523653540769867</v>
      </c>
      <c r="F731" s="304">
        <f t="shared" ca="1" si="329"/>
        <v>2.5847417103328945</v>
      </c>
      <c r="G731" s="306">
        <f t="shared" ca="1" si="330"/>
        <v>13.451360896647955</v>
      </c>
      <c r="H731" s="307">
        <f t="shared" ca="1" si="331"/>
        <v>-121.20266137341892</v>
      </c>
      <c r="I731" s="304">
        <f t="shared" ca="1" si="332"/>
        <v>121.94680903562637</v>
      </c>
      <c r="J731" s="306">
        <f t="shared" ca="1" si="333"/>
        <v>859.24597237897774</v>
      </c>
      <c r="K731" s="307">
        <f t="shared" ca="1" si="334"/>
        <v>-11.647093114891881</v>
      </c>
      <c r="L731" s="304">
        <f t="shared" ca="1" si="319"/>
        <v>859.32490702150722</v>
      </c>
      <c r="M731" s="306">
        <f t="shared" ca="1" si="335"/>
        <v>-1.4602662598742429</v>
      </c>
      <c r="N731" s="304">
        <f t="shared" ca="1" si="336"/>
        <v>-83.667093656147998</v>
      </c>
      <c r="P731" s="310">
        <f t="shared" ca="1" si="337"/>
        <v>23</v>
      </c>
      <c r="Q731" s="304">
        <f t="shared" ca="1" si="338"/>
        <v>0</v>
      </c>
      <c r="R731" s="306">
        <f t="shared" ca="1" si="339"/>
        <v>0</v>
      </c>
      <c r="S731" s="307">
        <f t="shared" ca="1" si="340"/>
        <v>8.1379999999999981</v>
      </c>
      <c r="T731" s="304">
        <f t="shared" ca="1" si="320"/>
        <v>79.83377999999999</v>
      </c>
      <c r="U731" s="311">
        <f t="shared" ca="1" si="321"/>
        <v>0</v>
      </c>
      <c r="V731" s="306">
        <f t="shared" ca="1" si="322"/>
        <v>1.2264276002762415</v>
      </c>
      <c r="W731" s="304">
        <f t="shared" ca="1" si="323"/>
        <v>60.244364789597654</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2.3473271234521951</v>
      </c>
      <c r="AH731" s="304">
        <f t="shared" ca="1" si="347"/>
        <v>-7.4028090251028464</v>
      </c>
    </row>
    <row r="732" spans="1:34" x14ac:dyDescent="0.2">
      <c r="A732" s="347">
        <f t="shared" ca="1" si="325"/>
        <v>1E-4</v>
      </c>
      <c r="B732" s="304">
        <f t="shared" ca="1" si="326"/>
        <v>34.502300000000254</v>
      </c>
      <c r="D732" s="306">
        <f t="shared" ca="1" si="327"/>
        <v>-0.81657208315801089</v>
      </c>
      <c r="E732" s="307">
        <f t="shared" ca="1" si="328"/>
        <v>-2.4523273866177355</v>
      </c>
      <c r="F732" s="304">
        <f t="shared" ca="1" si="329"/>
        <v>2.5847049305768706</v>
      </c>
      <c r="G732" s="306">
        <f t="shared" ca="1" si="330"/>
        <v>13.451279239439639</v>
      </c>
      <c r="H732" s="307">
        <f t="shared" ca="1" si="331"/>
        <v>-121.20290660615758</v>
      </c>
      <c r="I732" s="304">
        <f t="shared" ca="1" si="332"/>
        <v>121.9470437647356</v>
      </c>
      <c r="J732" s="306">
        <f t="shared" ca="1" si="333"/>
        <v>859.24597237897774</v>
      </c>
      <c r="K732" s="307">
        <f t="shared" ca="1" si="334"/>
        <v>-11.659213393290859</v>
      </c>
      <c r="L732" s="304">
        <f t="shared" ca="1" si="319"/>
        <v>859.32507138244557</v>
      </c>
      <c r="M732" s="306">
        <f t="shared" ca="1" si="335"/>
        <v>-1.4602671472213031</v>
      </c>
      <c r="N732" s="304">
        <f t="shared" ca="1" si="336"/>
        <v>-83.667144497389515</v>
      </c>
      <c r="P732" s="310">
        <f t="shared" ca="1" si="337"/>
        <v>23</v>
      </c>
      <c r="Q732" s="304">
        <f t="shared" ca="1" si="338"/>
        <v>0</v>
      </c>
      <c r="R732" s="306">
        <f t="shared" ca="1" si="339"/>
        <v>0</v>
      </c>
      <c r="S732" s="307">
        <f t="shared" ca="1" si="340"/>
        <v>8.1379999999999981</v>
      </c>
      <c r="T732" s="304">
        <f t="shared" ca="1" si="320"/>
        <v>79.83377999999999</v>
      </c>
      <c r="U732" s="311">
        <f t="shared" ca="1" si="321"/>
        <v>0</v>
      </c>
      <c r="V732" s="306">
        <f t="shared" ca="1" si="322"/>
        <v>1.2264290867420422</v>
      </c>
      <c r="W732" s="304">
        <f t="shared" ca="1" si="323"/>
        <v>60.244669730545766</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2.3472906121281083</v>
      </c>
      <c r="AH732" s="304">
        <f t="shared" ca="1" si="347"/>
        <v>-7.4028464966327929</v>
      </c>
    </row>
    <row r="733" spans="1:34" x14ac:dyDescent="0.2">
      <c r="A733" s="347">
        <f t="shared" ca="1" si="325"/>
        <v>1E-4</v>
      </c>
      <c r="B733" s="304">
        <f t="shared" ca="1" si="326"/>
        <v>34.502400000000257</v>
      </c>
      <c r="D733" s="306">
        <f t="shared" ca="1" si="327"/>
        <v>-0.81656968758613546</v>
      </c>
      <c r="E733" s="307">
        <f t="shared" ca="1" si="328"/>
        <v>-2.4522894194526774</v>
      </c>
      <c r="F733" s="304">
        <f t="shared" ca="1" si="329"/>
        <v>2.5846681511258014</v>
      </c>
      <c r="G733" s="306">
        <f t="shared" ca="1" si="330"/>
        <v>13.451197582470881</v>
      </c>
      <c r="H733" s="307">
        <f t="shared" ca="1" si="331"/>
        <v>-121.20315183509953</v>
      </c>
      <c r="I733" s="304">
        <f t="shared" ca="1" si="332"/>
        <v>121.94727849019371</v>
      </c>
      <c r="J733" s="306">
        <f t="shared" ca="1" si="333"/>
        <v>859.24597237897774</v>
      </c>
      <c r="K733" s="307">
        <f t="shared" ca="1" si="334"/>
        <v>-11.671333696212921</v>
      </c>
      <c r="L733" s="304">
        <f t="shared" ca="1" si="319"/>
        <v>859.32523591463519</v>
      </c>
      <c r="M733" s="306">
        <f t="shared" ca="1" si="335"/>
        <v>-1.4602680345595609</v>
      </c>
      <c r="N733" s="304">
        <f t="shared" ca="1" si="336"/>
        <v>-83.667195338126675</v>
      </c>
      <c r="P733" s="310">
        <f t="shared" ca="1" si="337"/>
        <v>23</v>
      </c>
      <c r="Q733" s="304">
        <f t="shared" ca="1" si="338"/>
        <v>0</v>
      </c>
      <c r="R733" s="306">
        <f t="shared" ca="1" si="339"/>
        <v>0</v>
      </c>
      <c r="S733" s="307">
        <f t="shared" ca="1" si="340"/>
        <v>8.1379999999999981</v>
      </c>
      <c r="T733" s="304">
        <f t="shared" ca="1" si="320"/>
        <v>79.83377999999999</v>
      </c>
      <c r="U733" s="311">
        <f t="shared" ca="1" si="321"/>
        <v>0</v>
      </c>
      <c r="V733" s="306">
        <f t="shared" ca="1" si="322"/>
        <v>1.2264305732126533</v>
      </c>
      <c r="W733" s="304">
        <f t="shared" ca="1" si="323"/>
        <v>60.244974669131309</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2.3472541010771319</v>
      </c>
      <c r="AH733" s="304">
        <f t="shared" ca="1" si="347"/>
        <v>-7.4028839678724232</v>
      </c>
    </row>
    <row r="734" spans="1:34" x14ac:dyDescent="0.2">
      <c r="A734" s="347">
        <f t="shared" ca="1" si="325"/>
        <v>1E-4</v>
      </c>
      <c r="B734" s="304">
        <f t="shared" ca="1" si="326"/>
        <v>34.502500000000261</v>
      </c>
      <c r="D734" s="306">
        <f t="shared" ca="1" si="327"/>
        <v>-0.81656729198026712</v>
      </c>
      <c r="E734" s="307">
        <f t="shared" ca="1" si="328"/>
        <v>-2.4522514525818053</v>
      </c>
      <c r="F734" s="304">
        <f t="shared" ca="1" si="329"/>
        <v>2.5846313719796794</v>
      </c>
      <c r="G734" s="306">
        <f t="shared" ca="1" si="330"/>
        <v>13.451115925741682</v>
      </c>
      <c r="H734" s="307">
        <f t="shared" ca="1" si="331"/>
        <v>-121.2033970602448</v>
      </c>
      <c r="I734" s="304">
        <f t="shared" ca="1" si="332"/>
        <v>121.94751321200076</v>
      </c>
      <c r="J734" s="306">
        <f t="shared" ca="1" si="333"/>
        <v>859.24597237897774</v>
      </c>
      <c r="K734" s="307">
        <f t="shared" ca="1" si="334"/>
        <v>-11.683454023657688</v>
      </c>
      <c r="L734" s="304">
        <f t="shared" ca="1" si="319"/>
        <v>859.32540061807663</v>
      </c>
      <c r="M734" s="306">
        <f t="shared" ca="1" si="335"/>
        <v>-1.4602689218890164</v>
      </c>
      <c r="N734" s="304">
        <f t="shared" ca="1" si="336"/>
        <v>-83.66724617835952</v>
      </c>
      <c r="P734" s="310">
        <f t="shared" ca="1" si="337"/>
        <v>23</v>
      </c>
      <c r="Q734" s="304">
        <f t="shared" ca="1" si="338"/>
        <v>0</v>
      </c>
      <c r="R734" s="306">
        <f t="shared" ca="1" si="339"/>
        <v>0</v>
      </c>
      <c r="S734" s="307">
        <f t="shared" ca="1" si="340"/>
        <v>8.1379999999999981</v>
      </c>
      <c r="T734" s="304">
        <f t="shared" ca="1" si="320"/>
        <v>79.83377999999999</v>
      </c>
      <c r="U734" s="311">
        <f t="shared" ca="1" si="321"/>
        <v>0</v>
      </c>
      <c r="V734" s="306">
        <f t="shared" ca="1" si="322"/>
        <v>1.2264320596880742</v>
      </c>
      <c r="W734" s="304">
        <f t="shared" ca="1" si="323"/>
        <v>60.245279605354277</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2.3472175902992678</v>
      </c>
      <c r="AH734" s="304">
        <f t="shared" ca="1" si="347"/>
        <v>-7.4029214388217408</v>
      </c>
    </row>
    <row r="735" spans="1:34" x14ac:dyDescent="0.2">
      <c r="A735" s="347">
        <f t="shared" ca="1" si="325"/>
        <v>1E-4</v>
      </c>
      <c r="B735" s="304">
        <f t="shared" ca="1" si="326"/>
        <v>34.502600000000264</v>
      </c>
      <c r="D735" s="306">
        <f t="shared" ca="1" si="327"/>
        <v>-0.81656489634040563</v>
      </c>
      <c r="E735" s="307">
        <f t="shared" ca="1" si="328"/>
        <v>-2.4522134860051228</v>
      </c>
      <c r="F735" s="304">
        <f t="shared" ca="1" si="329"/>
        <v>2.584594593138509</v>
      </c>
      <c r="G735" s="306">
        <f t="shared" ca="1" si="330"/>
        <v>13.451034269252048</v>
      </c>
      <c r="H735" s="307">
        <f t="shared" ca="1" si="331"/>
        <v>-121.2036422815934</v>
      </c>
      <c r="I735" s="304">
        <f t="shared" ca="1" si="332"/>
        <v>121.94774793015675</v>
      </c>
      <c r="J735" s="306">
        <f t="shared" ca="1" si="333"/>
        <v>859.24597237897774</v>
      </c>
      <c r="K735" s="307">
        <f t="shared" ca="1" si="334"/>
        <v>-11.69557437562478</v>
      </c>
      <c r="L735" s="304">
        <f t="shared" ca="1" si="319"/>
        <v>859.32556549277103</v>
      </c>
      <c r="M735" s="306">
        <f t="shared" ca="1" si="335"/>
        <v>-1.4602698092096693</v>
      </c>
      <c r="N735" s="304">
        <f t="shared" ca="1" si="336"/>
        <v>-83.667297018088007</v>
      </c>
      <c r="P735" s="310">
        <f t="shared" ca="1" si="337"/>
        <v>23</v>
      </c>
      <c r="Q735" s="304">
        <f t="shared" ca="1" si="338"/>
        <v>0</v>
      </c>
      <c r="R735" s="306">
        <f t="shared" ca="1" si="339"/>
        <v>0</v>
      </c>
      <c r="S735" s="307">
        <f t="shared" ca="1" si="340"/>
        <v>8.1379999999999981</v>
      </c>
      <c r="T735" s="304">
        <f t="shared" ca="1" si="320"/>
        <v>79.83377999999999</v>
      </c>
      <c r="U735" s="311">
        <f t="shared" ca="1" si="321"/>
        <v>0</v>
      </c>
      <c r="V735" s="306">
        <f t="shared" ca="1" si="322"/>
        <v>1.2264335461683058</v>
      </c>
      <c r="W735" s="304">
        <f t="shared" ca="1" si="323"/>
        <v>60.245584539214683</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2.3471810797945167</v>
      </c>
      <c r="AH735" s="304">
        <f t="shared" ca="1" si="347"/>
        <v>-7.4029589094807431</v>
      </c>
    </row>
    <row r="736" spans="1:34" x14ac:dyDescent="0.2">
      <c r="A736" s="347">
        <f t="shared" ca="1" si="325"/>
        <v>1E-4</v>
      </c>
      <c r="B736" s="304">
        <f t="shared" ca="1" si="326"/>
        <v>34.502700000000267</v>
      </c>
      <c r="D736" s="306">
        <f t="shared" ca="1" si="327"/>
        <v>-0.816562500666555</v>
      </c>
      <c r="E736" s="307">
        <f t="shared" ca="1" si="328"/>
        <v>-2.4521755197226263</v>
      </c>
      <c r="F736" s="304">
        <f t="shared" ca="1" si="329"/>
        <v>2.5845578146022872</v>
      </c>
      <c r="G736" s="306">
        <f t="shared" ca="1" si="330"/>
        <v>13.450952613001981</v>
      </c>
      <c r="H736" s="307">
        <f t="shared" ca="1" si="331"/>
        <v>-121.20388749914538</v>
      </c>
      <c r="I736" s="304">
        <f t="shared" ca="1" si="332"/>
        <v>121.94798264466172</v>
      </c>
      <c r="J736" s="306">
        <f t="shared" ca="1" si="333"/>
        <v>859.24597237897774</v>
      </c>
      <c r="K736" s="307">
        <f t="shared" ca="1" si="334"/>
        <v>-11.707694752113817</v>
      </c>
      <c r="L736" s="304">
        <f t="shared" ca="1" si="319"/>
        <v>859.32573053871931</v>
      </c>
      <c r="M736" s="306">
        <f t="shared" ca="1" si="335"/>
        <v>-1.4602706965215198</v>
      </c>
      <c r="N736" s="304">
        <f t="shared" ca="1" si="336"/>
        <v>-83.667347857312151</v>
      </c>
      <c r="P736" s="310">
        <f t="shared" ca="1" si="337"/>
        <v>23</v>
      </c>
      <c r="Q736" s="304">
        <f t="shared" ca="1" si="338"/>
        <v>0</v>
      </c>
      <c r="R736" s="306">
        <f t="shared" ca="1" si="339"/>
        <v>0</v>
      </c>
      <c r="S736" s="307">
        <f t="shared" ca="1" si="340"/>
        <v>8.1379999999999981</v>
      </c>
      <c r="T736" s="304">
        <f t="shared" ca="1" si="320"/>
        <v>79.83377999999999</v>
      </c>
      <c r="U736" s="311">
        <f t="shared" ca="1" si="321"/>
        <v>0</v>
      </c>
      <c r="V736" s="306">
        <f t="shared" ca="1" si="322"/>
        <v>1.2264350326533471</v>
      </c>
      <c r="W736" s="304">
        <f t="shared" ca="1" si="323"/>
        <v>60.245889470712484</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2.3471445695628743</v>
      </c>
      <c r="AH736" s="304">
        <f t="shared" ca="1" si="347"/>
        <v>-7.4029963798494345</v>
      </c>
    </row>
    <row r="737" spans="1:34" x14ac:dyDescent="0.2">
      <c r="A737" s="347">
        <f t="shared" ca="1" si="325"/>
        <v>1E-4</v>
      </c>
      <c r="B737" s="304">
        <f t="shared" ca="1" si="326"/>
        <v>34.502800000000271</v>
      </c>
      <c r="D737" s="306">
        <f t="shared" ca="1" si="327"/>
        <v>-0.81656010495871612</v>
      </c>
      <c r="E737" s="307">
        <f t="shared" ca="1" si="328"/>
        <v>-2.4521375537343229</v>
      </c>
      <c r="F737" s="304">
        <f t="shared" ca="1" si="329"/>
        <v>2.5845210363710214</v>
      </c>
      <c r="G737" s="306">
        <f t="shared" ca="1" si="330"/>
        <v>13.450870956991485</v>
      </c>
      <c r="H737" s="307">
        <f t="shared" ca="1" si="331"/>
        <v>-121.20413271290076</v>
      </c>
      <c r="I737" s="304">
        <f t="shared" ca="1" si="332"/>
        <v>121.94821735551568</v>
      </c>
      <c r="J737" s="306">
        <f t="shared" ca="1" si="333"/>
        <v>859.24597237897774</v>
      </c>
      <c r="K737" s="307">
        <f t="shared" ca="1" si="334"/>
        <v>-11.719815153124419</v>
      </c>
      <c r="L737" s="304">
        <f t="shared" ca="1" si="319"/>
        <v>859.32589575592237</v>
      </c>
      <c r="M737" s="306">
        <f t="shared" ca="1" si="335"/>
        <v>-1.4602715838245683</v>
      </c>
      <c r="N737" s="304">
        <f t="shared" ca="1" si="336"/>
        <v>-83.667398696031981</v>
      </c>
      <c r="P737" s="310">
        <f t="shared" ca="1" si="337"/>
        <v>23</v>
      </c>
      <c r="Q737" s="304">
        <f t="shared" ca="1" si="338"/>
        <v>0</v>
      </c>
      <c r="R737" s="306">
        <f t="shared" ca="1" si="339"/>
        <v>0</v>
      </c>
      <c r="S737" s="307">
        <f t="shared" ca="1" si="340"/>
        <v>8.1379999999999981</v>
      </c>
      <c r="T737" s="304">
        <f t="shared" ca="1" si="320"/>
        <v>79.83377999999999</v>
      </c>
      <c r="U737" s="311">
        <f t="shared" ca="1" si="321"/>
        <v>0</v>
      </c>
      <c r="V737" s="306">
        <f t="shared" ca="1" si="322"/>
        <v>1.2264365191431987</v>
      </c>
      <c r="W737" s="304">
        <f t="shared" ca="1" si="323"/>
        <v>60.246194399847667</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2.3471080596043477</v>
      </c>
      <c r="AH737" s="304">
        <f t="shared" ca="1" si="347"/>
        <v>-7.4030338499278079</v>
      </c>
    </row>
    <row r="738" spans="1:34" x14ac:dyDescent="0.2">
      <c r="A738" s="347">
        <f t="shared" ca="1" si="325"/>
        <v>1E-4</v>
      </c>
      <c r="B738" s="304">
        <f t="shared" ca="1" si="326"/>
        <v>34.502900000000274</v>
      </c>
      <c r="D738" s="306">
        <f t="shared" ca="1" si="327"/>
        <v>-0.81655770921688553</v>
      </c>
      <c r="E738" s="307">
        <f t="shared" ca="1" si="328"/>
        <v>-2.4520995880402126</v>
      </c>
      <c r="F738" s="304">
        <f t="shared" ca="1" si="329"/>
        <v>2.5844842584447107</v>
      </c>
      <c r="G738" s="306">
        <f t="shared" ca="1" si="330"/>
        <v>13.450789301220563</v>
      </c>
      <c r="H738" s="307">
        <f t="shared" ca="1" si="331"/>
        <v>-121.20437792285956</v>
      </c>
      <c r="I738" s="304">
        <f t="shared" ca="1" si="332"/>
        <v>121.94845206271867</v>
      </c>
      <c r="J738" s="306">
        <f t="shared" ca="1" si="333"/>
        <v>859.24597237897774</v>
      </c>
      <c r="K738" s="307">
        <f t="shared" ca="1" si="334"/>
        <v>-11.731935578656207</v>
      </c>
      <c r="L738" s="304">
        <f t="shared" ca="1" si="319"/>
        <v>859.32606114438113</v>
      </c>
      <c r="M738" s="306">
        <f t="shared" ca="1" si="335"/>
        <v>-1.4602724711188149</v>
      </c>
      <c r="N738" s="304">
        <f t="shared" ca="1" si="336"/>
        <v>-83.667449534247496</v>
      </c>
      <c r="P738" s="310">
        <f t="shared" ca="1" si="337"/>
        <v>23</v>
      </c>
      <c r="Q738" s="304">
        <f t="shared" ca="1" si="338"/>
        <v>0</v>
      </c>
      <c r="R738" s="306">
        <f t="shared" ca="1" si="339"/>
        <v>0</v>
      </c>
      <c r="S738" s="307">
        <f t="shared" ca="1" si="340"/>
        <v>8.1379999999999981</v>
      </c>
      <c r="T738" s="304">
        <f t="shared" ca="1" si="320"/>
        <v>79.83377999999999</v>
      </c>
      <c r="U738" s="311">
        <f t="shared" ca="1" si="321"/>
        <v>0</v>
      </c>
      <c r="V738" s="306">
        <f t="shared" ca="1" si="322"/>
        <v>1.2264380056378608</v>
      </c>
      <c r="W738" s="304">
        <f t="shared" ca="1" si="323"/>
        <v>60.246499326620317</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2.3470715499189421</v>
      </c>
      <c r="AH738" s="304">
        <f t="shared" ca="1" si="347"/>
        <v>-7.4030713197158615</v>
      </c>
    </row>
    <row r="739" spans="1:34" x14ac:dyDescent="0.2">
      <c r="A739" s="347">
        <f t="shared" ca="1" si="325"/>
        <v>1E-4</v>
      </c>
      <c r="B739" s="304">
        <f t="shared" ca="1" si="326"/>
        <v>34.503000000000277</v>
      </c>
      <c r="D739" s="306">
        <f t="shared" ca="1" si="327"/>
        <v>-0.81655531344106824</v>
      </c>
      <c r="E739" s="307">
        <f t="shared" ca="1" si="328"/>
        <v>-2.4520616226402847</v>
      </c>
      <c r="F739" s="304">
        <f t="shared" ca="1" si="329"/>
        <v>2.5844474808233473</v>
      </c>
      <c r="G739" s="306">
        <f t="shared" ca="1" si="330"/>
        <v>13.450707645689219</v>
      </c>
      <c r="H739" s="307">
        <f t="shared" ca="1" si="331"/>
        <v>-121.20462312902183</v>
      </c>
      <c r="I739" s="304">
        <f t="shared" ca="1" si="332"/>
        <v>121.94868676627074</v>
      </c>
      <c r="J739" s="306">
        <f t="shared" ca="1" si="333"/>
        <v>859.24597237897774</v>
      </c>
      <c r="K739" s="307">
        <f t="shared" ca="1" si="334"/>
        <v>-11.744056028708801</v>
      </c>
      <c r="L739" s="304">
        <f t="shared" ca="1" si="319"/>
        <v>859.3262267040966</v>
      </c>
      <c r="M739" s="306">
        <f t="shared" ca="1" si="335"/>
        <v>-1.4602733584042595</v>
      </c>
      <c r="N739" s="304">
        <f t="shared" ca="1" si="336"/>
        <v>-83.667500371958695</v>
      </c>
      <c r="P739" s="310">
        <f t="shared" ca="1" si="337"/>
        <v>23</v>
      </c>
      <c r="Q739" s="304">
        <f t="shared" ca="1" si="338"/>
        <v>0</v>
      </c>
      <c r="R739" s="306">
        <f t="shared" ca="1" si="339"/>
        <v>0</v>
      </c>
      <c r="S739" s="307">
        <f t="shared" ca="1" si="340"/>
        <v>8.1379999999999981</v>
      </c>
      <c r="T739" s="304">
        <f t="shared" ca="1" si="320"/>
        <v>79.83377999999999</v>
      </c>
      <c r="U739" s="311">
        <f t="shared" ca="1" si="321"/>
        <v>0</v>
      </c>
      <c r="V739" s="306">
        <f t="shared" ca="1" si="322"/>
        <v>1.2264394921373329</v>
      </c>
      <c r="W739" s="304">
        <f t="shared" ca="1" si="323"/>
        <v>60.246804251030369</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2.3470350405066442</v>
      </c>
      <c r="AH739" s="304">
        <f t="shared" ca="1" si="347"/>
        <v>-7.4031087892136069</v>
      </c>
    </row>
    <row r="740" spans="1:34" x14ac:dyDescent="0.2">
      <c r="A740" s="347">
        <f t="shared" ca="1" si="325"/>
        <v>1E-4</v>
      </c>
      <c r="B740" s="304">
        <f t="shared" ca="1" si="326"/>
        <v>34.503100000000281</v>
      </c>
      <c r="D740" s="306">
        <f t="shared" ca="1" si="327"/>
        <v>-0.81655291763126325</v>
      </c>
      <c r="E740" s="307">
        <f t="shared" ca="1" si="328"/>
        <v>-2.45202365753455</v>
      </c>
      <c r="F740" s="304">
        <f t="shared" ca="1" si="329"/>
        <v>2.5844107035069408</v>
      </c>
      <c r="G740" s="306">
        <f t="shared" ca="1" si="330"/>
        <v>13.450625990397455</v>
      </c>
      <c r="H740" s="307">
        <f t="shared" ca="1" si="331"/>
        <v>-121.20486833138757</v>
      </c>
      <c r="I740" s="304">
        <f t="shared" ca="1" si="332"/>
        <v>121.94892146617187</v>
      </c>
      <c r="J740" s="306">
        <f t="shared" ca="1" si="333"/>
        <v>859.24597237897774</v>
      </c>
      <c r="K740" s="307">
        <f t="shared" ca="1" si="334"/>
        <v>-11.756176503281822</v>
      </c>
      <c r="L740" s="304">
        <f t="shared" ca="1" si="319"/>
        <v>859.32639243506958</v>
      </c>
      <c r="M740" s="306">
        <f t="shared" ca="1" si="335"/>
        <v>-1.4602742456809026</v>
      </c>
      <c r="N740" s="304">
        <f t="shared" ca="1" si="336"/>
        <v>-83.667551209165595</v>
      </c>
      <c r="P740" s="310">
        <f t="shared" ca="1" si="337"/>
        <v>23</v>
      </c>
      <c r="Q740" s="304">
        <f t="shared" ca="1" si="338"/>
        <v>0</v>
      </c>
      <c r="R740" s="306">
        <f t="shared" ca="1" si="339"/>
        <v>0</v>
      </c>
      <c r="S740" s="307">
        <f t="shared" ca="1" si="340"/>
        <v>8.1379999999999981</v>
      </c>
      <c r="T740" s="304">
        <f t="shared" ca="1" si="320"/>
        <v>79.83377999999999</v>
      </c>
      <c r="U740" s="311">
        <f t="shared" ca="1" si="321"/>
        <v>0</v>
      </c>
      <c r="V740" s="306">
        <f t="shared" ca="1" si="322"/>
        <v>1.2264409786416144</v>
      </c>
      <c r="W740" s="304">
        <f t="shared" ca="1" si="323"/>
        <v>60.247109173077746</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2.3469985313674631</v>
      </c>
      <c r="AH740" s="304">
        <f t="shared" ca="1" si="347"/>
        <v>-7.4031462584210352</v>
      </c>
    </row>
    <row r="741" spans="1:34" x14ac:dyDescent="0.2">
      <c r="A741" s="347">
        <f t="shared" ca="1" si="325"/>
        <v>1E-4</v>
      </c>
      <c r="B741" s="304">
        <f t="shared" ca="1" si="326"/>
        <v>34.503200000000284</v>
      </c>
      <c r="D741" s="306">
        <f t="shared" ca="1" si="327"/>
        <v>-0.81655052178746945</v>
      </c>
      <c r="E741" s="307">
        <f t="shared" ca="1" si="328"/>
        <v>-2.4519856927230164</v>
      </c>
      <c r="F741" s="304">
        <f t="shared" ca="1" si="329"/>
        <v>2.5843739264954984</v>
      </c>
      <c r="G741" s="306">
        <f t="shared" ca="1" si="330"/>
        <v>13.450544335345276</v>
      </c>
      <c r="H741" s="307">
        <f t="shared" ca="1" si="331"/>
        <v>-121.20511352995685</v>
      </c>
      <c r="I741" s="304">
        <f t="shared" ca="1" si="332"/>
        <v>121.94915616242211</v>
      </c>
      <c r="J741" s="306">
        <f t="shared" ca="1" si="333"/>
        <v>859.24597237897774</v>
      </c>
      <c r="K741" s="307">
        <f t="shared" ca="1" si="334"/>
        <v>-11.768297002374888</v>
      </c>
      <c r="L741" s="304">
        <f t="shared" ca="1" si="319"/>
        <v>859.32655833730121</v>
      </c>
      <c r="M741" s="306">
        <f t="shared" ca="1" si="335"/>
        <v>-1.4602751329487438</v>
      </c>
      <c r="N741" s="304">
        <f t="shared" ca="1" si="336"/>
        <v>-83.667602045868193</v>
      </c>
      <c r="P741" s="310">
        <f t="shared" ca="1" si="337"/>
        <v>23</v>
      </c>
      <c r="Q741" s="304">
        <f t="shared" ca="1" si="338"/>
        <v>0</v>
      </c>
      <c r="R741" s="306">
        <f t="shared" ca="1" si="339"/>
        <v>0</v>
      </c>
      <c r="S741" s="307">
        <f t="shared" ca="1" si="340"/>
        <v>8.1379999999999981</v>
      </c>
      <c r="T741" s="304">
        <f t="shared" ca="1" si="320"/>
        <v>79.83377999999999</v>
      </c>
      <c r="U741" s="311">
        <f t="shared" ca="1" si="321"/>
        <v>0</v>
      </c>
      <c r="V741" s="306">
        <f t="shared" ca="1" si="322"/>
        <v>1.2264424651507064</v>
      </c>
      <c r="W741" s="304">
        <f t="shared" ca="1" si="323"/>
        <v>60.247414092762568</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2.3469620225014101</v>
      </c>
      <c r="AH741" s="304">
        <f t="shared" ca="1" si="347"/>
        <v>-7.4031837273381367</v>
      </c>
    </row>
    <row r="742" spans="1:34" x14ac:dyDescent="0.2">
      <c r="A742" s="347">
        <f t="shared" ca="1" si="325"/>
        <v>1E-4</v>
      </c>
      <c r="B742" s="304">
        <f t="shared" ca="1" si="326"/>
        <v>34.503300000000287</v>
      </c>
      <c r="D742" s="306">
        <f t="shared" ca="1" si="327"/>
        <v>-0.81654812590969228</v>
      </c>
      <c r="E742" s="307">
        <f t="shared" ca="1" si="328"/>
        <v>-2.451947728205667</v>
      </c>
      <c r="F742" s="304">
        <f t="shared" ca="1" si="329"/>
        <v>2.5843371497890057</v>
      </c>
      <c r="G742" s="306">
        <f t="shared" ca="1" si="330"/>
        <v>13.450462680532684</v>
      </c>
      <c r="H742" s="307">
        <f t="shared" ca="1" si="331"/>
        <v>-121.20535872472966</v>
      </c>
      <c r="I742" s="304">
        <f t="shared" ca="1" si="332"/>
        <v>121.94939085502151</v>
      </c>
      <c r="J742" s="306">
        <f t="shared" ca="1" si="333"/>
        <v>859.24597237897774</v>
      </c>
      <c r="K742" s="307">
        <f t="shared" ca="1" si="334"/>
        <v>-11.780417525987623</v>
      </c>
      <c r="L742" s="304">
        <f t="shared" ca="1" si="319"/>
        <v>859.32672441079217</v>
      </c>
      <c r="M742" s="306">
        <f t="shared" ca="1" si="335"/>
        <v>-1.4602760202077836</v>
      </c>
      <c r="N742" s="304">
        <f t="shared" ca="1" si="336"/>
        <v>-83.66765288206652</v>
      </c>
      <c r="P742" s="310">
        <f t="shared" ca="1" si="337"/>
        <v>23</v>
      </c>
      <c r="Q742" s="304">
        <f t="shared" ca="1" si="338"/>
        <v>0</v>
      </c>
      <c r="R742" s="306">
        <f t="shared" ca="1" si="339"/>
        <v>0</v>
      </c>
      <c r="S742" s="307">
        <f t="shared" ca="1" si="340"/>
        <v>8.1379999999999981</v>
      </c>
      <c r="T742" s="304">
        <f t="shared" ca="1" si="320"/>
        <v>79.83377999999999</v>
      </c>
      <c r="U742" s="311">
        <f t="shared" ca="1" si="321"/>
        <v>0</v>
      </c>
      <c r="V742" s="306">
        <f t="shared" ca="1" si="322"/>
        <v>1.2264439516646084</v>
      </c>
      <c r="W742" s="304">
        <f t="shared" ca="1" si="323"/>
        <v>60.247719010084772</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2.3469255139084666</v>
      </c>
      <c r="AH742" s="304">
        <f t="shared" ca="1" si="347"/>
        <v>-7.4032211959649281</v>
      </c>
    </row>
    <row r="743" spans="1:34" x14ac:dyDescent="0.2">
      <c r="A743" s="347">
        <f t="shared" ca="1" si="325"/>
        <v>1E-4</v>
      </c>
      <c r="B743" s="304">
        <f t="shared" ca="1" si="326"/>
        <v>34.503400000000291</v>
      </c>
      <c r="D743" s="306">
        <f t="shared" ca="1" si="327"/>
        <v>-0.81654572999792896</v>
      </c>
      <c r="E743" s="307">
        <f t="shared" ca="1" si="328"/>
        <v>-2.4519097639825134</v>
      </c>
      <c r="F743" s="304">
        <f t="shared" ca="1" si="329"/>
        <v>2.5843003733874736</v>
      </c>
      <c r="G743" s="306">
        <f t="shared" ca="1" si="330"/>
        <v>13.450381025959684</v>
      </c>
      <c r="H743" s="307">
        <f t="shared" ca="1" si="331"/>
        <v>-121.20560391570606</v>
      </c>
      <c r="I743" s="304">
        <f t="shared" ca="1" si="332"/>
        <v>121.94962554397007</v>
      </c>
      <c r="J743" s="306">
        <f t="shared" ca="1" si="333"/>
        <v>859.24597237897774</v>
      </c>
      <c r="K743" s="307">
        <f t="shared" ca="1" si="334"/>
        <v>-11.792538074119644</v>
      </c>
      <c r="L743" s="304">
        <f t="shared" ca="1" si="319"/>
        <v>859.32689065554359</v>
      </c>
      <c r="M743" s="306">
        <f t="shared" ca="1" si="335"/>
        <v>-1.4602769074580222</v>
      </c>
      <c r="N743" s="304">
        <f t="shared" ca="1" si="336"/>
        <v>-83.66770371776056</v>
      </c>
      <c r="P743" s="310">
        <f t="shared" ca="1" si="337"/>
        <v>23</v>
      </c>
      <c r="Q743" s="304">
        <f t="shared" ca="1" si="338"/>
        <v>0</v>
      </c>
      <c r="R743" s="306">
        <f t="shared" ca="1" si="339"/>
        <v>0</v>
      </c>
      <c r="S743" s="307">
        <f t="shared" ca="1" si="340"/>
        <v>8.1379999999999981</v>
      </c>
      <c r="T743" s="304">
        <f t="shared" ca="1" si="320"/>
        <v>79.83377999999999</v>
      </c>
      <c r="U743" s="311">
        <f t="shared" ca="1" si="321"/>
        <v>0</v>
      </c>
      <c r="V743" s="306">
        <f t="shared" ca="1" si="322"/>
        <v>1.2264454381833201</v>
      </c>
      <c r="W743" s="304">
        <f t="shared" ca="1" si="323"/>
        <v>60.248023925044379</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2.3468890055886451</v>
      </c>
      <c r="AH743" s="304">
        <f t="shared" ca="1" si="347"/>
        <v>-7.4032586643013989</v>
      </c>
    </row>
    <row r="744" spans="1:34" x14ac:dyDescent="0.2">
      <c r="A744" s="347">
        <f t="shared" ca="1" si="325"/>
        <v>1E-4</v>
      </c>
      <c r="B744" s="304">
        <f t="shared" ca="1" si="326"/>
        <v>34.503500000000294</v>
      </c>
      <c r="D744" s="306">
        <f t="shared" ca="1" si="327"/>
        <v>-0.81654333405218038</v>
      </c>
      <c r="E744" s="307">
        <f t="shared" ca="1" si="328"/>
        <v>-2.4518718000535502</v>
      </c>
      <c r="F744" s="304">
        <f t="shared" ca="1" si="329"/>
        <v>2.5842635972908972</v>
      </c>
      <c r="G744" s="306">
        <f t="shared" ca="1" si="330"/>
        <v>13.450299371626279</v>
      </c>
      <c r="H744" s="307">
        <f t="shared" ca="1" si="331"/>
        <v>-121.20584910288606</v>
      </c>
      <c r="I744" s="304">
        <f t="shared" ca="1" si="332"/>
        <v>121.94986022926781</v>
      </c>
      <c r="J744" s="306">
        <f t="shared" ca="1" si="333"/>
        <v>859.24597237897774</v>
      </c>
      <c r="K744" s="307">
        <f t="shared" ca="1" si="334"/>
        <v>-11.804658646770573</v>
      </c>
      <c r="L744" s="304">
        <f t="shared" ca="1" si="319"/>
        <v>859.32705707155628</v>
      </c>
      <c r="M744" s="306">
        <f t="shared" ca="1" si="335"/>
        <v>-1.4602777946994594</v>
      </c>
      <c r="N744" s="304">
        <f t="shared" ca="1" si="336"/>
        <v>-83.667754552950313</v>
      </c>
      <c r="P744" s="310">
        <f t="shared" ca="1" si="337"/>
        <v>23</v>
      </c>
      <c r="Q744" s="304">
        <f t="shared" ca="1" si="338"/>
        <v>0</v>
      </c>
      <c r="R744" s="306">
        <f t="shared" ca="1" si="339"/>
        <v>0</v>
      </c>
      <c r="S744" s="307">
        <f t="shared" ca="1" si="340"/>
        <v>8.1379999999999981</v>
      </c>
      <c r="T744" s="304">
        <f t="shared" ca="1" si="320"/>
        <v>79.83377999999999</v>
      </c>
      <c r="U744" s="311">
        <f t="shared" ca="1" si="321"/>
        <v>0</v>
      </c>
      <c r="V744" s="306">
        <f t="shared" ca="1" si="322"/>
        <v>1.2264469247068421</v>
      </c>
      <c r="W744" s="304">
        <f t="shared" ca="1" si="323"/>
        <v>60.24832883764136</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2.3468524975419411</v>
      </c>
      <c r="AH744" s="304">
        <f t="shared" ca="1" si="347"/>
        <v>-7.4032961323475535</v>
      </c>
    </row>
    <row r="745" spans="1:34" x14ac:dyDescent="0.2">
      <c r="A745" s="347">
        <f t="shared" ca="1" si="325"/>
        <v>1E-4</v>
      </c>
      <c r="B745" s="304">
        <f t="shared" ca="1" si="326"/>
        <v>34.503600000000297</v>
      </c>
      <c r="D745" s="306">
        <f t="shared" ca="1" si="327"/>
        <v>-0.8165409380724491</v>
      </c>
      <c r="E745" s="307">
        <f t="shared" ca="1" si="328"/>
        <v>-2.4518338364187811</v>
      </c>
      <c r="F745" s="304">
        <f t="shared" ca="1" si="329"/>
        <v>2.5842268214992803</v>
      </c>
      <c r="G745" s="306">
        <f t="shared" ca="1" si="330"/>
        <v>13.450217717532473</v>
      </c>
      <c r="H745" s="307">
        <f t="shared" ca="1" si="331"/>
        <v>-121.2060942862697</v>
      </c>
      <c r="I745" s="304">
        <f t="shared" ca="1" si="332"/>
        <v>121.95009491091479</v>
      </c>
      <c r="J745" s="306">
        <f t="shared" ca="1" si="333"/>
        <v>859.24597237897774</v>
      </c>
      <c r="K745" s="307">
        <f t="shared" ca="1" si="334"/>
        <v>-11.816779243940031</v>
      </c>
      <c r="L745" s="304">
        <f t="shared" ca="1" si="319"/>
        <v>859.32722365883126</v>
      </c>
      <c r="M745" s="306">
        <f t="shared" ca="1" si="335"/>
        <v>-1.4602786819320956</v>
      </c>
      <c r="N745" s="304">
        <f t="shared" ca="1" si="336"/>
        <v>-83.667805387635823</v>
      </c>
      <c r="P745" s="310">
        <f t="shared" ca="1" si="337"/>
        <v>23</v>
      </c>
      <c r="Q745" s="304">
        <f t="shared" ca="1" si="338"/>
        <v>0</v>
      </c>
      <c r="R745" s="306">
        <f t="shared" ca="1" si="339"/>
        <v>0</v>
      </c>
      <c r="S745" s="307">
        <f t="shared" ca="1" si="340"/>
        <v>8.1379999999999981</v>
      </c>
      <c r="T745" s="304">
        <f t="shared" ca="1" si="320"/>
        <v>79.83377999999999</v>
      </c>
      <c r="U745" s="311">
        <f t="shared" ca="1" si="321"/>
        <v>0</v>
      </c>
      <c r="V745" s="306">
        <f t="shared" ca="1" si="322"/>
        <v>1.2264484112351739</v>
      </c>
      <c r="W745" s="304">
        <f t="shared" ca="1" si="323"/>
        <v>60.248633747875722</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2.3468159897683583</v>
      </c>
      <c r="AH745" s="304">
        <f t="shared" ca="1" si="347"/>
        <v>-7.4033336001033883</v>
      </c>
    </row>
    <row r="746" spans="1:34" x14ac:dyDescent="0.2">
      <c r="A746" s="347">
        <f t="shared" ca="1" si="325"/>
        <v>1E-4</v>
      </c>
      <c r="B746" s="304">
        <f t="shared" ca="1" si="326"/>
        <v>34.5037000000003</v>
      </c>
      <c r="D746" s="306">
        <f t="shared" ca="1" si="327"/>
        <v>-0.816538542058734</v>
      </c>
      <c r="E746" s="307">
        <f t="shared" ca="1" si="328"/>
        <v>-2.4517958730782068</v>
      </c>
      <c r="F746" s="304">
        <f t="shared" ca="1" si="329"/>
        <v>2.5841900460126244</v>
      </c>
      <c r="G746" s="306">
        <f t="shared" ca="1" si="330"/>
        <v>13.450136063678267</v>
      </c>
      <c r="H746" s="307">
        <f t="shared" ca="1" si="331"/>
        <v>-121.20633946585701</v>
      </c>
      <c r="I746" s="304">
        <f t="shared" ca="1" si="332"/>
        <v>121.95032958891102</v>
      </c>
      <c r="J746" s="306">
        <f t="shared" ca="1" si="333"/>
        <v>859.24597237897774</v>
      </c>
      <c r="K746" s="307">
        <f t="shared" ca="1" si="334"/>
        <v>-11.828899865627637</v>
      </c>
      <c r="L746" s="304">
        <f t="shared" ca="1" si="319"/>
        <v>859.32739041736932</v>
      </c>
      <c r="M746" s="306">
        <f t="shared" ca="1" si="335"/>
        <v>-1.4602795691559309</v>
      </c>
      <c r="N746" s="304">
        <f t="shared" ca="1" si="336"/>
        <v>-83.667856221817075</v>
      </c>
      <c r="P746" s="310">
        <f t="shared" ca="1" si="337"/>
        <v>23</v>
      </c>
      <c r="Q746" s="304">
        <f t="shared" ca="1" si="338"/>
        <v>0</v>
      </c>
      <c r="R746" s="306">
        <f t="shared" ca="1" si="339"/>
        <v>0</v>
      </c>
      <c r="S746" s="307">
        <f t="shared" ca="1" si="340"/>
        <v>8.1379999999999981</v>
      </c>
      <c r="T746" s="304">
        <f t="shared" ca="1" si="320"/>
        <v>79.83377999999999</v>
      </c>
      <c r="U746" s="311">
        <f t="shared" ca="1" si="321"/>
        <v>0</v>
      </c>
      <c r="V746" s="306">
        <f t="shared" ca="1" si="322"/>
        <v>1.2264498977683154</v>
      </c>
      <c r="W746" s="304">
        <f t="shared" ca="1" si="323"/>
        <v>60.248938655747466</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2.3467794822678965</v>
      </c>
      <c r="AH746" s="304">
        <f t="shared" ca="1" si="347"/>
        <v>-7.4033710675689033</v>
      </c>
    </row>
    <row r="747" spans="1:34" x14ac:dyDescent="0.2">
      <c r="A747" s="347">
        <f t="shared" ca="1" si="325"/>
        <v>1E-4</v>
      </c>
      <c r="B747" s="304">
        <f t="shared" ca="1" si="326"/>
        <v>34.503800000000304</v>
      </c>
      <c r="D747" s="306">
        <f t="shared" ca="1" si="327"/>
        <v>-0.81653614601103675</v>
      </c>
      <c r="E747" s="307">
        <f t="shared" ca="1" si="328"/>
        <v>-2.4517579100318256</v>
      </c>
      <c r="F747" s="304">
        <f t="shared" ca="1" si="329"/>
        <v>2.5841532708309281</v>
      </c>
      <c r="G747" s="306">
        <f t="shared" ca="1" si="330"/>
        <v>13.450054410063666</v>
      </c>
      <c r="H747" s="307">
        <f t="shared" ca="1" si="331"/>
        <v>-121.20658464164802</v>
      </c>
      <c r="I747" s="304">
        <f t="shared" ca="1" si="332"/>
        <v>121.95056426325652</v>
      </c>
      <c r="J747" s="306">
        <f t="shared" ca="1" si="333"/>
        <v>859.24597237897774</v>
      </c>
      <c r="K747" s="307">
        <f t="shared" ca="1" si="334"/>
        <v>-11.841020511833012</v>
      </c>
      <c r="L747" s="304">
        <f t="shared" ca="1" si="319"/>
        <v>859.32755734717171</v>
      </c>
      <c r="M747" s="306">
        <f t="shared" ca="1" si="335"/>
        <v>-1.4602804563709655</v>
      </c>
      <c r="N747" s="304">
        <f t="shared" ca="1" si="336"/>
        <v>-83.667907055494069</v>
      </c>
      <c r="P747" s="310">
        <f t="shared" ca="1" si="337"/>
        <v>23</v>
      </c>
      <c r="Q747" s="304">
        <f t="shared" ca="1" si="338"/>
        <v>0</v>
      </c>
      <c r="R747" s="306">
        <f t="shared" ca="1" si="339"/>
        <v>0</v>
      </c>
      <c r="S747" s="307">
        <f t="shared" ca="1" si="340"/>
        <v>8.1379999999999981</v>
      </c>
      <c r="T747" s="304">
        <f t="shared" ca="1" si="320"/>
        <v>79.83377999999999</v>
      </c>
      <c r="U747" s="311">
        <f t="shared" ca="1" si="321"/>
        <v>0</v>
      </c>
      <c r="V747" s="306">
        <f t="shared" ca="1" si="322"/>
        <v>1.226451384306267</v>
      </c>
      <c r="W747" s="304">
        <f t="shared" ca="1" si="323"/>
        <v>60.249243561256577</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2.3467429750405584</v>
      </c>
      <c r="AH747" s="304">
        <f t="shared" ca="1" si="347"/>
        <v>-7.4034085347440994</v>
      </c>
    </row>
    <row r="748" spans="1:34" x14ac:dyDescent="0.2">
      <c r="A748" s="347">
        <f t="shared" ca="1" si="325"/>
        <v>1E-4</v>
      </c>
      <c r="B748" s="304">
        <f t="shared" ca="1" si="326"/>
        <v>34.503900000000307</v>
      </c>
      <c r="D748" s="306">
        <f t="shared" ca="1" si="327"/>
        <v>-0.81653374992935723</v>
      </c>
      <c r="E748" s="307">
        <f t="shared" ca="1" si="328"/>
        <v>-2.4517199472796403</v>
      </c>
      <c r="F748" s="304">
        <f t="shared" ca="1" si="329"/>
        <v>2.5841164959541936</v>
      </c>
      <c r="G748" s="306">
        <f t="shared" ca="1" si="330"/>
        <v>13.449972756688673</v>
      </c>
      <c r="H748" s="307">
        <f t="shared" ca="1" si="331"/>
        <v>-121.20682981364276</v>
      </c>
      <c r="I748" s="304">
        <f t="shared" ca="1" si="332"/>
        <v>121.95079893395133</v>
      </c>
      <c r="J748" s="306">
        <f t="shared" ca="1" si="333"/>
        <v>859.24597237897774</v>
      </c>
      <c r="K748" s="307">
        <f t="shared" ca="1" si="334"/>
        <v>-11.853141182555776</v>
      </c>
      <c r="L748" s="304">
        <f t="shared" ca="1" si="319"/>
        <v>859.327724448239</v>
      </c>
      <c r="M748" s="306">
        <f t="shared" ca="1" si="335"/>
        <v>-1.4602813435771991</v>
      </c>
      <c r="N748" s="304">
        <f t="shared" ca="1" si="336"/>
        <v>-83.667957888666805</v>
      </c>
      <c r="P748" s="310">
        <f t="shared" ca="1" si="337"/>
        <v>23</v>
      </c>
      <c r="Q748" s="304">
        <f t="shared" ca="1" si="338"/>
        <v>0</v>
      </c>
      <c r="R748" s="306">
        <f t="shared" ca="1" si="339"/>
        <v>0</v>
      </c>
      <c r="S748" s="307">
        <f t="shared" ca="1" si="340"/>
        <v>8.1379999999999981</v>
      </c>
      <c r="T748" s="304">
        <f t="shared" ca="1" si="320"/>
        <v>79.83377999999999</v>
      </c>
      <c r="U748" s="311">
        <f t="shared" ca="1" si="321"/>
        <v>0</v>
      </c>
      <c r="V748" s="306">
        <f t="shared" ca="1" si="322"/>
        <v>1.2264528708490279</v>
      </c>
      <c r="W748" s="304">
        <f t="shared" ca="1" si="323"/>
        <v>60.249548464403048</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2.346706468086345</v>
      </c>
      <c r="AH748" s="304">
        <f t="shared" ca="1" si="347"/>
        <v>-7.403446001628974</v>
      </c>
    </row>
    <row r="749" spans="1:34" x14ac:dyDescent="0.2">
      <c r="A749" s="347">
        <f t="shared" ca="1" si="325"/>
        <v>1E-4</v>
      </c>
      <c r="B749" s="304">
        <f t="shared" ca="1" si="326"/>
        <v>34.50400000000031</v>
      </c>
      <c r="D749" s="306">
        <f t="shared" ca="1" si="327"/>
        <v>-0.8165313538136989</v>
      </c>
      <c r="E749" s="307">
        <f t="shared" ca="1" si="328"/>
        <v>-2.4516819848216516</v>
      </c>
      <c r="F749" s="304">
        <f t="shared" ca="1" si="329"/>
        <v>2.5840797213824236</v>
      </c>
      <c r="G749" s="306">
        <f t="shared" ca="1" si="330"/>
        <v>13.449891103553291</v>
      </c>
      <c r="H749" s="307">
        <f t="shared" ca="1" si="331"/>
        <v>-121.20707498184123</v>
      </c>
      <c r="I749" s="304">
        <f t="shared" ca="1" si="332"/>
        <v>121.95103360099546</v>
      </c>
      <c r="J749" s="306">
        <f t="shared" ca="1" si="333"/>
        <v>859.24597237897774</v>
      </c>
      <c r="K749" s="307">
        <f t="shared" ca="1" si="334"/>
        <v>-11.86526187779555</v>
      </c>
      <c r="L749" s="304">
        <f t="shared" ca="1" si="319"/>
        <v>859.32789172057232</v>
      </c>
      <c r="M749" s="306">
        <f t="shared" ca="1" si="335"/>
        <v>-1.4602822307746324</v>
      </c>
      <c r="N749" s="304">
        <f t="shared" ca="1" si="336"/>
        <v>-83.66800872133534</v>
      </c>
      <c r="P749" s="310">
        <f t="shared" ca="1" si="337"/>
        <v>23</v>
      </c>
      <c r="Q749" s="304">
        <f t="shared" ca="1" si="338"/>
        <v>0</v>
      </c>
      <c r="R749" s="306">
        <f t="shared" ca="1" si="339"/>
        <v>0</v>
      </c>
      <c r="S749" s="307">
        <f t="shared" ca="1" si="340"/>
        <v>8.1379999999999981</v>
      </c>
      <c r="T749" s="304">
        <f t="shared" ca="1" si="320"/>
        <v>79.83377999999999</v>
      </c>
      <c r="U749" s="311">
        <f t="shared" ca="1" si="321"/>
        <v>0</v>
      </c>
      <c r="V749" s="306">
        <f t="shared" ca="1" si="322"/>
        <v>1.2264543573965987</v>
      </c>
      <c r="W749" s="304">
        <f t="shared" ca="1" si="323"/>
        <v>60.249853365186858</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2.3466699614052544</v>
      </c>
      <c r="AH749" s="304">
        <f t="shared" ca="1" si="347"/>
        <v>-7.4034834682235271</v>
      </c>
    </row>
    <row r="750" spans="1:34" x14ac:dyDescent="0.2">
      <c r="A750" s="347">
        <f t="shared" ca="1" si="325"/>
        <v>1E-4</v>
      </c>
      <c r="B750" s="304">
        <f t="shared" ca="1" si="326"/>
        <v>34.504100000000314</v>
      </c>
      <c r="D750" s="306">
        <f t="shared" ca="1" si="327"/>
        <v>-0.81652895766405809</v>
      </c>
      <c r="E750" s="307">
        <f t="shared" ca="1" si="328"/>
        <v>-2.4516440226578622</v>
      </c>
      <c r="F750" s="304">
        <f t="shared" ca="1" si="329"/>
        <v>2.5840429471156199</v>
      </c>
      <c r="G750" s="306">
        <f t="shared" ca="1" si="330"/>
        <v>13.449809450657526</v>
      </c>
      <c r="H750" s="307">
        <f t="shared" ca="1" si="331"/>
        <v>-121.2073201462435</v>
      </c>
      <c r="I750" s="304">
        <f t="shared" ca="1" si="332"/>
        <v>121.95126826438896</v>
      </c>
      <c r="J750" s="306">
        <f t="shared" ca="1" si="333"/>
        <v>859.24597237897774</v>
      </c>
      <c r="K750" s="307">
        <f t="shared" ca="1" si="334"/>
        <v>-11.877382597551955</v>
      </c>
      <c r="L750" s="304">
        <f t="shared" ca="1" si="319"/>
        <v>859.32805916417249</v>
      </c>
      <c r="M750" s="306">
        <f t="shared" ca="1" si="335"/>
        <v>-1.4602831179632652</v>
      </c>
      <c r="N750" s="304">
        <f t="shared" ca="1" si="336"/>
        <v>-83.668059553499631</v>
      </c>
      <c r="P750" s="310">
        <f t="shared" ca="1" si="337"/>
        <v>23</v>
      </c>
      <c r="Q750" s="304">
        <f t="shared" ca="1" si="338"/>
        <v>0</v>
      </c>
      <c r="R750" s="306">
        <f t="shared" ca="1" si="339"/>
        <v>0</v>
      </c>
      <c r="S750" s="307">
        <f t="shared" ca="1" si="340"/>
        <v>8.1379999999999981</v>
      </c>
      <c r="T750" s="304">
        <f t="shared" ca="1" si="320"/>
        <v>79.83377999999999</v>
      </c>
      <c r="U750" s="311">
        <f t="shared" ca="1" si="321"/>
        <v>0</v>
      </c>
      <c r="V750" s="306">
        <f t="shared" ca="1" si="322"/>
        <v>1.2264558439489794</v>
      </c>
      <c r="W750" s="304">
        <f t="shared" ca="1" si="323"/>
        <v>60.250158263608057</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2.3466334549972938</v>
      </c>
      <c r="AH750" s="304">
        <f t="shared" ca="1" si="347"/>
        <v>-7.4035209345277551</v>
      </c>
    </row>
    <row r="751" spans="1:34" x14ac:dyDescent="0.2">
      <c r="A751" s="347">
        <f t="shared" ca="1" si="325"/>
        <v>1E-4</v>
      </c>
      <c r="B751" s="304">
        <f t="shared" ca="1" si="326"/>
        <v>34.504200000000317</v>
      </c>
      <c r="D751" s="306">
        <f t="shared" ca="1" si="327"/>
        <v>-0.81652656148043923</v>
      </c>
      <c r="E751" s="307">
        <f t="shared" ca="1" si="328"/>
        <v>-2.4516060607882668</v>
      </c>
      <c r="F751" s="304">
        <f t="shared" ca="1" si="329"/>
        <v>2.584006173153778</v>
      </c>
      <c r="G751" s="306">
        <f t="shared" ca="1" si="330"/>
        <v>13.449727798001378</v>
      </c>
      <c r="H751" s="307">
        <f t="shared" ca="1" si="331"/>
        <v>-121.20756530684959</v>
      </c>
      <c r="I751" s="304">
        <f t="shared" ca="1" si="332"/>
        <v>121.95150292413186</v>
      </c>
      <c r="J751" s="306">
        <f t="shared" ca="1" si="333"/>
        <v>859.24597237897774</v>
      </c>
      <c r="K751" s="307">
        <f t="shared" ca="1" si="334"/>
        <v>-11.889503341824611</v>
      </c>
      <c r="L751" s="304">
        <f t="shared" ca="1" si="319"/>
        <v>859.32822677904062</v>
      </c>
      <c r="M751" s="306">
        <f t="shared" ca="1" si="335"/>
        <v>-1.4602840051430976</v>
      </c>
      <c r="N751" s="304">
        <f t="shared" ca="1" si="336"/>
        <v>-83.668110385159693</v>
      </c>
      <c r="P751" s="310">
        <f t="shared" ca="1" si="337"/>
        <v>23</v>
      </c>
      <c r="Q751" s="304">
        <f t="shared" ca="1" si="338"/>
        <v>0</v>
      </c>
      <c r="R751" s="306">
        <f t="shared" ca="1" si="339"/>
        <v>0</v>
      </c>
      <c r="S751" s="307">
        <f t="shared" ca="1" si="340"/>
        <v>8.1379999999999981</v>
      </c>
      <c r="T751" s="304">
        <f t="shared" ca="1" si="320"/>
        <v>79.83377999999999</v>
      </c>
      <c r="U751" s="311">
        <f t="shared" ca="1" si="321"/>
        <v>0</v>
      </c>
      <c r="V751" s="306">
        <f t="shared" ca="1" si="322"/>
        <v>1.2264573305061695</v>
      </c>
      <c r="W751" s="304">
        <f t="shared" ca="1" si="323"/>
        <v>60.250463159666616</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2.3465969488624543</v>
      </c>
      <c r="AH751" s="304">
        <f t="shared" ca="1" si="347"/>
        <v>-7.403558400541665</v>
      </c>
    </row>
    <row r="752" spans="1:34" x14ac:dyDescent="0.2">
      <c r="A752" s="347">
        <f t="shared" ca="1" si="325"/>
        <v>1E-4</v>
      </c>
      <c r="B752" s="304">
        <f t="shared" ca="1" si="326"/>
        <v>34.50430000000032</v>
      </c>
      <c r="D752" s="306">
        <f t="shared" ca="1" si="327"/>
        <v>-0.81652416526284177</v>
      </c>
      <c r="E752" s="307">
        <f t="shared" ca="1" si="328"/>
        <v>-2.4515680992128654</v>
      </c>
      <c r="F752" s="304">
        <f t="shared" ca="1" si="329"/>
        <v>2.5839693994968989</v>
      </c>
      <c r="G752" s="306">
        <f t="shared" ca="1" si="330"/>
        <v>13.449646145584852</v>
      </c>
      <c r="H752" s="307">
        <f t="shared" ca="1" si="331"/>
        <v>-121.20781046365951</v>
      </c>
      <c r="I752" s="304">
        <f t="shared" ca="1" si="332"/>
        <v>121.95173758022415</v>
      </c>
      <c r="J752" s="306">
        <f t="shared" ca="1" si="333"/>
        <v>859.24597237897774</v>
      </c>
      <c r="K752" s="307">
        <f t="shared" ca="1" si="334"/>
        <v>-11.901624110613136</v>
      </c>
      <c r="L752" s="304">
        <f t="shared" ca="1" si="319"/>
        <v>859.32839456517752</v>
      </c>
      <c r="M752" s="306">
        <f t="shared" ca="1" si="335"/>
        <v>-1.4602848923141298</v>
      </c>
      <c r="N752" s="304">
        <f t="shared" ca="1" si="336"/>
        <v>-83.668161216315539</v>
      </c>
      <c r="P752" s="310">
        <f t="shared" ca="1" si="337"/>
        <v>23</v>
      </c>
      <c r="Q752" s="304">
        <f t="shared" ca="1" si="338"/>
        <v>0</v>
      </c>
      <c r="R752" s="306">
        <f t="shared" ca="1" si="339"/>
        <v>0</v>
      </c>
      <c r="S752" s="307">
        <f t="shared" ca="1" si="340"/>
        <v>8.1379999999999981</v>
      </c>
      <c r="T752" s="304">
        <f t="shared" ca="1" si="320"/>
        <v>79.83377999999999</v>
      </c>
      <c r="U752" s="311">
        <f t="shared" ca="1" si="321"/>
        <v>0</v>
      </c>
      <c r="V752" s="306">
        <f t="shared" ca="1" si="322"/>
        <v>1.2264588170681698</v>
      </c>
      <c r="W752" s="304">
        <f t="shared" ca="1" si="323"/>
        <v>60.250768053362513</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2.346560443000743</v>
      </c>
      <c r="AH752" s="304">
        <f t="shared" ca="1" si="347"/>
        <v>-7.4035958662652535</v>
      </c>
    </row>
    <row r="753" spans="1:34" x14ac:dyDescent="0.2">
      <c r="A753" s="347">
        <f t="shared" ca="1" si="325"/>
        <v>1E-4</v>
      </c>
      <c r="B753" s="304">
        <f t="shared" ca="1" si="326"/>
        <v>34.504400000000324</v>
      </c>
      <c r="D753" s="306">
        <f t="shared" ca="1" si="327"/>
        <v>-0.81652176901126727</v>
      </c>
      <c r="E753" s="307">
        <f t="shared" ca="1" si="328"/>
        <v>-2.4515301379316652</v>
      </c>
      <c r="F753" s="304">
        <f t="shared" ca="1" si="329"/>
        <v>2.5839326261449891</v>
      </c>
      <c r="G753" s="306">
        <f t="shared" ca="1" si="330"/>
        <v>13.449564493407951</v>
      </c>
      <c r="H753" s="307">
        <f t="shared" ca="1" si="331"/>
        <v>-121.20805561667331</v>
      </c>
      <c r="I753" s="304">
        <f t="shared" ca="1" si="332"/>
        <v>121.95197223266588</v>
      </c>
      <c r="J753" s="306">
        <f t="shared" ca="1" si="333"/>
        <v>859.24597237897774</v>
      </c>
      <c r="K753" s="307">
        <f t="shared" ca="1" si="334"/>
        <v>-11.913744903917154</v>
      </c>
      <c r="L753" s="304">
        <f t="shared" ca="1" si="319"/>
        <v>859.32856252258398</v>
      </c>
      <c r="M753" s="306">
        <f t="shared" ca="1" si="335"/>
        <v>-1.460285779476362</v>
      </c>
      <c r="N753" s="304">
        <f t="shared" ca="1" si="336"/>
        <v>-83.668212046967184</v>
      </c>
      <c r="P753" s="310">
        <f t="shared" ca="1" si="337"/>
        <v>23</v>
      </c>
      <c r="Q753" s="304">
        <f t="shared" ca="1" si="338"/>
        <v>0</v>
      </c>
      <c r="R753" s="306">
        <f t="shared" ca="1" si="339"/>
        <v>0</v>
      </c>
      <c r="S753" s="307">
        <f t="shared" ca="1" si="340"/>
        <v>8.1379999999999981</v>
      </c>
      <c r="T753" s="304">
        <f t="shared" ca="1" si="320"/>
        <v>79.83377999999999</v>
      </c>
      <c r="U753" s="311">
        <f t="shared" ca="1" si="321"/>
        <v>0</v>
      </c>
      <c r="V753" s="306">
        <f t="shared" ca="1" si="322"/>
        <v>1.226460303634979</v>
      </c>
      <c r="W753" s="304">
        <f t="shared" ca="1" si="323"/>
        <v>60.251072944695721</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2.346523937412158</v>
      </c>
      <c r="AH753" s="304">
        <f t="shared" ca="1" si="347"/>
        <v>-7.4036333316985168</v>
      </c>
    </row>
    <row r="754" spans="1:34" x14ac:dyDescent="0.2">
      <c r="A754" s="347">
        <f t="shared" ca="1" si="325"/>
        <v>1E-4</v>
      </c>
      <c r="B754" s="304">
        <f t="shared" ca="1" si="326"/>
        <v>34.504500000000327</v>
      </c>
      <c r="D754" s="306">
        <f t="shared" ca="1" si="327"/>
        <v>-0.8165193727257154</v>
      </c>
      <c r="E754" s="307">
        <f t="shared" ca="1" si="328"/>
        <v>-2.4514921769446669</v>
      </c>
      <c r="F754" s="304">
        <f t="shared" ca="1" si="329"/>
        <v>2.5838958530980496</v>
      </c>
      <c r="G754" s="306">
        <f t="shared" ca="1" si="330"/>
        <v>13.44948284147068</v>
      </c>
      <c r="H754" s="307">
        <f t="shared" ca="1" si="331"/>
        <v>-121.208300765891</v>
      </c>
      <c r="I754" s="304">
        <f t="shared" ca="1" si="332"/>
        <v>121.95220688145707</v>
      </c>
      <c r="J754" s="306">
        <f t="shared" ca="1" si="333"/>
        <v>859.24597237897774</v>
      </c>
      <c r="K754" s="307">
        <f t="shared" ca="1" si="334"/>
        <v>-11.925865721736281</v>
      </c>
      <c r="L754" s="304">
        <f t="shared" ca="1" si="319"/>
        <v>859.32873065126125</v>
      </c>
      <c r="M754" s="306">
        <f t="shared" ca="1" si="335"/>
        <v>-1.4602866666297944</v>
      </c>
      <c r="N754" s="304">
        <f t="shared" ca="1" si="336"/>
        <v>-83.668262877114657</v>
      </c>
      <c r="P754" s="310">
        <f t="shared" ca="1" si="337"/>
        <v>23</v>
      </c>
      <c r="Q754" s="304">
        <f t="shared" ca="1" si="338"/>
        <v>0</v>
      </c>
      <c r="R754" s="306">
        <f t="shared" ca="1" si="339"/>
        <v>0</v>
      </c>
      <c r="S754" s="307">
        <f t="shared" ca="1" si="340"/>
        <v>8.1379999999999981</v>
      </c>
      <c r="T754" s="304">
        <f t="shared" ca="1" si="320"/>
        <v>79.83377999999999</v>
      </c>
      <c r="U754" s="311">
        <f t="shared" ca="1" si="321"/>
        <v>0</v>
      </c>
      <c r="V754" s="306">
        <f t="shared" ca="1" si="322"/>
        <v>1.2264617902065986</v>
      </c>
      <c r="W754" s="304">
        <f t="shared" ca="1" si="323"/>
        <v>60.251377833666318</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2.3464874320967102</v>
      </c>
      <c r="AH754" s="304">
        <f t="shared" ca="1" si="347"/>
        <v>-7.4036707968414515</v>
      </c>
    </row>
    <row r="755" spans="1:34" x14ac:dyDescent="0.2">
      <c r="A755" s="347">
        <f t="shared" ca="1" si="325"/>
        <v>1E-4</v>
      </c>
      <c r="B755" s="304">
        <f t="shared" ca="1" si="326"/>
        <v>34.50460000000033</v>
      </c>
      <c r="D755" s="306">
        <f t="shared" ca="1" si="327"/>
        <v>-0.81651697640618592</v>
      </c>
      <c r="E755" s="307">
        <f t="shared" ca="1" si="328"/>
        <v>-2.4514542162518618</v>
      </c>
      <c r="F755" s="304">
        <f t="shared" ca="1" si="329"/>
        <v>2.5838590803560728</v>
      </c>
      <c r="G755" s="306">
        <f t="shared" ca="1" si="330"/>
        <v>13.449401189773038</v>
      </c>
      <c r="H755" s="307">
        <f t="shared" ca="1" si="331"/>
        <v>-121.20854591131263</v>
      </c>
      <c r="I755" s="304">
        <f t="shared" ca="1" si="332"/>
        <v>121.95244152659778</v>
      </c>
      <c r="J755" s="306">
        <f t="shared" ca="1" si="333"/>
        <v>859.24597237897774</v>
      </c>
      <c r="K755" s="307">
        <f t="shared" ca="1" si="334"/>
        <v>-11.937986564070142</v>
      </c>
      <c r="L755" s="304">
        <f t="shared" ca="1" si="319"/>
        <v>859.32889895121002</v>
      </c>
      <c r="M755" s="306">
        <f t="shared" ca="1" si="335"/>
        <v>-1.4602875537744269</v>
      </c>
      <c r="N755" s="304">
        <f t="shared" ca="1" si="336"/>
        <v>-83.668313706757914</v>
      </c>
      <c r="P755" s="310">
        <f t="shared" ca="1" si="337"/>
        <v>23</v>
      </c>
      <c r="Q755" s="304">
        <f t="shared" ca="1" si="338"/>
        <v>0</v>
      </c>
      <c r="R755" s="306">
        <f t="shared" ca="1" si="339"/>
        <v>0</v>
      </c>
      <c r="S755" s="307">
        <f t="shared" ca="1" si="340"/>
        <v>8.1379999999999981</v>
      </c>
      <c r="T755" s="304">
        <f t="shared" ca="1" si="320"/>
        <v>79.83377999999999</v>
      </c>
      <c r="U755" s="311">
        <f t="shared" ca="1" si="321"/>
        <v>0</v>
      </c>
      <c r="V755" s="306">
        <f t="shared" ca="1" si="322"/>
        <v>1.2264632767830272</v>
      </c>
      <c r="W755" s="304">
        <f t="shared" ca="1" si="323"/>
        <v>60.251682720274239</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2.3464509270543825</v>
      </c>
      <c r="AH755" s="304">
        <f t="shared" ca="1" si="347"/>
        <v>-7.403708261694069</v>
      </c>
    </row>
    <row r="756" spans="1:34" x14ac:dyDescent="0.2">
      <c r="A756" s="347">
        <f t="shared" ca="1" si="325"/>
        <v>1E-4</v>
      </c>
      <c r="B756" s="304">
        <f t="shared" ca="1" si="326"/>
        <v>34.504700000000334</v>
      </c>
      <c r="D756" s="306">
        <f t="shared" ca="1" si="327"/>
        <v>-0.81651458005268285</v>
      </c>
      <c r="E756" s="307">
        <f t="shared" ca="1" si="328"/>
        <v>-2.4514162558532577</v>
      </c>
      <c r="F756" s="304">
        <f t="shared" ca="1" si="329"/>
        <v>2.5838223079190672</v>
      </c>
      <c r="G756" s="306">
        <f t="shared" ca="1" si="330"/>
        <v>13.449319538315033</v>
      </c>
      <c r="H756" s="307">
        <f t="shared" ca="1" si="331"/>
        <v>-121.20879105293821</v>
      </c>
      <c r="I756" s="304">
        <f t="shared" ca="1" si="332"/>
        <v>121.95267616808799</v>
      </c>
      <c r="J756" s="306">
        <f t="shared" ca="1" si="333"/>
        <v>859.24597237897774</v>
      </c>
      <c r="K756" s="307">
        <f t="shared" ca="1" si="334"/>
        <v>-11.950107430918354</v>
      </c>
      <c r="L756" s="304">
        <f t="shared" ca="1" si="319"/>
        <v>859.32906742243131</v>
      </c>
      <c r="M756" s="306">
        <f t="shared" ca="1" si="335"/>
        <v>-1.4602884409102599</v>
      </c>
      <c r="N756" s="304">
        <f t="shared" ca="1" si="336"/>
        <v>-83.668364535896998</v>
      </c>
      <c r="P756" s="310">
        <f t="shared" ca="1" si="337"/>
        <v>23</v>
      </c>
      <c r="Q756" s="304">
        <f t="shared" ca="1" si="338"/>
        <v>0</v>
      </c>
      <c r="R756" s="306">
        <f t="shared" ca="1" si="339"/>
        <v>0</v>
      </c>
      <c r="S756" s="307">
        <f t="shared" ca="1" si="340"/>
        <v>8.1379999999999981</v>
      </c>
      <c r="T756" s="304">
        <f t="shared" ca="1" si="320"/>
        <v>79.83377999999999</v>
      </c>
      <c r="U756" s="311">
        <f t="shared" ca="1" si="321"/>
        <v>0</v>
      </c>
      <c r="V756" s="306">
        <f t="shared" ca="1" si="322"/>
        <v>1.2264647633642658</v>
      </c>
      <c r="W756" s="304">
        <f t="shared" ca="1" si="323"/>
        <v>60.251987604519485</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2.3464144222851884</v>
      </c>
      <c r="AH756" s="304">
        <f t="shared" ca="1" si="347"/>
        <v>-7.4037457262563597</v>
      </c>
    </row>
    <row r="757" spans="1:34" x14ac:dyDescent="0.2">
      <c r="A757" s="347">
        <f t="shared" ca="1" si="325"/>
        <v>1E-4</v>
      </c>
      <c r="B757" s="304">
        <f t="shared" ca="1" si="326"/>
        <v>34.504800000000337</v>
      </c>
      <c r="D757" s="306">
        <f t="shared" ca="1" si="327"/>
        <v>-0.81651218366520295</v>
      </c>
      <c r="E757" s="307">
        <f t="shared" ca="1" si="328"/>
        <v>-2.4513782957488548</v>
      </c>
      <c r="F757" s="304">
        <f t="shared" ca="1" si="329"/>
        <v>2.5837855357870314</v>
      </c>
      <c r="G757" s="306">
        <f t="shared" ca="1" si="330"/>
        <v>13.449237887096666</v>
      </c>
      <c r="H757" s="307">
        <f t="shared" ca="1" si="331"/>
        <v>-121.20903619076779</v>
      </c>
      <c r="I757" s="304">
        <f t="shared" ca="1" si="332"/>
        <v>121.95291080592777</v>
      </c>
      <c r="J757" s="306">
        <f t="shared" ca="1" si="333"/>
        <v>859.24597237897774</v>
      </c>
      <c r="K757" s="307">
        <f t="shared" ca="1" si="334"/>
        <v>-11.96222832228054</v>
      </c>
      <c r="L757" s="304">
        <f t="shared" ca="1" si="319"/>
        <v>859.32923606492602</v>
      </c>
      <c r="M757" s="306">
        <f t="shared" ca="1" si="335"/>
        <v>-1.4602893280372931</v>
      </c>
      <c r="N757" s="304">
        <f t="shared" ca="1" si="336"/>
        <v>-83.668415364531882</v>
      </c>
      <c r="P757" s="310">
        <f t="shared" ca="1" si="337"/>
        <v>23</v>
      </c>
      <c r="Q757" s="304">
        <f t="shared" ca="1" si="338"/>
        <v>0</v>
      </c>
      <c r="R757" s="306">
        <f t="shared" ca="1" si="339"/>
        <v>0</v>
      </c>
      <c r="S757" s="307">
        <f t="shared" ca="1" si="340"/>
        <v>8.1379999999999981</v>
      </c>
      <c r="T757" s="304">
        <f t="shared" ca="1" si="320"/>
        <v>79.83377999999999</v>
      </c>
      <c r="U757" s="311">
        <f t="shared" ca="1" si="321"/>
        <v>0</v>
      </c>
      <c r="V757" s="306">
        <f t="shared" ca="1" si="322"/>
        <v>1.2264662499503138</v>
      </c>
      <c r="W757" s="304">
        <f t="shared" ca="1" si="323"/>
        <v>60.252292486402091</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2.3463779177891277</v>
      </c>
      <c r="AH757" s="304">
        <f t="shared" ca="1" si="347"/>
        <v>-7.4037831905283236</v>
      </c>
    </row>
    <row r="758" spans="1:34" x14ac:dyDescent="0.2">
      <c r="A758" s="347">
        <f t="shared" ca="1" si="325"/>
        <v>1E-4</v>
      </c>
      <c r="B758" s="304">
        <f t="shared" ca="1" si="326"/>
        <v>34.50490000000034</v>
      </c>
      <c r="D758" s="306">
        <f t="shared" ca="1" si="327"/>
        <v>-0.81650978724375212</v>
      </c>
      <c r="E758" s="307">
        <f t="shared" ca="1" si="328"/>
        <v>-2.4513403359386476</v>
      </c>
      <c r="F758" s="304">
        <f t="shared" ca="1" si="329"/>
        <v>2.5837487639599632</v>
      </c>
      <c r="G758" s="306">
        <f t="shared" ca="1" si="330"/>
        <v>13.449156236117942</v>
      </c>
      <c r="H758" s="307">
        <f t="shared" ca="1" si="331"/>
        <v>-121.20928132480138</v>
      </c>
      <c r="I758" s="304">
        <f t="shared" ca="1" si="332"/>
        <v>121.9531454401171</v>
      </c>
      <c r="J758" s="306">
        <f t="shared" ca="1" si="333"/>
        <v>859.24597237897774</v>
      </c>
      <c r="K758" s="307">
        <f t="shared" ca="1" si="334"/>
        <v>-11.974349238156318</v>
      </c>
      <c r="L758" s="304">
        <f t="shared" ca="1" si="319"/>
        <v>859.32940487869519</v>
      </c>
      <c r="M758" s="306">
        <f t="shared" ca="1" si="335"/>
        <v>-1.460290215155527</v>
      </c>
      <c r="N758" s="304">
        <f t="shared" ca="1" si="336"/>
        <v>-83.668466192662621</v>
      </c>
      <c r="P758" s="310">
        <f t="shared" ca="1" si="337"/>
        <v>23</v>
      </c>
      <c r="Q758" s="304">
        <f t="shared" ca="1" si="338"/>
        <v>0</v>
      </c>
      <c r="R758" s="306">
        <f t="shared" ca="1" si="339"/>
        <v>0</v>
      </c>
      <c r="S758" s="307">
        <f t="shared" ca="1" si="340"/>
        <v>8.1379999999999981</v>
      </c>
      <c r="T758" s="304">
        <f t="shared" ca="1" si="320"/>
        <v>79.83377999999999</v>
      </c>
      <c r="U758" s="311">
        <f t="shared" ca="1" si="321"/>
        <v>0</v>
      </c>
      <c r="V758" s="306">
        <f t="shared" ca="1" si="322"/>
        <v>1.2264677365411709</v>
      </c>
      <c r="W758" s="304">
        <f t="shared" ca="1" si="323"/>
        <v>60.252597365921957</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2.3463414135661953</v>
      </c>
      <c r="AH758" s="304">
        <f t="shared" ca="1" si="347"/>
        <v>-7.4038206545099658</v>
      </c>
    </row>
    <row r="759" spans="1:34" x14ac:dyDescent="0.2">
      <c r="A759" s="347">
        <f t="shared" ca="1" si="325"/>
        <v>1E-4</v>
      </c>
      <c r="B759" s="304">
        <f t="shared" ca="1" si="326"/>
        <v>34.505000000000344</v>
      </c>
      <c r="D759" s="306">
        <f t="shared" ca="1" si="327"/>
        <v>-0.81650739078832546</v>
      </c>
      <c r="E759" s="307">
        <f t="shared" ca="1" si="328"/>
        <v>-2.4513023764226496</v>
      </c>
      <c r="F759" s="304">
        <f t="shared" ca="1" si="329"/>
        <v>2.5837119924378738</v>
      </c>
      <c r="G759" s="306">
        <f t="shared" ca="1" si="330"/>
        <v>13.449074585378863</v>
      </c>
      <c r="H759" s="307">
        <f t="shared" ca="1" si="331"/>
        <v>-121.20952645503903</v>
      </c>
      <c r="I759" s="304">
        <f t="shared" ca="1" si="332"/>
        <v>121.95338007065605</v>
      </c>
      <c r="J759" s="306">
        <f t="shared" ca="1" si="333"/>
        <v>859.24597237897774</v>
      </c>
      <c r="K759" s="307">
        <f t="shared" ca="1" si="334"/>
        <v>-11.986470178545311</v>
      </c>
      <c r="L759" s="304">
        <f t="shared" ca="1" si="319"/>
        <v>859.32957386373948</v>
      </c>
      <c r="M759" s="306">
        <f t="shared" ca="1" si="335"/>
        <v>-1.4602911022649618</v>
      </c>
      <c r="N759" s="304">
        <f t="shared" ca="1" si="336"/>
        <v>-83.668517020289201</v>
      </c>
      <c r="P759" s="310">
        <f t="shared" ca="1" si="337"/>
        <v>23</v>
      </c>
      <c r="Q759" s="304">
        <f t="shared" ca="1" si="338"/>
        <v>0</v>
      </c>
      <c r="R759" s="306">
        <f t="shared" ca="1" si="339"/>
        <v>0</v>
      </c>
      <c r="S759" s="307">
        <f t="shared" ca="1" si="340"/>
        <v>8.1379999999999981</v>
      </c>
      <c r="T759" s="304">
        <f t="shared" ca="1" si="320"/>
        <v>79.83377999999999</v>
      </c>
      <c r="U759" s="311">
        <f t="shared" ca="1" si="321"/>
        <v>0</v>
      </c>
      <c r="V759" s="306">
        <f t="shared" ca="1" si="322"/>
        <v>1.2264692231368377</v>
      </c>
      <c r="W759" s="304">
        <f t="shared" ca="1" si="323"/>
        <v>60.252902243079184</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2.3463049096164035</v>
      </c>
      <c r="AH759" s="304">
        <f t="shared" ca="1" si="347"/>
        <v>-7.4038581182012742</v>
      </c>
    </row>
    <row r="760" spans="1:34" x14ac:dyDescent="0.2">
      <c r="A760" s="347">
        <f t="shared" ca="1" si="325"/>
        <v>1E-4</v>
      </c>
      <c r="B760" s="304">
        <f t="shared" ca="1" si="326"/>
        <v>34.505100000000347</v>
      </c>
      <c r="D760" s="306">
        <f t="shared" ca="1" si="327"/>
        <v>-0.81650499429892631</v>
      </c>
      <c r="E760" s="307">
        <f t="shared" ca="1" si="328"/>
        <v>-2.4512644172008473</v>
      </c>
      <c r="F760" s="304">
        <f t="shared" ca="1" si="329"/>
        <v>2.5836752212207514</v>
      </c>
      <c r="G760" s="306">
        <f t="shared" ca="1" si="330"/>
        <v>13.448992934879433</v>
      </c>
      <c r="H760" s="307">
        <f t="shared" ca="1" si="331"/>
        <v>-121.20977158148075</v>
      </c>
      <c r="I760" s="304">
        <f t="shared" ca="1" si="332"/>
        <v>121.95361469754464</v>
      </c>
      <c r="J760" s="306">
        <f t="shared" ca="1" si="333"/>
        <v>859.24597237897774</v>
      </c>
      <c r="K760" s="307">
        <f t="shared" ca="1" si="334"/>
        <v>-11.998591143447136</v>
      </c>
      <c r="L760" s="304">
        <f t="shared" ca="1" si="319"/>
        <v>859.32974302006016</v>
      </c>
      <c r="M760" s="306">
        <f t="shared" ca="1" si="335"/>
        <v>-1.4602919893655975</v>
      </c>
      <c r="N760" s="304">
        <f t="shared" ca="1" si="336"/>
        <v>-83.668567847411623</v>
      </c>
      <c r="P760" s="310">
        <f t="shared" ca="1" si="337"/>
        <v>23</v>
      </c>
      <c r="Q760" s="304">
        <f t="shared" ca="1" si="338"/>
        <v>0</v>
      </c>
      <c r="R760" s="306">
        <f t="shared" ca="1" si="339"/>
        <v>0</v>
      </c>
      <c r="S760" s="307">
        <f t="shared" ca="1" si="340"/>
        <v>8.1379999999999981</v>
      </c>
      <c r="T760" s="304">
        <f t="shared" ca="1" si="320"/>
        <v>79.83377999999999</v>
      </c>
      <c r="U760" s="311">
        <f t="shared" ca="1" si="321"/>
        <v>0</v>
      </c>
      <c r="V760" s="306">
        <f t="shared" ca="1" si="322"/>
        <v>1.226470709737314</v>
      </c>
      <c r="W760" s="304">
        <f t="shared" ca="1" si="323"/>
        <v>60.253207117873728</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2.3462684059397381</v>
      </c>
      <c r="AH760" s="304">
        <f t="shared" ca="1" si="347"/>
        <v>-7.4038955816022609</v>
      </c>
    </row>
    <row r="761" spans="1:34" x14ac:dyDescent="0.2">
      <c r="A761" s="347">
        <f t="shared" ca="1" si="325"/>
        <v>1E-4</v>
      </c>
      <c r="B761" s="304">
        <f t="shared" ca="1" si="326"/>
        <v>34.50520000000035</v>
      </c>
      <c r="D761" s="306">
        <f t="shared" ca="1" si="327"/>
        <v>-0.81650259777555567</v>
      </c>
      <c r="E761" s="307">
        <f t="shared" ca="1" si="328"/>
        <v>-2.4512264582732479</v>
      </c>
      <c r="F761" s="304">
        <f t="shared" ca="1" si="329"/>
        <v>2.5836384503086034</v>
      </c>
      <c r="G761" s="306">
        <f t="shared" ca="1" si="330"/>
        <v>13.448911284619655</v>
      </c>
      <c r="H761" s="307">
        <f t="shared" ca="1" si="331"/>
        <v>-121.21001670412657</v>
      </c>
      <c r="I761" s="304">
        <f t="shared" ca="1" si="332"/>
        <v>121.95384932078287</v>
      </c>
      <c r="J761" s="306">
        <f t="shared" ca="1" si="333"/>
        <v>859.24597237897774</v>
      </c>
      <c r="K761" s="307">
        <f t="shared" ca="1" si="334"/>
        <v>-12.010712132861416</v>
      </c>
      <c r="L761" s="304">
        <f t="shared" ca="1" si="319"/>
        <v>859.32991234765791</v>
      </c>
      <c r="M761" s="306">
        <f t="shared" ca="1" si="335"/>
        <v>-1.4602928764574339</v>
      </c>
      <c r="N761" s="304">
        <f t="shared" ca="1" si="336"/>
        <v>-83.668618674029901</v>
      </c>
      <c r="P761" s="310">
        <f t="shared" ca="1" si="337"/>
        <v>23</v>
      </c>
      <c r="Q761" s="304">
        <f t="shared" ca="1" si="338"/>
        <v>0</v>
      </c>
      <c r="R761" s="306">
        <f t="shared" ca="1" si="339"/>
        <v>0</v>
      </c>
      <c r="S761" s="307">
        <f t="shared" ca="1" si="340"/>
        <v>8.1379999999999981</v>
      </c>
      <c r="T761" s="304">
        <f t="shared" ca="1" si="320"/>
        <v>79.83377999999999</v>
      </c>
      <c r="U761" s="311">
        <f t="shared" ca="1" si="321"/>
        <v>0</v>
      </c>
      <c r="V761" s="306">
        <f t="shared" ca="1" si="322"/>
        <v>1.2264721963425995</v>
      </c>
      <c r="W761" s="304">
        <f t="shared" ca="1" si="323"/>
        <v>60.253511990305554</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2.3462319025362124</v>
      </c>
      <c r="AH761" s="304">
        <f t="shared" ca="1" si="347"/>
        <v>-7.4039330447129199</v>
      </c>
    </row>
    <row r="762" spans="1:34" x14ac:dyDescent="0.2">
      <c r="A762" s="347">
        <f t="shared" ca="1" si="325"/>
        <v>1E-4</v>
      </c>
      <c r="B762" s="304">
        <f t="shared" ca="1" si="326"/>
        <v>34.505300000000354</v>
      </c>
      <c r="D762" s="306">
        <f t="shared" ca="1" si="327"/>
        <v>-0.81650020121821498</v>
      </c>
      <c r="E762" s="307">
        <f t="shared" ca="1" si="328"/>
        <v>-2.4511884996398541</v>
      </c>
      <c r="F762" s="304">
        <f t="shared" ca="1" si="329"/>
        <v>2.5836016797014327</v>
      </c>
      <c r="G762" s="306">
        <f t="shared" ca="1" si="330"/>
        <v>13.448829634599534</v>
      </c>
      <c r="H762" s="307">
        <f t="shared" ca="1" si="331"/>
        <v>-121.21026182297653</v>
      </c>
      <c r="I762" s="304">
        <f t="shared" ca="1" si="332"/>
        <v>121.95408394037079</v>
      </c>
      <c r="J762" s="306">
        <f t="shared" ca="1" si="333"/>
        <v>859.24597237897774</v>
      </c>
      <c r="K762" s="307">
        <f t="shared" ca="1" si="334"/>
        <v>-12.022833146787772</v>
      </c>
      <c r="L762" s="304">
        <f t="shared" ca="1" si="319"/>
        <v>859.33008184653374</v>
      </c>
      <c r="M762" s="306">
        <f t="shared" ca="1" si="335"/>
        <v>-1.4602937635404716</v>
      </c>
      <c r="N762" s="304">
        <f t="shared" ca="1" si="336"/>
        <v>-83.668669500144034</v>
      </c>
      <c r="P762" s="310">
        <f t="shared" ca="1" si="337"/>
        <v>23</v>
      </c>
      <c r="Q762" s="304">
        <f t="shared" ca="1" si="338"/>
        <v>0</v>
      </c>
      <c r="R762" s="306">
        <f t="shared" ca="1" si="339"/>
        <v>0</v>
      </c>
      <c r="S762" s="307">
        <f t="shared" ca="1" si="340"/>
        <v>8.1379999999999981</v>
      </c>
      <c r="T762" s="304">
        <f t="shared" ca="1" si="320"/>
        <v>79.83377999999999</v>
      </c>
      <c r="U762" s="311">
        <f t="shared" ca="1" si="321"/>
        <v>0</v>
      </c>
      <c r="V762" s="306">
        <f t="shared" ca="1" si="322"/>
        <v>1.2264736829526941</v>
      </c>
      <c r="W762" s="304">
        <f t="shared" ca="1" si="323"/>
        <v>60.253816860374705</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2.3461953994058229</v>
      </c>
      <c r="AH762" s="304">
        <f t="shared" ca="1" si="347"/>
        <v>-7.4039705075332476</v>
      </c>
    </row>
    <row r="763" spans="1:34" x14ac:dyDescent="0.2">
      <c r="A763" s="347">
        <f t="shared" ca="1" si="325"/>
        <v>1E-4</v>
      </c>
      <c r="B763" s="304">
        <f t="shared" ca="1" si="326"/>
        <v>34.505400000000357</v>
      </c>
      <c r="D763" s="306">
        <f t="shared" ca="1" si="327"/>
        <v>-0.81649780462690347</v>
      </c>
      <c r="E763" s="307">
        <f t="shared" ca="1" si="328"/>
        <v>-2.4511505413006613</v>
      </c>
      <c r="F763" s="304">
        <f t="shared" ca="1" si="329"/>
        <v>2.583564909399235</v>
      </c>
      <c r="G763" s="306">
        <f t="shared" ca="1" si="330"/>
        <v>13.448747984819072</v>
      </c>
      <c r="H763" s="307">
        <f t="shared" ca="1" si="331"/>
        <v>-121.21050693803066</v>
      </c>
      <c r="I763" s="304">
        <f t="shared" ca="1" si="332"/>
        <v>121.95431855630842</v>
      </c>
      <c r="J763" s="306">
        <f t="shared" ca="1" si="333"/>
        <v>859.24597237897774</v>
      </c>
      <c r="K763" s="307">
        <f t="shared" ca="1" si="334"/>
        <v>-12.034954185225821</v>
      </c>
      <c r="L763" s="304">
        <f t="shared" ca="1" si="319"/>
        <v>859.33025151668869</v>
      </c>
      <c r="M763" s="306">
        <f t="shared" ca="1" si="335"/>
        <v>-1.4602946506147108</v>
      </c>
      <c r="N763" s="304">
        <f t="shared" ca="1" si="336"/>
        <v>-83.668720325754052</v>
      </c>
      <c r="P763" s="310">
        <f t="shared" ca="1" si="337"/>
        <v>23</v>
      </c>
      <c r="Q763" s="304">
        <f t="shared" ca="1" si="338"/>
        <v>0</v>
      </c>
      <c r="R763" s="306">
        <f t="shared" ca="1" si="339"/>
        <v>0</v>
      </c>
      <c r="S763" s="307">
        <f t="shared" ca="1" si="340"/>
        <v>8.1379999999999981</v>
      </c>
      <c r="T763" s="304">
        <f t="shared" ca="1" si="320"/>
        <v>79.83377999999999</v>
      </c>
      <c r="U763" s="311">
        <f t="shared" ca="1" si="321"/>
        <v>0</v>
      </c>
      <c r="V763" s="306">
        <f t="shared" ca="1" si="322"/>
        <v>1.2264751695675984</v>
      </c>
      <c r="W763" s="304">
        <f t="shared" ca="1" si="323"/>
        <v>60.254121728081159</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2.3461588965485713</v>
      </c>
      <c r="AH763" s="304">
        <f t="shared" ca="1" si="347"/>
        <v>-7.4040079700632493</v>
      </c>
    </row>
    <row r="764" spans="1:34" x14ac:dyDescent="0.2">
      <c r="A764" s="347">
        <f t="shared" ca="1" si="325"/>
        <v>1E-4</v>
      </c>
      <c r="B764" s="304">
        <f t="shared" ca="1" si="326"/>
        <v>34.50550000000036</v>
      </c>
      <c r="D764" s="306">
        <f t="shared" ca="1" si="327"/>
        <v>-0.81649540800162057</v>
      </c>
      <c r="E764" s="307">
        <f t="shared" ca="1" si="328"/>
        <v>-2.4511125832556715</v>
      </c>
      <c r="F764" s="304">
        <f t="shared" ca="1" si="329"/>
        <v>2.5835281394020124</v>
      </c>
      <c r="G764" s="306">
        <f t="shared" ca="1" si="330"/>
        <v>13.448666335278272</v>
      </c>
      <c r="H764" s="307">
        <f t="shared" ca="1" si="331"/>
        <v>-121.21075204928898</v>
      </c>
      <c r="I764" s="304">
        <f t="shared" ca="1" si="332"/>
        <v>121.95455316859581</v>
      </c>
      <c r="J764" s="306">
        <f t="shared" ca="1" si="333"/>
        <v>859.24597237897774</v>
      </c>
      <c r="K764" s="307">
        <f t="shared" ca="1" si="334"/>
        <v>-12.047075248175187</v>
      </c>
      <c r="L764" s="304">
        <f t="shared" ca="1" si="319"/>
        <v>859.33042135812354</v>
      </c>
      <c r="M764" s="306">
        <f t="shared" ca="1" si="335"/>
        <v>-1.460295537680151</v>
      </c>
      <c r="N764" s="304">
        <f t="shared" ca="1" si="336"/>
        <v>-83.668771150859925</v>
      </c>
      <c r="P764" s="310">
        <f t="shared" ca="1" si="337"/>
        <v>23</v>
      </c>
      <c r="Q764" s="304">
        <f t="shared" ca="1" si="338"/>
        <v>0</v>
      </c>
      <c r="R764" s="306">
        <f t="shared" ca="1" si="339"/>
        <v>0</v>
      </c>
      <c r="S764" s="307">
        <f t="shared" ca="1" si="340"/>
        <v>8.1379999999999981</v>
      </c>
      <c r="T764" s="304">
        <f t="shared" ca="1" si="320"/>
        <v>79.83377999999999</v>
      </c>
      <c r="U764" s="311">
        <f t="shared" ca="1" si="321"/>
        <v>0</v>
      </c>
      <c r="V764" s="306">
        <f t="shared" ca="1" si="322"/>
        <v>1.2264766561873117</v>
      </c>
      <c r="W764" s="304">
        <f t="shared" ca="1" si="323"/>
        <v>60.254426593424924</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2.3461223939644542</v>
      </c>
      <c r="AH764" s="304">
        <f t="shared" ca="1" si="347"/>
        <v>-7.4040454323029214</v>
      </c>
    </row>
    <row r="765" spans="1:34" x14ac:dyDescent="0.2">
      <c r="A765" s="347">
        <f t="shared" ca="1" si="325"/>
        <v>1E-4</v>
      </c>
      <c r="B765" s="304">
        <f t="shared" ca="1" si="326"/>
        <v>34.505600000000364</v>
      </c>
      <c r="D765" s="306">
        <f t="shared" ca="1" si="327"/>
        <v>-0.81649301134237173</v>
      </c>
      <c r="E765" s="307">
        <f t="shared" ca="1" si="328"/>
        <v>-2.4510746255048854</v>
      </c>
      <c r="F765" s="304">
        <f t="shared" ca="1" si="329"/>
        <v>2.5834913697097672</v>
      </c>
      <c r="G765" s="306">
        <f t="shared" ca="1" si="330"/>
        <v>13.448584685977139</v>
      </c>
      <c r="H765" s="307">
        <f t="shared" ca="1" si="331"/>
        <v>-121.21099715675153</v>
      </c>
      <c r="I765" s="304">
        <f t="shared" ca="1" si="332"/>
        <v>121.95478777723295</v>
      </c>
      <c r="J765" s="306">
        <f t="shared" ca="1" si="333"/>
        <v>859.24597237897774</v>
      </c>
      <c r="K765" s="307">
        <f t="shared" ca="1" si="334"/>
        <v>-12.059196335635489</v>
      </c>
      <c r="L765" s="304">
        <f t="shared" ca="1" si="319"/>
        <v>859.33059137083922</v>
      </c>
      <c r="M765" s="306">
        <f t="shared" ca="1" si="335"/>
        <v>-1.4602964247367929</v>
      </c>
      <c r="N765" s="304">
        <f t="shared" ca="1" si="336"/>
        <v>-83.668821975461697</v>
      </c>
      <c r="P765" s="310">
        <f t="shared" ca="1" si="337"/>
        <v>23</v>
      </c>
      <c r="Q765" s="304">
        <f t="shared" ca="1" si="338"/>
        <v>0</v>
      </c>
      <c r="R765" s="306">
        <f t="shared" ca="1" si="339"/>
        <v>0</v>
      </c>
      <c r="S765" s="307">
        <f t="shared" ca="1" si="340"/>
        <v>8.1379999999999981</v>
      </c>
      <c r="T765" s="304">
        <f t="shared" ca="1" si="320"/>
        <v>79.83377999999999</v>
      </c>
      <c r="U765" s="311">
        <f t="shared" ca="1" si="321"/>
        <v>0</v>
      </c>
      <c r="V765" s="306">
        <f t="shared" ca="1" si="322"/>
        <v>1.2264781428118343</v>
      </c>
      <c r="W765" s="304">
        <f t="shared" ca="1" si="323"/>
        <v>60.254731456405956</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2.3460858916534768</v>
      </c>
      <c r="AH765" s="304">
        <f t="shared" ca="1" si="347"/>
        <v>-7.4040828942522658</v>
      </c>
    </row>
    <row r="766" spans="1:34" x14ac:dyDescent="0.2">
      <c r="A766" s="347">
        <f t="shared" ca="1" si="325"/>
        <v>1E-4</v>
      </c>
      <c r="B766" s="304">
        <f t="shared" ca="1" si="326"/>
        <v>34.505700000000367</v>
      </c>
      <c r="D766" s="306">
        <f t="shared" ca="1" si="327"/>
        <v>-0.81649061464915318</v>
      </c>
      <c r="E766" s="307">
        <f t="shared" ca="1" si="328"/>
        <v>-2.4510366680483058</v>
      </c>
      <c r="F766" s="304">
        <f t="shared" ca="1" si="329"/>
        <v>2.5834546003225007</v>
      </c>
      <c r="G766" s="306">
        <f t="shared" ca="1" si="330"/>
        <v>13.448503036915673</v>
      </c>
      <c r="H766" s="307">
        <f t="shared" ca="1" si="331"/>
        <v>-121.21124226041833</v>
      </c>
      <c r="I766" s="304">
        <f t="shared" ca="1" si="332"/>
        <v>121.95502238221989</v>
      </c>
      <c r="J766" s="306">
        <f t="shared" ca="1" si="333"/>
        <v>859.24597237897774</v>
      </c>
      <c r="K766" s="307">
        <f t="shared" ca="1" si="334"/>
        <v>-12.071317447606347</v>
      </c>
      <c r="L766" s="304">
        <f t="shared" ca="1" si="319"/>
        <v>859.33076155483684</v>
      </c>
      <c r="M766" s="306">
        <f t="shared" ca="1" si="335"/>
        <v>-1.4602973117846363</v>
      </c>
      <c r="N766" s="304">
        <f t="shared" ca="1" si="336"/>
        <v>-83.668872799559352</v>
      </c>
      <c r="P766" s="310">
        <f t="shared" ca="1" si="337"/>
        <v>23</v>
      </c>
      <c r="Q766" s="304">
        <f t="shared" ca="1" si="338"/>
        <v>0</v>
      </c>
      <c r="R766" s="306">
        <f t="shared" ca="1" si="339"/>
        <v>0</v>
      </c>
      <c r="S766" s="307">
        <f t="shared" ca="1" si="340"/>
        <v>8.1379999999999981</v>
      </c>
      <c r="T766" s="304">
        <f t="shared" ca="1" si="320"/>
        <v>79.83377999999999</v>
      </c>
      <c r="U766" s="311">
        <f t="shared" ca="1" si="321"/>
        <v>0</v>
      </c>
      <c r="V766" s="306">
        <f t="shared" ca="1" si="322"/>
        <v>1.2264796294411666</v>
      </c>
      <c r="W766" s="304">
        <f t="shared" ca="1" si="323"/>
        <v>60.25503631702432</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2.3460493896156409</v>
      </c>
      <c r="AH766" s="304">
        <f t="shared" ca="1" si="347"/>
        <v>-7.4041203559112772</v>
      </c>
    </row>
    <row r="767" spans="1:34" x14ac:dyDescent="0.2">
      <c r="A767" s="347">
        <f t="shared" ca="1" si="325"/>
        <v>1E-4</v>
      </c>
      <c r="B767" s="304">
        <f t="shared" ca="1" si="326"/>
        <v>34.50580000000037</v>
      </c>
      <c r="D767" s="306">
        <f t="shared" ca="1" si="327"/>
        <v>-0.81648821792196902</v>
      </c>
      <c r="E767" s="307">
        <f t="shared" ca="1" si="328"/>
        <v>-2.4509987108859281</v>
      </c>
      <c r="F767" s="304">
        <f t="shared" ca="1" si="329"/>
        <v>2.5834178312402107</v>
      </c>
      <c r="G767" s="306">
        <f t="shared" ca="1" si="330"/>
        <v>13.44842138809388</v>
      </c>
      <c r="H767" s="307">
        <f t="shared" ca="1" si="331"/>
        <v>-121.21148736028942</v>
      </c>
      <c r="I767" s="304">
        <f t="shared" ca="1" si="332"/>
        <v>121.95525698355665</v>
      </c>
      <c r="J767" s="306">
        <f t="shared" ca="1" si="333"/>
        <v>859.24597237897774</v>
      </c>
      <c r="K767" s="307">
        <f t="shared" ca="1" si="334"/>
        <v>-12.083438584087382</v>
      </c>
      <c r="L767" s="304">
        <f t="shared" ca="1" si="319"/>
        <v>859.3309319101171</v>
      </c>
      <c r="M767" s="306">
        <f t="shared" ca="1" si="335"/>
        <v>-1.4602981988236816</v>
      </c>
      <c r="N767" s="304">
        <f t="shared" ca="1" si="336"/>
        <v>-83.668923623152921</v>
      </c>
      <c r="P767" s="310">
        <f t="shared" ca="1" si="337"/>
        <v>23</v>
      </c>
      <c r="Q767" s="304">
        <f t="shared" ca="1" si="338"/>
        <v>0</v>
      </c>
      <c r="R767" s="306">
        <f t="shared" ca="1" si="339"/>
        <v>0</v>
      </c>
      <c r="S767" s="307">
        <f t="shared" ca="1" si="340"/>
        <v>8.1379999999999981</v>
      </c>
      <c r="T767" s="304">
        <f t="shared" ca="1" si="320"/>
        <v>79.83377999999999</v>
      </c>
      <c r="U767" s="311">
        <f t="shared" ca="1" si="321"/>
        <v>0</v>
      </c>
      <c r="V767" s="306">
        <f t="shared" ca="1" si="322"/>
        <v>1.2264811160753071</v>
      </c>
      <c r="W767" s="304">
        <f t="shared" ca="1" si="323"/>
        <v>60.255341175279916</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2.3460128878509412</v>
      </c>
      <c r="AH767" s="304">
        <f t="shared" ca="1" si="347"/>
        <v>-7.4041578172799625</v>
      </c>
    </row>
    <row r="768" spans="1:34" x14ac:dyDescent="0.2">
      <c r="A768" s="347">
        <f t="shared" ca="1" si="325"/>
        <v>1E-4</v>
      </c>
      <c r="B768" s="304">
        <f t="shared" ca="1" si="326"/>
        <v>34.505900000000373</v>
      </c>
      <c r="D768" s="306">
        <f t="shared" ca="1" si="327"/>
        <v>-0.81648582116081669</v>
      </c>
      <c r="E768" s="307">
        <f t="shared" ca="1" si="328"/>
        <v>-2.4509607540177614</v>
      </c>
      <c r="F768" s="304">
        <f t="shared" ca="1" si="329"/>
        <v>2.5833810624629048</v>
      </c>
      <c r="G768" s="306">
        <f t="shared" ca="1" si="330"/>
        <v>13.448339739511765</v>
      </c>
      <c r="H768" s="307">
        <f t="shared" ca="1" si="331"/>
        <v>-121.21173245636483</v>
      </c>
      <c r="I768" s="304">
        <f t="shared" ca="1" si="332"/>
        <v>121.95549158124327</v>
      </c>
      <c r="J768" s="306">
        <f t="shared" ca="1" si="333"/>
        <v>859.24597237897774</v>
      </c>
      <c r="K768" s="307">
        <f t="shared" ca="1" si="334"/>
        <v>-12.095559745078216</v>
      </c>
      <c r="L768" s="304">
        <f t="shared" ca="1" si="319"/>
        <v>859.33110243668114</v>
      </c>
      <c r="M768" s="306">
        <f t="shared" ca="1" si="335"/>
        <v>-1.4602990858539289</v>
      </c>
      <c r="N768" s="304">
        <f t="shared" ca="1" si="336"/>
        <v>-83.668974446242387</v>
      </c>
      <c r="P768" s="310">
        <f t="shared" ca="1" si="337"/>
        <v>23</v>
      </c>
      <c r="Q768" s="304">
        <f t="shared" ca="1" si="338"/>
        <v>0</v>
      </c>
      <c r="R768" s="306">
        <f t="shared" ca="1" si="339"/>
        <v>0</v>
      </c>
      <c r="S768" s="307">
        <f t="shared" ca="1" si="340"/>
        <v>8.1379999999999981</v>
      </c>
      <c r="T768" s="304">
        <f t="shared" ca="1" si="320"/>
        <v>79.83377999999999</v>
      </c>
      <c r="U768" s="311">
        <f t="shared" ca="1" si="321"/>
        <v>0</v>
      </c>
      <c r="V768" s="306">
        <f t="shared" ca="1" si="322"/>
        <v>1.2264826027142575</v>
      </c>
      <c r="W768" s="304">
        <f t="shared" ca="1" si="323"/>
        <v>60.255646031172837</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2.3459763863593892</v>
      </c>
      <c r="AH768" s="304">
        <f t="shared" ca="1" si="347"/>
        <v>-7.4041952783583103</v>
      </c>
    </row>
    <row r="769" spans="1:34" x14ac:dyDescent="0.2">
      <c r="A769" s="347">
        <f t="shared" ca="1" si="325"/>
        <v>1E-4</v>
      </c>
      <c r="B769" s="304">
        <f t="shared" ca="1" si="326"/>
        <v>34.506000000000377</v>
      </c>
      <c r="D769" s="306">
        <f t="shared" ca="1" si="327"/>
        <v>-0.81648342436569898</v>
      </c>
      <c r="E769" s="307">
        <f t="shared" ca="1" si="328"/>
        <v>-2.4509227974437957</v>
      </c>
      <c r="F769" s="304">
        <f t="shared" ca="1" si="329"/>
        <v>2.5833442939905744</v>
      </c>
      <c r="G769" s="306">
        <f t="shared" ca="1" si="330"/>
        <v>13.448258091169327</v>
      </c>
      <c r="H769" s="307">
        <f t="shared" ca="1" si="331"/>
        <v>-121.21197754864457</v>
      </c>
      <c r="I769" s="304">
        <f t="shared" ca="1" si="332"/>
        <v>121.95572617527976</v>
      </c>
      <c r="J769" s="306">
        <f t="shared" ca="1" si="333"/>
        <v>859.24597237897774</v>
      </c>
      <c r="K769" s="307">
        <f t="shared" ca="1" si="334"/>
        <v>-12.107680930578466</v>
      </c>
      <c r="L769" s="304">
        <f t="shared" ca="1" si="319"/>
        <v>859.33127313452962</v>
      </c>
      <c r="M769" s="306">
        <f t="shared" ca="1" si="335"/>
        <v>-1.460299972875378</v>
      </c>
      <c r="N769" s="304">
        <f t="shared" ca="1" si="336"/>
        <v>-83.669025268827752</v>
      </c>
      <c r="P769" s="310">
        <f t="shared" ca="1" si="337"/>
        <v>23</v>
      </c>
      <c r="Q769" s="304">
        <f t="shared" ca="1" si="338"/>
        <v>0</v>
      </c>
      <c r="R769" s="306">
        <f t="shared" ca="1" si="339"/>
        <v>0</v>
      </c>
      <c r="S769" s="307">
        <f t="shared" ca="1" si="340"/>
        <v>8.1379999999999981</v>
      </c>
      <c r="T769" s="304">
        <f t="shared" ca="1" si="320"/>
        <v>79.83377999999999</v>
      </c>
      <c r="U769" s="311">
        <f t="shared" ca="1" si="321"/>
        <v>0</v>
      </c>
      <c r="V769" s="306">
        <f t="shared" ca="1" si="322"/>
        <v>1.2264840893580169</v>
      </c>
      <c r="W769" s="304">
        <f t="shared" ca="1" si="323"/>
        <v>60.25595088470304</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2.3459398851409734</v>
      </c>
      <c r="AH769" s="304">
        <f t="shared" ca="1" si="347"/>
        <v>-7.4042327391463321</v>
      </c>
    </row>
    <row r="770" spans="1:34" x14ac:dyDescent="0.2">
      <c r="A770" s="347">
        <f t="shared" ca="1" si="325"/>
        <v>1E-4</v>
      </c>
      <c r="B770" s="304">
        <f t="shared" ca="1" si="326"/>
        <v>34.50610000000038</v>
      </c>
      <c r="D770" s="306">
        <f t="shared" ca="1" si="327"/>
        <v>-0.816481027536617</v>
      </c>
      <c r="E770" s="307">
        <f t="shared" ca="1" si="328"/>
        <v>-2.4508848411640365</v>
      </c>
      <c r="F770" s="304">
        <f t="shared" ca="1" si="329"/>
        <v>2.5833075258232254</v>
      </c>
      <c r="G770" s="306">
        <f t="shared" ca="1" si="330"/>
        <v>13.448176443066574</v>
      </c>
      <c r="H770" s="307">
        <f t="shared" ca="1" si="331"/>
        <v>-121.21222263712869</v>
      </c>
      <c r="I770" s="304">
        <f t="shared" ca="1" si="332"/>
        <v>121.95596076566616</v>
      </c>
      <c r="J770" s="306">
        <f t="shared" ca="1" si="333"/>
        <v>859.24597237897774</v>
      </c>
      <c r="K770" s="307">
        <f t="shared" ca="1" si="334"/>
        <v>-12.119802140587755</v>
      </c>
      <c r="L770" s="304">
        <f t="shared" ca="1" si="319"/>
        <v>859.33144400366382</v>
      </c>
      <c r="M770" s="306">
        <f t="shared" ca="1" si="335"/>
        <v>-1.4603008598880296</v>
      </c>
      <c r="N770" s="304">
        <f t="shared" ca="1" si="336"/>
        <v>-83.669076090909073</v>
      </c>
      <c r="P770" s="310">
        <f t="shared" ca="1" si="337"/>
        <v>23</v>
      </c>
      <c r="Q770" s="304">
        <f t="shared" ca="1" si="338"/>
        <v>0</v>
      </c>
      <c r="R770" s="306">
        <f t="shared" ca="1" si="339"/>
        <v>0</v>
      </c>
      <c r="S770" s="307">
        <f t="shared" ca="1" si="340"/>
        <v>8.1379999999999981</v>
      </c>
      <c r="T770" s="304">
        <f t="shared" ca="1" si="320"/>
        <v>79.83377999999999</v>
      </c>
      <c r="U770" s="311">
        <f t="shared" ca="1" si="321"/>
        <v>0</v>
      </c>
      <c r="V770" s="306">
        <f t="shared" ca="1" si="322"/>
        <v>1.2264855760065851</v>
      </c>
      <c r="W770" s="304">
        <f t="shared" ca="1" si="323"/>
        <v>60.256255735870482</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2.3459033841956991</v>
      </c>
      <c r="AH770" s="304">
        <f t="shared" ca="1" si="347"/>
        <v>-7.4042701996440226</v>
      </c>
    </row>
    <row r="771" spans="1:34" x14ac:dyDescent="0.2">
      <c r="A771" s="347">
        <f t="shared" ca="1" si="325"/>
        <v>1E-4</v>
      </c>
      <c r="B771" s="304">
        <f t="shared" ca="1" si="326"/>
        <v>34.506200000000383</v>
      </c>
      <c r="D771" s="306">
        <f t="shared" ca="1" si="327"/>
        <v>-0.81647863067356896</v>
      </c>
      <c r="E771" s="307">
        <f t="shared" ca="1" si="328"/>
        <v>-2.4508468851784881</v>
      </c>
      <c r="F771" s="304">
        <f t="shared" ca="1" si="329"/>
        <v>2.5832707579608614</v>
      </c>
      <c r="G771" s="306">
        <f t="shared" ca="1" si="330"/>
        <v>13.448094795203506</v>
      </c>
      <c r="H771" s="307">
        <f t="shared" ca="1" si="331"/>
        <v>-121.21246772181721</v>
      </c>
      <c r="I771" s="304">
        <f t="shared" ca="1" si="332"/>
        <v>121.95619535240249</v>
      </c>
      <c r="J771" s="306">
        <f t="shared" ca="1" si="333"/>
        <v>859.24597237897774</v>
      </c>
      <c r="K771" s="307">
        <f t="shared" ca="1" si="334"/>
        <v>-12.131923375105702</v>
      </c>
      <c r="L771" s="304">
        <f t="shared" ca="1" si="319"/>
        <v>859.3316150440844</v>
      </c>
      <c r="M771" s="306">
        <f t="shared" ca="1" si="335"/>
        <v>-1.4603017468918833</v>
      </c>
      <c r="N771" s="304">
        <f t="shared" ca="1" si="336"/>
        <v>-83.669126912486291</v>
      </c>
      <c r="P771" s="310">
        <f t="shared" ca="1" si="337"/>
        <v>23</v>
      </c>
      <c r="Q771" s="304">
        <f t="shared" ca="1" si="338"/>
        <v>0</v>
      </c>
      <c r="R771" s="306">
        <f t="shared" ca="1" si="339"/>
        <v>0</v>
      </c>
      <c r="S771" s="307">
        <f t="shared" ca="1" si="340"/>
        <v>8.1379999999999981</v>
      </c>
      <c r="T771" s="304">
        <f t="shared" ca="1" si="320"/>
        <v>79.83377999999999</v>
      </c>
      <c r="U771" s="311">
        <f t="shared" ca="1" si="321"/>
        <v>0</v>
      </c>
      <c r="V771" s="306">
        <f t="shared" ca="1" si="322"/>
        <v>1.2264870626599627</v>
      </c>
      <c r="W771" s="304">
        <f t="shared" ca="1" si="323"/>
        <v>60.256560584675213</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2.3458668835235779</v>
      </c>
      <c r="AH771" s="304">
        <f t="shared" ca="1" si="347"/>
        <v>-7.4043076598513755</v>
      </c>
    </row>
    <row r="772" spans="1:34" x14ac:dyDescent="0.2">
      <c r="A772" s="347">
        <f t="shared" ca="1" si="325"/>
        <v>1E-4</v>
      </c>
      <c r="B772" s="304">
        <f t="shared" ca="1" si="326"/>
        <v>34.506300000000387</v>
      </c>
      <c r="D772" s="306">
        <f t="shared" ca="1" si="327"/>
        <v>-0.81647623377655876</v>
      </c>
      <c r="E772" s="307">
        <f t="shared" ca="1" si="328"/>
        <v>-2.4508089294871445</v>
      </c>
      <c r="F772" s="304">
        <f t="shared" ca="1" si="329"/>
        <v>2.5832339904034782</v>
      </c>
      <c r="G772" s="306">
        <f t="shared" ca="1" si="330"/>
        <v>13.448013147580129</v>
      </c>
      <c r="H772" s="307">
        <f t="shared" ca="1" si="331"/>
        <v>-121.21271280271016</v>
      </c>
      <c r="I772" s="304">
        <f t="shared" ca="1" si="332"/>
        <v>121.95642993548877</v>
      </c>
      <c r="J772" s="306">
        <f t="shared" ca="1" si="333"/>
        <v>859.24597237897774</v>
      </c>
      <c r="K772" s="307">
        <f t="shared" ca="1" si="334"/>
        <v>-12.144044634131928</v>
      </c>
      <c r="L772" s="304">
        <f t="shared" ref="L772:L835" ca="1" si="348">SQRT(pos_x^2+pos_z^2)</f>
        <v>859.33178625579239</v>
      </c>
      <c r="M772" s="306">
        <f t="shared" ca="1" si="335"/>
        <v>-1.4603026338869394</v>
      </c>
      <c r="N772" s="304">
        <f t="shared" ca="1" si="336"/>
        <v>-83.669177733559451</v>
      </c>
      <c r="P772" s="310">
        <f t="shared" ca="1" si="337"/>
        <v>23</v>
      </c>
      <c r="Q772" s="304">
        <f t="shared" ca="1" si="338"/>
        <v>0</v>
      </c>
      <c r="R772" s="306">
        <f t="shared" ca="1" si="339"/>
        <v>0</v>
      </c>
      <c r="S772" s="307">
        <f t="shared" ca="1" si="340"/>
        <v>8.1379999999999981</v>
      </c>
      <c r="T772" s="304">
        <f t="shared" ref="T772:T835" ca="1" si="349">m*g</f>
        <v>79.83377999999999</v>
      </c>
      <c r="U772" s="311">
        <f t="shared" ref="U772:U835" ca="1" si="350">IF(pos_xz&lt;L_rampe,Poids*COS(Beta),0)</f>
        <v>0</v>
      </c>
      <c r="V772" s="306">
        <f t="shared" ref="V772:V835" ca="1" si="351">Rho_moyen*(20000-Alt_rampe-pos_z)/(20000+Alt_rampe+pos_z)</f>
        <v>1.2264885493181494</v>
      </c>
      <c r="W772" s="304">
        <f t="shared" ref="W772:W835" ca="1" si="352">1/2*Rho*Sref*Cx*vit_xz^2</f>
        <v>60.256865431117227</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2.3458303831245946</v>
      </c>
      <c r="AH772" s="304">
        <f t="shared" ca="1" si="347"/>
        <v>-7.4043451197683989</v>
      </c>
    </row>
    <row r="773" spans="1:34" x14ac:dyDescent="0.2">
      <c r="A773" s="347">
        <f t="shared" ref="A773:A836" ca="1" si="354">IF(B772+0.01&lt;=T_ini+ROUNDUP(Temps_fin_propu,0), 0.01, IF(K772&gt;0, 0.1, 0.0001))</f>
        <v>1E-4</v>
      </c>
      <c r="B773" s="304">
        <f t="shared" ref="B773:B836" ca="1" si="355">B772+pas</f>
        <v>34.50640000000039</v>
      </c>
      <c r="D773" s="306">
        <f t="shared" ref="D773:D836" ca="1" si="356">IF(AND(L772&lt;L_rampe,Poussee&lt;Poids*SIN(M772)),0,(-W772+Poussee)/m*COS(M772)-U772/m*SIN(M772))</f>
        <v>-0.8164738368455865</v>
      </c>
      <c r="E773" s="307">
        <f t="shared" ref="E773:E836" ca="1" si="357">IF(AND(L772&lt;L_rampe,Poussee&lt;Poids*SIN(M772)),0,(-W772+Poussee)/m*SIN(M772)+U772/m*COS(M772)-Poids/m)</f>
        <v>-2.4507709740900081</v>
      </c>
      <c r="F773" s="304">
        <f t="shared" ref="F773:F836" ca="1" si="358">SQRT(acc_x^2+acc_z^2)</f>
        <v>2.5831972231510782</v>
      </c>
      <c r="G773" s="306">
        <f t="shared" ref="G773:G836" ca="1" si="359">G772+acc_x*pas</f>
        <v>13.447931500196445</v>
      </c>
      <c r="H773" s="307">
        <f t="shared" ref="H773:H836" ca="1" si="360">H772+acc_z*pas</f>
        <v>-121.21295787980756</v>
      </c>
      <c r="I773" s="304">
        <f t="shared" ref="I773:I836" ca="1" si="361">SQRT(vit_x^2+vit_z^2)</f>
        <v>121.95666451492504</v>
      </c>
      <c r="J773" s="306">
        <f t="shared" ref="J773:J836" ca="1" si="362">J772+0.5*(vit_x+G772)*pas*(K772&gt;=0)</f>
        <v>859.24597237897774</v>
      </c>
      <c r="K773" s="307">
        <f t="shared" ref="K773:K836" ca="1" si="363">K772+0.5*(vit_z+H772)*pas</f>
        <v>-12.156165917666055</v>
      </c>
      <c r="L773" s="304">
        <f t="shared" ca="1" si="348"/>
        <v>859.33195763878859</v>
      </c>
      <c r="M773" s="306">
        <f t="shared" ref="M773:M836" ca="1" si="364">IF(AND(L772&gt;L_rampe,G773&gt;0),ATAN2(G773,H773),$M$4)</f>
        <v>-1.460303520873198</v>
      </c>
      <c r="N773" s="304">
        <f t="shared" ref="N773:N836" ca="1" si="365">DEGREES(Beta)</f>
        <v>-83.669228554128566</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8.1379999999999981</v>
      </c>
      <c r="T773" s="304">
        <f t="shared" ca="1" si="349"/>
        <v>79.83377999999999</v>
      </c>
      <c r="U773" s="311">
        <f t="shared" ca="1" si="350"/>
        <v>0</v>
      </c>
      <c r="V773" s="306">
        <f t="shared" ca="1" si="351"/>
        <v>1.2264900359811448</v>
      </c>
      <c r="W773" s="304">
        <f t="shared" ca="1" si="352"/>
        <v>60.257170275196465</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2.3457938829987555</v>
      </c>
      <c r="AH773" s="304">
        <f t="shared" ref="AH773:AH836" ca="1" si="376">IF(AND(L772&lt;L_rampe,Poussee&lt;Poids*SIN(M772)), g*SIN(M772), (-W772+Poussee)/m)</f>
        <v>-7.4043825793950901</v>
      </c>
    </row>
    <row r="774" spans="1:34" x14ac:dyDescent="0.2">
      <c r="A774" s="347">
        <f t="shared" ca="1" si="354"/>
        <v>1E-4</v>
      </c>
      <c r="B774" s="304">
        <f t="shared" ca="1" si="355"/>
        <v>34.506500000000393</v>
      </c>
      <c r="D774" s="306">
        <f t="shared" ca="1" si="356"/>
        <v>-0.8164714398806513</v>
      </c>
      <c r="E774" s="307">
        <f t="shared" ca="1" si="357"/>
        <v>-2.4507330189870853</v>
      </c>
      <c r="F774" s="304">
        <f t="shared" ca="1" si="358"/>
        <v>2.5831604562036672</v>
      </c>
      <c r="G774" s="306">
        <f t="shared" ca="1" si="359"/>
        <v>13.447849853052457</v>
      </c>
      <c r="H774" s="307">
        <f t="shared" ca="1" si="360"/>
        <v>-121.21320295310946</v>
      </c>
      <c r="I774" s="304">
        <f t="shared" ca="1" si="361"/>
        <v>121.95689909071133</v>
      </c>
      <c r="J774" s="306">
        <f t="shared" ca="1" si="362"/>
        <v>859.24597237897774</v>
      </c>
      <c r="K774" s="307">
        <f t="shared" ca="1" si="363"/>
        <v>-12.168287225707701</v>
      </c>
      <c r="L774" s="304">
        <f t="shared" ca="1" si="348"/>
        <v>859.33212919307414</v>
      </c>
      <c r="M774" s="306">
        <f t="shared" ca="1" si="364"/>
        <v>-1.4603044078506595</v>
      </c>
      <c r="N774" s="304">
        <f t="shared" ca="1" si="365"/>
        <v>-83.669279374193636</v>
      </c>
      <c r="P774" s="310">
        <f t="shared" ca="1" si="366"/>
        <v>23</v>
      </c>
      <c r="Q774" s="304">
        <f t="shared" ca="1" si="367"/>
        <v>0</v>
      </c>
      <c r="R774" s="306">
        <f t="shared" ca="1" si="368"/>
        <v>0</v>
      </c>
      <c r="S774" s="307">
        <f t="shared" ca="1" si="369"/>
        <v>8.1379999999999981</v>
      </c>
      <c r="T774" s="304">
        <f t="shared" ca="1" si="349"/>
        <v>79.83377999999999</v>
      </c>
      <c r="U774" s="311">
        <f t="shared" ca="1" si="350"/>
        <v>0</v>
      </c>
      <c r="V774" s="306">
        <f t="shared" ca="1" si="351"/>
        <v>1.226491522648949</v>
      </c>
      <c r="W774" s="304">
        <f t="shared" ca="1" si="352"/>
        <v>60.257475116912985</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2.3457573831460676</v>
      </c>
      <c r="AH774" s="304">
        <f t="shared" ca="1" si="376"/>
        <v>-7.4044200387314421</v>
      </c>
    </row>
    <row r="775" spans="1:34" x14ac:dyDescent="0.2">
      <c r="A775" s="347">
        <f t="shared" ca="1" si="354"/>
        <v>1E-4</v>
      </c>
      <c r="B775" s="304">
        <f t="shared" ca="1" si="355"/>
        <v>34.506600000000397</v>
      </c>
      <c r="D775" s="306">
        <f t="shared" ca="1" si="356"/>
        <v>-0.81646904288175437</v>
      </c>
      <c r="E775" s="307">
        <f t="shared" ca="1" si="357"/>
        <v>-2.4506950641783671</v>
      </c>
      <c r="F775" s="304">
        <f t="shared" ca="1" si="358"/>
        <v>2.5831236895612375</v>
      </c>
      <c r="G775" s="306">
        <f t="shared" ca="1" si="359"/>
        <v>13.447768206148169</v>
      </c>
      <c r="H775" s="307">
        <f t="shared" ca="1" si="360"/>
        <v>-121.21344802261588</v>
      </c>
      <c r="I775" s="304">
        <f t="shared" ca="1" si="361"/>
        <v>121.95713366284767</v>
      </c>
      <c r="J775" s="306">
        <f t="shared" ca="1" si="362"/>
        <v>859.24597237897774</v>
      </c>
      <c r="K775" s="307">
        <f t="shared" ca="1" si="363"/>
        <v>-12.180408558256486</v>
      </c>
      <c r="L775" s="304">
        <f t="shared" ca="1" si="348"/>
        <v>859.33230091864993</v>
      </c>
      <c r="M775" s="306">
        <f t="shared" ca="1" si="364"/>
        <v>-1.4603052948193236</v>
      </c>
      <c r="N775" s="304">
        <f t="shared" ca="1" si="365"/>
        <v>-83.669330193754647</v>
      </c>
      <c r="P775" s="310">
        <f t="shared" ca="1" si="366"/>
        <v>23</v>
      </c>
      <c r="Q775" s="304">
        <f t="shared" ca="1" si="367"/>
        <v>0</v>
      </c>
      <c r="R775" s="306">
        <f t="shared" ca="1" si="368"/>
        <v>0</v>
      </c>
      <c r="S775" s="307">
        <f t="shared" ca="1" si="369"/>
        <v>8.1379999999999981</v>
      </c>
      <c r="T775" s="304">
        <f t="shared" ca="1" si="349"/>
        <v>79.83377999999999</v>
      </c>
      <c r="U775" s="311">
        <f t="shared" ca="1" si="350"/>
        <v>0</v>
      </c>
      <c r="V775" s="306">
        <f t="shared" ca="1" si="351"/>
        <v>1.2264930093215622</v>
      </c>
      <c r="W775" s="304">
        <f t="shared" ca="1" si="352"/>
        <v>60.257779956266759</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2.345720883566524</v>
      </c>
      <c r="AH775" s="304">
        <f t="shared" ca="1" si="376"/>
        <v>-7.4044574977774635</v>
      </c>
    </row>
    <row r="776" spans="1:34" x14ac:dyDescent="0.2">
      <c r="A776" s="347">
        <f t="shared" ca="1" si="354"/>
        <v>1E-4</v>
      </c>
      <c r="B776" s="304">
        <f t="shared" ca="1" si="355"/>
        <v>34.5067000000004</v>
      </c>
      <c r="D776" s="306">
        <f t="shared" ca="1" si="356"/>
        <v>-0.81646664584889872</v>
      </c>
      <c r="E776" s="307">
        <f t="shared" ca="1" si="357"/>
        <v>-2.4506571096638599</v>
      </c>
      <c r="F776" s="304">
        <f t="shared" ca="1" si="358"/>
        <v>2.5830869232237958</v>
      </c>
      <c r="G776" s="306">
        <f t="shared" ca="1" si="359"/>
        <v>13.447686559483584</v>
      </c>
      <c r="H776" s="307">
        <f t="shared" ca="1" si="360"/>
        <v>-121.21369308832685</v>
      </c>
      <c r="I776" s="304">
        <f t="shared" ca="1" si="361"/>
        <v>121.95736823133407</v>
      </c>
      <c r="J776" s="306">
        <f t="shared" ca="1" si="362"/>
        <v>859.24597237897774</v>
      </c>
      <c r="K776" s="307">
        <f t="shared" ca="1" si="363"/>
        <v>-12.192529915312033</v>
      </c>
      <c r="L776" s="304">
        <f t="shared" ca="1" si="348"/>
        <v>859.33247281551667</v>
      </c>
      <c r="M776" s="306">
        <f t="shared" ca="1" si="364"/>
        <v>-1.4603061817791909</v>
      </c>
      <c r="N776" s="304">
        <f t="shared" ca="1" si="365"/>
        <v>-83.669381012811641</v>
      </c>
      <c r="P776" s="310">
        <f t="shared" ca="1" si="366"/>
        <v>23</v>
      </c>
      <c r="Q776" s="304">
        <f t="shared" ca="1" si="367"/>
        <v>0</v>
      </c>
      <c r="R776" s="306">
        <f t="shared" ca="1" si="368"/>
        <v>0</v>
      </c>
      <c r="S776" s="307">
        <f t="shared" ca="1" si="369"/>
        <v>8.1379999999999981</v>
      </c>
      <c r="T776" s="304">
        <f t="shared" ca="1" si="349"/>
        <v>79.83377999999999</v>
      </c>
      <c r="U776" s="311">
        <f t="shared" ca="1" si="350"/>
        <v>0</v>
      </c>
      <c r="V776" s="306">
        <f t="shared" ca="1" si="351"/>
        <v>1.2264944959989845</v>
      </c>
      <c r="W776" s="304">
        <f t="shared" ca="1" si="352"/>
        <v>60.25808479325778</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2.3456843842601289</v>
      </c>
      <c r="AH776" s="304">
        <f t="shared" ca="1" si="376"/>
        <v>-7.4044949565331502</v>
      </c>
    </row>
    <row r="777" spans="1:34" x14ac:dyDescent="0.2">
      <c r="A777" s="347">
        <f t="shared" ca="1" si="354"/>
        <v>1E-4</v>
      </c>
      <c r="B777" s="304">
        <f t="shared" ca="1" si="355"/>
        <v>34.506800000000403</v>
      </c>
      <c r="D777" s="306">
        <f t="shared" ca="1" si="356"/>
        <v>-0.8164642487820809</v>
      </c>
      <c r="E777" s="307">
        <f t="shared" ca="1" si="357"/>
        <v>-2.4506191554435626</v>
      </c>
      <c r="F777" s="304">
        <f t="shared" ca="1" si="358"/>
        <v>2.58305015719134</v>
      </c>
      <c r="G777" s="306">
        <f t="shared" ca="1" si="359"/>
        <v>13.447604913058706</v>
      </c>
      <c r="H777" s="307">
        <f t="shared" ca="1" si="360"/>
        <v>-121.2139381502424</v>
      </c>
      <c r="I777" s="304">
        <f t="shared" ca="1" si="361"/>
        <v>121.95760279617056</v>
      </c>
      <c r="J777" s="306">
        <f t="shared" ca="1" si="362"/>
        <v>859.24597237897774</v>
      </c>
      <c r="K777" s="307">
        <f t="shared" ca="1" si="363"/>
        <v>-12.204651296873962</v>
      </c>
      <c r="L777" s="304">
        <f t="shared" ca="1" si="348"/>
        <v>859.33264488367558</v>
      </c>
      <c r="M777" s="306">
        <f t="shared" ca="1" si="364"/>
        <v>-1.4603070687302611</v>
      </c>
      <c r="N777" s="304">
        <f t="shared" ca="1" si="365"/>
        <v>-83.669431831364591</v>
      </c>
      <c r="P777" s="310">
        <f t="shared" ca="1" si="366"/>
        <v>23</v>
      </c>
      <c r="Q777" s="304">
        <f t="shared" ca="1" si="367"/>
        <v>0</v>
      </c>
      <c r="R777" s="306">
        <f t="shared" ca="1" si="368"/>
        <v>0</v>
      </c>
      <c r="S777" s="307">
        <f t="shared" ca="1" si="369"/>
        <v>8.1379999999999981</v>
      </c>
      <c r="T777" s="304">
        <f t="shared" ca="1" si="349"/>
        <v>79.83377999999999</v>
      </c>
      <c r="U777" s="311">
        <f t="shared" ca="1" si="350"/>
        <v>0</v>
      </c>
      <c r="V777" s="306">
        <f t="shared" ca="1" si="351"/>
        <v>1.2264959826812156</v>
      </c>
      <c r="W777" s="304">
        <f t="shared" ca="1" si="352"/>
        <v>60.258389627886054</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2.3456478852268843</v>
      </c>
      <c r="AH777" s="304">
        <f t="shared" ca="1" si="376"/>
        <v>-7.4045324149985001</v>
      </c>
    </row>
    <row r="778" spans="1:34" x14ac:dyDescent="0.2">
      <c r="A778" s="347">
        <f t="shared" ca="1" si="354"/>
        <v>1E-4</v>
      </c>
      <c r="B778" s="304">
        <f t="shared" ca="1" si="355"/>
        <v>34.506900000000407</v>
      </c>
      <c r="D778" s="306">
        <f t="shared" ca="1" si="356"/>
        <v>-0.81646185168130614</v>
      </c>
      <c r="E778" s="307">
        <f t="shared" ca="1" si="357"/>
        <v>-2.4505812015174753</v>
      </c>
      <c r="F778" s="304">
        <f t="shared" ca="1" si="358"/>
        <v>2.5830133914638731</v>
      </c>
      <c r="G778" s="306">
        <f t="shared" ca="1" si="359"/>
        <v>13.447523266873539</v>
      </c>
      <c r="H778" s="307">
        <f t="shared" ca="1" si="360"/>
        <v>-121.21418320836256</v>
      </c>
      <c r="I778" s="304">
        <f t="shared" ca="1" si="361"/>
        <v>121.95783735735719</v>
      </c>
      <c r="J778" s="306">
        <f t="shared" ca="1" si="362"/>
        <v>859.24597237897774</v>
      </c>
      <c r="K778" s="307">
        <f t="shared" ca="1" si="363"/>
        <v>-12.216772702941892</v>
      </c>
      <c r="L778" s="304">
        <f t="shared" ca="1" si="348"/>
        <v>859.33281712312737</v>
      </c>
      <c r="M778" s="306">
        <f t="shared" ca="1" si="364"/>
        <v>-1.4603079556725345</v>
      </c>
      <c r="N778" s="304">
        <f t="shared" ca="1" si="365"/>
        <v>-83.669482649413524</v>
      </c>
      <c r="P778" s="310">
        <f t="shared" ca="1" si="366"/>
        <v>23</v>
      </c>
      <c r="Q778" s="304">
        <f t="shared" ca="1" si="367"/>
        <v>0</v>
      </c>
      <c r="R778" s="306">
        <f t="shared" ca="1" si="368"/>
        <v>0</v>
      </c>
      <c r="S778" s="307">
        <f t="shared" ca="1" si="369"/>
        <v>8.1379999999999981</v>
      </c>
      <c r="T778" s="304">
        <f t="shared" ca="1" si="349"/>
        <v>79.83377999999999</v>
      </c>
      <c r="U778" s="311">
        <f t="shared" ca="1" si="350"/>
        <v>0</v>
      </c>
      <c r="V778" s="306">
        <f t="shared" ca="1" si="351"/>
        <v>1.2264974693682553</v>
      </c>
      <c r="W778" s="304">
        <f t="shared" ca="1" si="352"/>
        <v>60.258694460151546</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2.3456113864667882</v>
      </c>
      <c r="AH778" s="304">
        <f t="shared" ca="1" si="376"/>
        <v>-7.4045698731735152</v>
      </c>
    </row>
    <row r="779" spans="1:34" x14ac:dyDescent="0.2">
      <c r="A779" s="347">
        <f t="shared" ca="1" si="354"/>
        <v>1E-4</v>
      </c>
      <c r="B779" s="304">
        <f t="shared" ca="1" si="355"/>
        <v>34.50700000000041</v>
      </c>
      <c r="D779" s="306">
        <f t="shared" ca="1" si="356"/>
        <v>-0.81645945454657243</v>
      </c>
      <c r="E779" s="307">
        <f t="shared" ca="1" si="357"/>
        <v>-2.4505432478856015</v>
      </c>
      <c r="F779" s="304">
        <f t="shared" ca="1" si="358"/>
        <v>2.5829766260413969</v>
      </c>
      <c r="G779" s="306">
        <f t="shared" ca="1" si="359"/>
        <v>13.447441620928084</v>
      </c>
      <c r="H779" s="307">
        <f t="shared" ca="1" si="360"/>
        <v>-121.21442826268735</v>
      </c>
      <c r="I779" s="304">
        <f t="shared" ca="1" si="361"/>
        <v>121.95807191489396</v>
      </c>
      <c r="J779" s="306">
        <f t="shared" ca="1" si="362"/>
        <v>859.24597237897774</v>
      </c>
      <c r="K779" s="307">
        <f t="shared" ca="1" si="363"/>
        <v>-12.228894133515444</v>
      </c>
      <c r="L779" s="304">
        <f t="shared" ca="1" si="348"/>
        <v>859.33298953387316</v>
      </c>
      <c r="M779" s="306">
        <f t="shared" ca="1" si="364"/>
        <v>-1.4603088426060113</v>
      </c>
      <c r="N779" s="304">
        <f t="shared" ca="1" si="365"/>
        <v>-83.66953346695847</v>
      </c>
      <c r="P779" s="310">
        <f t="shared" ca="1" si="366"/>
        <v>23</v>
      </c>
      <c r="Q779" s="304">
        <f t="shared" ca="1" si="367"/>
        <v>0</v>
      </c>
      <c r="R779" s="306">
        <f t="shared" ca="1" si="368"/>
        <v>0</v>
      </c>
      <c r="S779" s="307">
        <f t="shared" ca="1" si="369"/>
        <v>8.1379999999999981</v>
      </c>
      <c r="T779" s="304">
        <f t="shared" ca="1" si="349"/>
        <v>79.83377999999999</v>
      </c>
      <c r="U779" s="311">
        <f t="shared" ca="1" si="350"/>
        <v>0</v>
      </c>
      <c r="V779" s="306">
        <f t="shared" ca="1" si="351"/>
        <v>1.2264989560601041</v>
      </c>
      <c r="W779" s="304">
        <f t="shared" ca="1" si="352"/>
        <v>60.258999290054305</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2.3455748879798453</v>
      </c>
      <c r="AH779" s="304">
        <f t="shared" ca="1" si="376"/>
        <v>-7.404607331058191</v>
      </c>
    </row>
    <row r="780" spans="1:34" x14ac:dyDescent="0.2">
      <c r="A780" s="347">
        <f t="shared" ca="1" si="354"/>
        <v>1E-4</v>
      </c>
      <c r="B780" s="304">
        <f t="shared" ca="1" si="355"/>
        <v>34.507100000000413</v>
      </c>
      <c r="D780" s="306">
        <f t="shared" ca="1" si="356"/>
        <v>-0.81645705737788066</v>
      </c>
      <c r="E780" s="307">
        <f t="shared" ca="1" si="357"/>
        <v>-2.4505052945479351</v>
      </c>
      <c r="F780" s="304">
        <f t="shared" ca="1" si="358"/>
        <v>2.5829398609239065</v>
      </c>
      <c r="G780" s="306">
        <f t="shared" ca="1" si="359"/>
        <v>13.447359975222346</v>
      </c>
      <c r="H780" s="307">
        <f t="shared" ca="1" si="360"/>
        <v>-121.21467331321681</v>
      </c>
      <c r="I780" s="304">
        <f t="shared" ca="1" si="361"/>
        <v>121.9583064687809</v>
      </c>
      <c r="J780" s="306">
        <f t="shared" ca="1" si="362"/>
        <v>859.24597237897774</v>
      </c>
      <c r="K780" s="307">
        <f t="shared" ca="1" si="363"/>
        <v>-12.241015588594239</v>
      </c>
      <c r="L780" s="304">
        <f t="shared" ca="1" si="348"/>
        <v>859.33316211591375</v>
      </c>
      <c r="M780" s="306">
        <f t="shared" ca="1" si="364"/>
        <v>-1.4603097295306915</v>
      </c>
      <c r="N780" s="304">
        <f t="shared" ca="1" si="365"/>
        <v>-83.669584283999384</v>
      </c>
      <c r="P780" s="310">
        <f t="shared" ca="1" si="366"/>
        <v>23</v>
      </c>
      <c r="Q780" s="304">
        <f t="shared" ca="1" si="367"/>
        <v>0</v>
      </c>
      <c r="R780" s="306">
        <f t="shared" ca="1" si="368"/>
        <v>0</v>
      </c>
      <c r="S780" s="307">
        <f t="shared" ca="1" si="369"/>
        <v>8.1379999999999981</v>
      </c>
      <c r="T780" s="304">
        <f t="shared" ca="1" si="349"/>
        <v>79.83377999999999</v>
      </c>
      <c r="U780" s="311">
        <f t="shared" ca="1" si="350"/>
        <v>0</v>
      </c>
      <c r="V780" s="306">
        <f t="shared" ca="1" si="351"/>
        <v>1.2265004427567616</v>
      </c>
      <c r="W780" s="304">
        <f t="shared" ca="1" si="352"/>
        <v>60.259304117594276</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2.3455383897660509</v>
      </c>
      <c r="AH780" s="304">
        <f t="shared" ca="1" si="376"/>
        <v>-7.4046447886525337</v>
      </c>
    </row>
    <row r="781" spans="1:34" x14ac:dyDescent="0.2">
      <c r="A781" s="347">
        <f t="shared" ca="1" si="354"/>
        <v>1E-4</v>
      </c>
      <c r="B781" s="304">
        <f t="shared" ca="1" si="355"/>
        <v>34.507200000000417</v>
      </c>
      <c r="D781" s="306">
        <f t="shared" ca="1" si="356"/>
        <v>-0.81645466017523349</v>
      </c>
      <c r="E781" s="307">
        <f t="shared" ca="1" si="357"/>
        <v>-2.450467341504484</v>
      </c>
      <c r="F781" s="304">
        <f t="shared" ca="1" si="358"/>
        <v>2.5829030961114103</v>
      </c>
      <c r="G781" s="306">
        <f t="shared" ca="1" si="359"/>
        <v>13.447278329756328</v>
      </c>
      <c r="H781" s="307">
        <f t="shared" ca="1" si="360"/>
        <v>-121.21491835995096</v>
      </c>
      <c r="I781" s="304">
        <f t="shared" ca="1" si="361"/>
        <v>121.95854101901804</v>
      </c>
      <c r="J781" s="306">
        <f t="shared" ca="1" si="362"/>
        <v>859.24597237897774</v>
      </c>
      <c r="K781" s="307">
        <f t="shared" ca="1" si="363"/>
        <v>-12.253137068177898</v>
      </c>
      <c r="L781" s="304">
        <f t="shared" ca="1" si="348"/>
        <v>859.33333486924994</v>
      </c>
      <c r="M781" s="306">
        <f t="shared" ca="1" si="364"/>
        <v>-1.4603106164465753</v>
      </c>
      <c r="N781" s="304">
        <f t="shared" ca="1" si="365"/>
        <v>-83.669635100536311</v>
      </c>
      <c r="P781" s="310">
        <f t="shared" ca="1" si="366"/>
        <v>23</v>
      </c>
      <c r="Q781" s="304">
        <f t="shared" ca="1" si="367"/>
        <v>0</v>
      </c>
      <c r="R781" s="306">
        <f t="shared" ca="1" si="368"/>
        <v>0</v>
      </c>
      <c r="S781" s="307">
        <f t="shared" ca="1" si="369"/>
        <v>8.1379999999999981</v>
      </c>
      <c r="T781" s="304">
        <f t="shared" ca="1" si="349"/>
        <v>79.83377999999999</v>
      </c>
      <c r="U781" s="311">
        <f t="shared" ca="1" si="350"/>
        <v>0</v>
      </c>
      <c r="V781" s="306">
        <f t="shared" ca="1" si="351"/>
        <v>1.226501929458228</v>
      </c>
      <c r="W781" s="304">
        <f t="shared" ca="1" si="352"/>
        <v>60.259608942771472</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2.3455018918254105</v>
      </c>
      <c r="AH781" s="304">
        <f t="shared" ca="1" si="376"/>
        <v>-7.4046822459565362</v>
      </c>
    </row>
    <row r="782" spans="1:34" x14ac:dyDescent="0.2">
      <c r="A782" s="347">
        <f t="shared" ca="1" si="354"/>
        <v>1E-4</v>
      </c>
      <c r="B782" s="304">
        <f t="shared" ca="1" si="355"/>
        <v>34.50730000000042</v>
      </c>
      <c r="D782" s="306">
        <f t="shared" ca="1" si="356"/>
        <v>-0.81645226293862938</v>
      </c>
      <c r="E782" s="307">
        <f t="shared" ca="1" si="357"/>
        <v>-2.4504293887552473</v>
      </c>
      <c r="F782" s="304">
        <f t="shared" ca="1" si="358"/>
        <v>2.5828663316039071</v>
      </c>
      <c r="G782" s="306">
        <f t="shared" ca="1" si="359"/>
        <v>13.447196684530034</v>
      </c>
      <c r="H782" s="307">
        <f t="shared" ca="1" si="360"/>
        <v>-121.21516340288983</v>
      </c>
      <c r="I782" s="304">
        <f t="shared" ca="1" si="361"/>
        <v>121.95877556560544</v>
      </c>
      <c r="J782" s="306">
        <f t="shared" ca="1" si="362"/>
        <v>859.24597237897774</v>
      </c>
      <c r="K782" s="307">
        <f t="shared" ca="1" si="363"/>
        <v>-12.26525857226604</v>
      </c>
      <c r="L782" s="304">
        <f t="shared" ca="1" si="348"/>
        <v>859.33350779388297</v>
      </c>
      <c r="M782" s="306">
        <f t="shared" ca="1" si="364"/>
        <v>-1.4603115033536629</v>
      </c>
      <c r="N782" s="304">
        <f t="shared" ca="1" si="365"/>
        <v>-83.66968591656925</v>
      </c>
      <c r="P782" s="310">
        <f t="shared" ca="1" si="366"/>
        <v>23</v>
      </c>
      <c r="Q782" s="304">
        <f t="shared" ca="1" si="367"/>
        <v>0</v>
      </c>
      <c r="R782" s="306">
        <f t="shared" ca="1" si="368"/>
        <v>0</v>
      </c>
      <c r="S782" s="307">
        <f t="shared" ca="1" si="369"/>
        <v>8.1379999999999981</v>
      </c>
      <c r="T782" s="304">
        <f t="shared" ca="1" si="349"/>
        <v>79.83377999999999</v>
      </c>
      <c r="U782" s="311">
        <f t="shared" ca="1" si="350"/>
        <v>0</v>
      </c>
      <c r="V782" s="306">
        <f t="shared" ca="1" si="351"/>
        <v>1.2265034161645023</v>
      </c>
      <c r="W782" s="304">
        <f t="shared" ca="1" si="352"/>
        <v>60.259913765585878</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2.3454653941579249</v>
      </c>
      <c r="AH782" s="304">
        <f t="shared" ca="1" si="376"/>
        <v>-7.4047197029701994</v>
      </c>
    </row>
    <row r="783" spans="1:34" x14ac:dyDescent="0.2">
      <c r="A783" s="347">
        <f t="shared" ca="1" si="354"/>
        <v>1E-4</v>
      </c>
      <c r="B783" s="304">
        <f t="shared" ca="1" si="355"/>
        <v>34.507400000000423</v>
      </c>
      <c r="D783" s="306">
        <f t="shared" ca="1" si="356"/>
        <v>-0.8164498656680701</v>
      </c>
      <c r="E783" s="307">
        <f t="shared" ca="1" si="357"/>
        <v>-2.4503914363002242</v>
      </c>
      <c r="F783" s="304">
        <f t="shared" ca="1" si="358"/>
        <v>2.5828295674013964</v>
      </c>
      <c r="G783" s="306">
        <f t="shared" ca="1" si="359"/>
        <v>13.447115039543467</v>
      </c>
      <c r="H783" s="307">
        <f t="shared" ca="1" si="360"/>
        <v>-121.21540844203346</v>
      </c>
      <c r="I783" s="304">
        <f t="shared" ca="1" si="361"/>
        <v>121.95901010854308</v>
      </c>
      <c r="J783" s="306">
        <f t="shared" ca="1" si="362"/>
        <v>859.24597237897774</v>
      </c>
      <c r="K783" s="307">
        <f t="shared" ca="1" si="363"/>
        <v>-12.277380100858286</v>
      </c>
      <c r="L783" s="304">
        <f t="shared" ca="1" si="348"/>
        <v>859.33368088981354</v>
      </c>
      <c r="M783" s="306">
        <f t="shared" ca="1" si="364"/>
        <v>-1.4603123902519544</v>
      </c>
      <c r="N783" s="304">
        <f t="shared" ca="1" si="365"/>
        <v>-83.669736732098201</v>
      </c>
      <c r="P783" s="310">
        <f t="shared" ca="1" si="366"/>
        <v>23</v>
      </c>
      <c r="Q783" s="304">
        <f t="shared" ca="1" si="367"/>
        <v>0</v>
      </c>
      <c r="R783" s="306">
        <f t="shared" ca="1" si="368"/>
        <v>0</v>
      </c>
      <c r="S783" s="307">
        <f t="shared" ca="1" si="369"/>
        <v>8.1379999999999981</v>
      </c>
      <c r="T783" s="304">
        <f t="shared" ca="1" si="349"/>
        <v>79.83377999999999</v>
      </c>
      <c r="U783" s="311">
        <f t="shared" ca="1" si="350"/>
        <v>0</v>
      </c>
      <c r="V783" s="306">
        <f t="shared" ca="1" si="351"/>
        <v>1.2265049028755861</v>
      </c>
      <c r="W783" s="304">
        <f t="shared" ca="1" si="352"/>
        <v>60.260218586037539</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2.3454288967635959</v>
      </c>
      <c r="AH783" s="304">
        <f t="shared" ca="1" si="376"/>
        <v>-7.4047571596935233</v>
      </c>
    </row>
    <row r="784" spans="1:34" x14ac:dyDescent="0.2">
      <c r="A784" s="347">
        <f t="shared" ca="1" si="354"/>
        <v>1E-4</v>
      </c>
      <c r="B784" s="304">
        <f t="shared" ca="1" si="355"/>
        <v>34.507500000000427</v>
      </c>
      <c r="D784" s="306">
        <f t="shared" ca="1" si="356"/>
        <v>-0.81644746836355631</v>
      </c>
      <c r="E784" s="307">
        <f t="shared" ca="1" si="357"/>
        <v>-2.4503534841394119</v>
      </c>
      <c r="F784" s="304">
        <f t="shared" ca="1" si="358"/>
        <v>2.5827928035038767</v>
      </c>
      <c r="G784" s="306">
        <f t="shared" ca="1" si="359"/>
        <v>13.44703339479663</v>
      </c>
      <c r="H784" s="307">
        <f t="shared" ca="1" si="360"/>
        <v>-121.21565347738188</v>
      </c>
      <c r="I784" s="304">
        <f t="shared" ca="1" si="361"/>
        <v>121.95924464783101</v>
      </c>
      <c r="J784" s="306">
        <f t="shared" ca="1" si="362"/>
        <v>859.24597237897774</v>
      </c>
      <c r="K784" s="307">
        <f t="shared" ca="1" si="363"/>
        <v>-12.289501653954257</v>
      </c>
      <c r="L784" s="304">
        <f t="shared" ca="1" si="348"/>
        <v>859.33385415704277</v>
      </c>
      <c r="M784" s="306">
        <f t="shared" ca="1" si="364"/>
        <v>-1.4603132771414498</v>
      </c>
      <c r="N784" s="304">
        <f t="shared" ca="1" si="365"/>
        <v>-83.669787547123192</v>
      </c>
      <c r="P784" s="310">
        <f t="shared" ca="1" si="366"/>
        <v>23</v>
      </c>
      <c r="Q784" s="304">
        <f t="shared" ca="1" si="367"/>
        <v>0</v>
      </c>
      <c r="R784" s="306">
        <f t="shared" ca="1" si="368"/>
        <v>0</v>
      </c>
      <c r="S784" s="307">
        <f t="shared" ca="1" si="369"/>
        <v>8.1379999999999981</v>
      </c>
      <c r="T784" s="304">
        <f t="shared" ca="1" si="349"/>
        <v>79.83377999999999</v>
      </c>
      <c r="U784" s="311">
        <f t="shared" ca="1" si="350"/>
        <v>0</v>
      </c>
      <c r="V784" s="306">
        <f t="shared" ca="1" si="351"/>
        <v>1.2265063895914785</v>
      </c>
      <c r="W784" s="304">
        <f t="shared" ca="1" si="352"/>
        <v>60.260523404126417</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2.3453923996424182</v>
      </c>
      <c r="AH784" s="304">
        <f t="shared" ca="1" si="376"/>
        <v>-7.4047946161265115</v>
      </c>
    </row>
    <row r="785" spans="1:34" x14ac:dyDescent="0.2">
      <c r="A785" s="347">
        <f t="shared" ca="1" si="354"/>
        <v>1E-4</v>
      </c>
      <c r="B785" s="304">
        <f t="shared" ca="1" si="355"/>
        <v>34.50760000000043</v>
      </c>
      <c r="D785" s="306">
        <f t="shared" ca="1" si="356"/>
        <v>-0.81644507102508934</v>
      </c>
      <c r="E785" s="307">
        <f t="shared" ca="1" si="357"/>
        <v>-2.4503155322728114</v>
      </c>
      <c r="F785" s="304">
        <f t="shared" ca="1" si="358"/>
        <v>2.5827560399113492</v>
      </c>
      <c r="G785" s="306">
        <f t="shared" ca="1" si="359"/>
        <v>13.446951750289529</v>
      </c>
      <c r="H785" s="307">
        <f t="shared" ca="1" si="360"/>
        <v>-121.21589850893511</v>
      </c>
      <c r="I785" s="304">
        <f t="shared" ca="1" si="361"/>
        <v>121.95947918346927</v>
      </c>
      <c r="J785" s="306">
        <f t="shared" ca="1" si="362"/>
        <v>859.24597237897774</v>
      </c>
      <c r="K785" s="307">
        <f t="shared" ca="1" si="363"/>
        <v>-12.301623231553574</v>
      </c>
      <c r="L785" s="304">
        <f t="shared" ca="1" si="348"/>
        <v>859.33402759557134</v>
      </c>
      <c r="M785" s="306">
        <f t="shared" ca="1" si="364"/>
        <v>-1.4603141640221493</v>
      </c>
      <c r="N785" s="304">
        <f t="shared" ca="1" si="365"/>
        <v>-83.669838361644196</v>
      </c>
      <c r="P785" s="310">
        <f t="shared" ca="1" si="366"/>
        <v>23</v>
      </c>
      <c r="Q785" s="304">
        <f t="shared" ca="1" si="367"/>
        <v>0</v>
      </c>
      <c r="R785" s="306">
        <f t="shared" ca="1" si="368"/>
        <v>0</v>
      </c>
      <c r="S785" s="307">
        <f t="shared" ca="1" si="369"/>
        <v>8.1379999999999981</v>
      </c>
      <c r="T785" s="304">
        <f t="shared" ca="1" si="349"/>
        <v>79.83377999999999</v>
      </c>
      <c r="U785" s="311">
        <f t="shared" ca="1" si="350"/>
        <v>0</v>
      </c>
      <c r="V785" s="306">
        <f t="shared" ca="1" si="351"/>
        <v>1.2265078763121791</v>
      </c>
      <c r="W785" s="304">
        <f t="shared" ca="1" si="352"/>
        <v>60.260828219852485</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2.3453559027943944</v>
      </c>
      <c r="AH785" s="304">
        <f t="shared" ca="1" si="376"/>
        <v>-7.4048320722691612</v>
      </c>
    </row>
    <row r="786" spans="1:34" x14ac:dyDescent="0.2">
      <c r="A786" s="347">
        <f t="shared" ca="1" si="354"/>
        <v>1E-4</v>
      </c>
      <c r="B786" s="304">
        <f t="shared" ca="1" si="355"/>
        <v>34.507700000000433</v>
      </c>
      <c r="D786" s="306">
        <f t="shared" ca="1" si="356"/>
        <v>-0.81644267365266887</v>
      </c>
      <c r="E786" s="307">
        <f t="shared" ca="1" si="357"/>
        <v>-2.4502775807004298</v>
      </c>
      <c r="F786" s="304">
        <f t="shared" ca="1" si="358"/>
        <v>2.5827192766238203</v>
      </c>
      <c r="G786" s="306">
        <f t="shared" ca="1" si="359"/>
        <v>13.446870106022164</v>
      </c>
      <c r="H786" s="307">
        <f t="shared" ca="1" si="360"/>
        <v>-121.21614353669318</v>
      </c>
      <c r="I786" s="304">
        <f t="shared" ca="1" si="361"/>
        <v>121.95971371545785</v>
      </c>
      <c r="J786" s="306">
        <f t="shared" ca="1" si="362"/>
        <v>859.24597237897774</v>
      </c>
      <c r="K786" s="307">
        <f t="shared" ca="1" si="363"/>
        <v>-12.313744833655855</v>
      </c>
      <c r="L786" s="304">
        <f t="shared" ca="1" si="348"/>
        <v>859.33420120540029</v>
      </c>
      <c r="M786" s="306">
        <f t="shared" ca="1" si="364"/>
        <v>-1.4603150508940532</v>
      </c>
      <c r="N786" s="304">
        <f t="shared" ca="1" si="365"/>
        <v>-83.669889175661268</v>
      </c>
      <c r="P786" s="310">
        <f t="shared" ca="1" si="366"/>
        <v>23</v>
      </c>
      <c r="Q786" s="304">
        <f t="shared" ca="1" si="367"/>
        <v>0</v>
      </c>
      <c r="R786" s="306">
        <f t="shared" ca="1" si="368"/>
        <v>0</v>
      </c>
      <c r="S786" s="307">
        <f t="shared" ca="1" si="369"/>
        <v>8.1379999999999981</v>
      </c>
      <c r="T786" s="304">
        <f t="shared" ca="1" si="349"/>
        <v>79.83377999999999</v>
      </c>
      <c r="U786" s="311">
        <f t="shared" ca="1" si="350"/>
        <v>0</v>
      </c>
      <c r="V786" s="306">
        <f t="shared" ca="1" si="351"/>
        <v>1.2265093630376884</v>
      </c>
      <c r="W786" s="304">
        <f t="shared" ca="1" si="352"/>
        <v>60.261133033215756</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2.3453194062195335</v>
      </c>
      <c r="AH786" s="304">
        <f t="shared" ca="1" si="376"/>
        <v>-7.4048695281214671</v>
      </c>
    </row>
    <row r="787" spans="1:34" x14ac:dyDescent="0.2">
      <c r="A787" s="347">
        <f t="shared" ca="1" si="354"/>
        <v>1E-4</v>
      </c>
      <c r="B787" s="304">
        <f t="shared" ca="1" si="355"/>
        <v>34.507800000000437</v>
      </c>
      <c r="D787" s="306">
        <f t="shared" ca="1" si="356"/>
        <v>-0.816440276246295</v>
      </c>
      <c r="E787" s="307">
        <f t="shared" ca="1" si="357"/>
        <v>-2.4502396294222644</v>
      </c>
      <c r="F787" s="304">
        <f t="shared" ca="1" si="358"/>
        <v>2.5826825136412879</v>
      </c>
      <c r="G787" s="306">
        <f t="shared" ca="1" si="359"/>
        <v>13.44678846199454</v>
      </c>
      <c r="H787" s="307">
        <f t="shared" ca="1" si="360"/>
        <v>-121.21638856065613</v>
      </c>
      <c r="I787" s="304">
        <f t="shared" ca="1" si="361"/>
        <v>121.9599482437968</v>
      </c>
      <c r="J787" s="306">
        <f t="shared" ca="1" si="362"/>
        <v>859.24597237897774</v>
      </c>
      <c r="K787" s="307">
        <f t="shared" ca="1" si="363"/>
        <v>-12.325866460260723</v>
      </c>
      <c r="L787" s="304">
        <f t="shared" ca="1" si="348"/>
        <v>859.33437498653052</v>
      </c>
      <c r="M787" s="306">
        <f t="shared" ca="1" si="364"/>
        <v>-1.4603159377571613</v>
      </c>
      <c r="N787" s="304">
        <f t="shared" ca="1" si="365"/>
        <v>-83.669939989174367</v>
      </c>
      <c r="P787" s="310">
        <f t="shared" ca="1" si="366"/>
        <v>23</v>
      </c>
      <c r="Q787" s="304">
        <f t="shared" ca="1" si="367"/>
        <v>0</v>
      </c>
      <c r="R787" s="306">
        <f t="shared" ca="1" si="368"/>
        <v>0</v>
      </c>
      <c r="S787" s="307">
        <f t="shared" ca="1" si="369"/>
        <v>8.1379999999999981</v>
      </c>
      <c r="T787" s="304">
        <f t="shared" ca="1" si="349"/>
        <v>79.83377999999999</v>
      </c>
      <c r="U787" s="311">
        <f t="shared" ca="1" si="350"/>
        <v>0</v>
      </c>
      <c r="V787" s="306">
        <f t="shared" ca="1" si="351"/>
        <v>1.2265108497680064</v>
      </c>
      <c r="W787" s="304">
        <f t="shared" ca="1" si="352"/>
        <v>60.261437844216239</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2.3452829099178292</v>
      </c>
      <c r="AH787" s="304">
        <f t="shared" ca="1" si="376"/>
        <v>-7.404906983683432</v>
      </c>
    </row>
    <row r="788" spans="1:34" x14ac:dyDescent="0.2">
      <c r="A788" s="347">
        <f t="shared" ca="1" si="354"/>
        <v>1E-4</v>
      </c>
      <c r="B788" s="304">
        <f t="shared" ca="1" si="355"/>
        <v>34.50790000000044</v>
      </c>
      <c r="D788" s="306">
        <f t="shared" ca="1" si="356"/>
        <v>-0.81643787880597174</v>
      </c>
      <c r="E788" s="307">
        <f t="shared" ca="1" si="357"/>
        <v>-2.4502016784383134</v>
      </c>
      <c r="F788" s="304">
        <f t="shared" ca="1" si="358"/>
        <v>2.5826457509637519</v>
      </c>
      <c r="G788" s="306">
        <f t="shared" ca="1" si="359"/>
        <v>13.446706818206659</v>
      </c>
      <c r="H788" s="307">
        <f t="shared" ca="1" si="360"/>
        <v>-121.21663358082397</v>
      </c>
      <c r="I788" s="304">
        <f t="shared" ca="1" si="361"/>
        <v>121.96018276848615</v>
      </c>
      <c r="J788" s="306">
        <f t="shared" ca="1" si="362"/>
        <v>859.24597237897774</v>
      </c>
      <c r="K788" s="307">
        <f t="shared" ca="1" si="363"/>
        <v>-12.337988111367798</v>
      </c>
      <c r="L788" s="304">
        <f t="shared" ca="1" si="348"/>
        <v>859.33454893896305</v>
      </c>
      <c r="M788" s="306">
        <f t="shared" ca="1" si="364"/>
        <v>-1.4603168246114739</v>
      </c>
      <c r="N788" s="304">
        <f t="shared" ca="1" si="365"/>
        <v>-83.66999080218352</v>
      </c>
      <c r="P788" s="310">
        <f t="shared" ca="1" si="366"/>
        <v>23</v>
      </c>
      <c r="Q788" s="304">
        <f t="shared" ca="1" si="367"/>
        <v>0</v>
      </c>
      <c r="R788" s="306">
        <f t="shared" ca="1" si="368"/>
        <v>0</v>
      </c>
      <c r="S788" s="307">
        <f t="shared" ca="1" si="369"/>
        <v>8.1379999999999981</v>
      </c>
      <c r="T788" s="304">
        <f t="shared" ca="1" si="349"/>
        <v>79.83377999999999</v>
      </c>
      <c r="U788" s="311">
        <f t="shared" ca="1" si="350"/>
        <v>0</v>
      </c>
      <c r="V788" s="306">
        <f t="shared" ca="1" si="351"/>
        <v>1.2265123365031325</v>
      </c>
      <c r="W788" s="304">
        <f t="shared" ca="1" si="352"/>
        <v>60.261742652853904</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2.3452464138892823</v>
      </c>
      <c r="AH788" s="304">
        <f t="shared" ca="1" si="376"/>
        <v>-7.4049444389550567</v>
      </c>
    </row>
    <row r="789" spans="1:34" x14ac:dyDescent="0.2">
      <c r="A789" s="347">
        <f t="shared" ca="1" si="354"/>
        <v>1E-4</v>
      </c>
      <c r="B789" s="304">
        <f t="shared" ca="1" si="355"/>
        <v>34.508000000000443</v>
      </c>
      <c r="D789" s="306">
        <f t="shared" ca="1" si="356"/>
        <v>-0.81643548133169686</v>
      </c>
      <c r="E789" s="307">
        <f t="shared" ca="1" si="357"/>
        <v>-2.4501637277485804</v>
      </c>
      <c r="F789" s="304">
        <f t="shared" ca="1" si="358"/>
        <v>2.5826089885912151</v>
      </c>
      <c r="G789" s="306">
        <f t="shared" ca="1" si="359"/>
        <v>13.446625174658525</v>
      </c>
      <c r="H789" s="307">
        <f t="shared" ca="1" si="360"/>
        <v>-121.21687859719674</v>
      </c>
      <c r="I789" s="304">
        <f t="shared" ca="1" si="361"/>
        <v>121.96041728952592</v>
      </c>
      <c r="J789" s="306">
        <f t="shared" ca="1" si="362"/>
        <v>859.24597237897774</v>
      </c>
      <c r="K789" s="307">
        <f t="shared" ca="1" si="363"/>
        <v>-12.350109786976699</v>
      </c>
      <c r="L789" s="304">
        <f t="shared" ca="1" si="348"/>
        <v>859.33472306269891</v>
      </c>
      <c r="M789" s="306">
        <f t="shared" ca="1" si="364"/>
        <v>-1.4603177114569914</v>
      </c>
      <c r="N789" s="304">
        <f t="shared" ca="1" si="365"/>
        <v>-83.670041614688756</v>
      </c>
      <c r="P789" s="310">
        <f t="shared" ca="1" si="366"/>
        <v>23</v>
      </c>
      <c r="Q789" s="304">
        <f t="shared" ca="1" si="367"/>
        <v>0</v>
      </c>
      <c r="R789" s="306">
        <f t="shared" ca="1" si="368"/>
        <v>0</v>
      </c>
      <c r="S789" s="307">
        <f t="shared" ca="1" si="369"/>
        <v>8.1379999999999981</v>
      </c>
      <c r="T789" s="304">
        <f t="shared" ca="1" si="349"/>
        <v>79.83377999999999</v>
      </c>
      <c r="U789" s="311">
        <f t="shared" ca="1" si="350"/>
        <v>0</v>
      </c>
      <c r="V789" s="306">
        <f t="shared" ca="1" si="351"/>
        <v>1.2265138232430672</v>
      </c>
      <c r="W789" s="304">
        <f t="shared" ca="1" si="352"/>
        <v>60.262047459128766</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2.3452099181338983</v>
      </c>
      <c r="AH789" s="304">
        <f t="shared" ca="1" si="376"/>
        <v>-7.4049818939363377</v>
      </c>
    </row>
    <row r="790" spans="1:34" x14ac:dyDescent="0.2">
      <c r="A790" s="347">
        <f t="shared" ca="1" si="354"/>
        <v>1E-4</v>
      </c>
      <c r="B790" s="304">
        <f t="shared" ca="1" si="355"/>
        <v>34.508100000000447</v>
      </c>
      <c r="D790" s="306">
        <f t="shared" ca="1" si="356"/>
        <v>-0.81643308382347068</v>
      </c>
      <c r="E790" s="307">
        <f t="shared" ca="1" si="357"/>
        <v>-2.4501257773530645</v>
      </c>
      <c r="F790" s="304">
        <f t="shared" ca="1" si="358"/>
        <v>2.5825722265236766</v>
      </c>
      <c r="G790" s="306">
        <f t="shared" ca="1" si="359"/>
        <v>13.446543531350143</v>
      </c>
      <c r="H790" s="307">
        <f t="shared" ca="1" si="360"/>
        <v>-121.21712360977448</v>
      </c>
      <c r="I790" s="304">
        <f t="shared" ca="1" si="361"/>
        <v>121.96065180691615</v>
      </c>
      <c r="J790" s="306">
        <f t="shared" ca="1" si="362"/>
        <v>859.24597237897774</v>
      </c>
      <c r="K790" s="307">
        <f t="shared" ca="1" si="363"/>
        <v>-12.362231487087048</v>
      </c>
      <c r="L790" s="304">
        <f t="shared" ca="1" si="348"/>
        <v>859.33489735773867</v>
      </c>
      <c r="M790" s="306">
        <f t="shared" ca="1" si="364"/>
        <v>-1.4603185982937135</v>
      </c>
      <c r="N790" s="304">
        <f t="shared" ca="1" si="365"/>
        <v>-83.670092426690047</v>
      </c>
      <c r="P790" s="310">
        <f t="shared" ca="1" si="366"/>
        <v>23</v>
      </c>
      <c r="Q790" s="304">
        <f t="shared" ca="1" si="367"/>
        <v>0</v>
      </c>
      <c r="R790" s="306">
        <f t="shared" ca="1" si="368"/>
        <v>0</v>
      </c>
      <c r="S790" s="307">
        <f t="shared" ca="1" si="369"/>
        <v>8.1379999999999981</v>
      </c>
      <c r="T790" s="304">
        <f t="shared" ca="1" si="349"/>
        <v>79.83377999999999</v>
      </c>
      <c r="U790" s="311">
        <f t="shared" ca="1" si="350"/>
        <v>0</v>
      </c>
      <c r="V790" s="306">
        <f t="shared" ca="1" si="351"/>
        <v>1.2265153099878106</v>
      </c>
      <c r="W790" s="304">
        <f t="shared" ca="1" si="352"/>
        <v>60.262352263040832</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2.3451734226516754</v>
      </c>
      <c r="AH790" s="304">
        <f t="shared" ca="1" si="376"/>
        <v>-7.4050193486272766</v>
      </c>
    </row>
    <row r="791" spans="1:34" x14ac:dyDescent="0.2">
      <c r="A791" s="347">
        <f t="shared" ca="1" si="354"/>
        <v>1E-4</v>
      </c>
      <c r="B791" s="304">
        <f t="shared" ca="1" si="355"/>
        <v>34.50820000000045</v>
      </c>
      <c r="D791" s="306">
        <f t="shared" ca="1" si="356"/>
        <v>-0.81643068628129678</v>
      </c>
      <c r="E791" s="307">
        <f t="shared" ca="1" si="357"/>
        <v>-2.4500878272517648</v>
      </c>
      <c r="F791" s="304">
        <f t="shared" ca="1" si="358"/>
        <v>2.5825354647611372</v>
      </c>
      <c r="G791" s="306">
        <f t="shared" ca="1" si="359"/>
        <v>13.446461888281515</v>
      </c>
      <c r="H791" s="307">
        <f t="shared" ca="1" si="360"/>
        <v>-121.2173686185572</v>
      </c>
      <c r="I791" s="304">
        <f t="shared" ca="1" si="361"/>
        <v>121.96088632065685</v>
      </c>
      <c r="J791" s="306">
        <f t="shared" ca="1" si="362"/>
        <v>859.24597237897774</v>
      </c>
      <c r="K791" s="307">
        <f t="shared" ca="1" si="363"/>
        <v>-12.374353211698464</v>
      </c>
      <c r="L791" s="304">
        <f t="shared" ca="1" si="348"/>
        <v>859.33507182408357</v>
      </c>
      <c r="M791" s="306">
        <f t="shared" ca="1" si="364"/>
        <v>-1.4603194851216406</v>
      </c>
      <c r="N791" s="304">
        <f t="shared" ca="1" si="365"/>
        <v>-83.670143238187421</v>
      </c>
      <c r="P791" s="310">
        <f t="shared" ca="1" si="366"/>
        <v>23</v>
      </c>
      <c r="Q791" s="304">
        <f t="shared" ca="1" si="367"/>
        <v>0</v>
      </c>
      <c r="R791" s="306">
        <f t="shared" ca="1" si="368"/>
        <v>0</v>
      </c>
      <c r="S791" s="307">
        <f t="shared" ca="1" si="369"/>
        <v>8.1379999999999981</v>
      </c>
      <c r="T791" s="304">
        <f t="shared" ca="1" si="349"/>
        <v>79.83377999999999</v>
      </c>
      <c r="U791" s="311">
        <f t="shared" ca="1" si="350"/>
        <v>0</v>
      </c>
      <c r="V791" s="306">
        <f t="shared" ca="1" si="351"/>
        <v>1.2265167967373618</v>
      </c>
      <c r="W791" s="304">
        <f t="shared" ca="1" si="352"/>
        <v>60.262657064590073</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2.3451369274426108</v>
      </c>
      <c r="AH791" s="304">
        <f t="shared" ca="1" si="376"/>
        <v>-7.4050568030278745</v>
      </c>
    </row>
    <row r="792" spans="1:34" x14ac:dyDescent="0.2">
      <c r="A792" s="347">
        <f t="shared" ca="1" si="354"/>
        <v>1E-4</v>
      </c>
      <c r="B792" s="304">
        <f t="shared" ca="1" si="355"/>
        <v>34.508300000000453</v>
      </c>
      <c r="D792" s="306">
        <f t="shared" ca="1" si="356"/>
        <v>-0.81642828870517337</v>
      </c>
      <c r="E792" s="307">
        <f t="shared" ca="1" si="357"/>
        <v>-2.4500498774446839</v>
      </c>
      <c r="F792" s="304">
        <f t="shared" ca="1" si="358"/>
        <v>2.5824987033035987</v>
      </c>
      <c r="G792" s="306">
        <f t="shared" ca="1" si="359"/>
        <v>13.446380245452644</v>
      </c>
      <c r="H792" s="307">
        <f t="shared" ca="1" si="360"/>
        <v>-121.21761362354495</v>
      </c>
      <c r="I792" s="304">
        <f t="shared" ca="1" si="361"/>
        <v>121.96112083074806</v>
      </c>
      <c r="J792" s="306">
        <f t="shared" ca="1" si="362"/>
        <v>859.24597237897774</v>
      </c>
      <c r="K792" s="307">
        <f t="shared" ca="1" si="363"/>
        <v>-12.386474960810569</v>
      </c>
      <c r="L792" s="304">
        <f t="shared" ca="1" si="348"/>
        <v>859.33524646173441</v>
      </c>
      <c r="M792" s="306">
        <f t="shared" ca="1" si="364"/>
        <v>-1.4603203719407725</v>
      </c>
      <c r="N792" s="304">
        <f t="shared" ca="1" si="365"/>
        <v>-83.670194049180864</v>
      </c>
      <c r="P792" s="310">
        <f t="shared" ca="1" si="366"/>
        <v>23</v>
      </c>
      <c r="Q792" s="304">
        <f t="shared" ca="1" si="367"/>
        <v>0</v>
      </c>
      <c r="R792" s="306">
        <f t="shared" ca="1" si="368"/>
        <v>0</v>
      </c>
      <c r="S792" s="307">
        <f t="shared" ca="1" si="369"/>
        <v>8.1379999999999981</v>
      </c>
      <c r="T792" s="304">
        <f t="shared" ca="1" si="349"/>
        <v>79.83377999999999</v>
      </c>
      <c r="U792" s="311">
        <f t="shared" ca="1" si="350"/>
        <v>0</v>
      </c>
      <c r="V792" s="306">
        <f t="shared" ca="1" si="351"/>
        <v>1.2265182834917221</v>
      </c>
      <c r="W792" s="304">
        <f t="shared" ca="1" si="352"/>
        <v>60.262961863776518</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2.34510043250671</v>
      </c>
      <c r="AH792" s="304">
        <f t="shared" ca="1" si="376"/>
        <v>-7.4050942571381277</v>
      </c>
    </row>
    <row r="793" spans="1:34" x14ac:dyDescent="0.2">
      <c r="A793" s="347">
        <f t="shared" ca="1" si="354"/>
        <v>1E-4</v>
      </c>
      <c r="B793" s="304">
        <f t="shared" ca="1" si="355"/>
        <v>34.508400000000456</v>
      </c>
      <c r="D793" s="306">
        <f t="shared" ca="1" si="356"/>
        <v>-0.81642589109510399</v>
      </c>
      <c r="E793" s="307">
        <f t="shared" ca="1" si="357"/>
        <v>-2.4500119279318184</v>
      </c>
      <c r="F793" s="304">
        <f t="shared" ca="1" si="358"/>
        <v>2.5824619421510593</v>
      </c>
      <c r="G793" s="306">
        <f t="shared" ca="1" si="359"/>
        <v>13.446298602863536</v>
      </c>
      <c r="H793" s="307">
        <f t="shared" ca="1" si="360"/>
        <v>-121.21785862473774</v>
      </c>
      <c r="I793" s="304">
        <f t="shared" ca="1" si="361"/>
        <v>121.96135533718981</v>
      </c>
      <c r="J793" s="306">
        <f t="shared" ca="1" si="362"/>
        <v>859.24597237897774</v>
      </c>
      <c r="K793" s="307">
        <f t="shared" ca="1" si="363"/>
        <v>-12.398596734422982</v>
      </c>
      <c r="L793" s="304">
        <f t="shared" ca="1" si="348"/>
        <v>859.33542127069211</v>
      </c>
      <c r="M793" s="306">
        <f t="shared" ca="1" si="364"/>
        <v>-1.4603212587511096</v>
      </c>
      <c r="N793" s="304">
        <f t="shared" ca="1" si="365"/>
        <v>-83.670244859670419</v>
      </c>
      <c r="P793" s="310">
        <f t="shared" ca="1" si="366"/>
        <v>23</v>
      </c>
      <c r="Q793" s="304">
        <f t="shared" ca="1" si="367"/>
        <v>0</v>
      </c>
      <c r="R793" s="306">
        <f t="shared" ca="1" si="368"/>
        <v>0</v>
      </c>
      <c r="S793" s="307">
        <f t="shared" ca="1" si="369"/>
        <v>8.1379999999999981</v>
      </c>
      <c r="T793" s="304">
        <f t="shared" ca="1" si="349"/>
        <v>79.83377999999999</v>
      </c>
      <c r="U793" s="311">
        <f t="shared" ca="1" si="350"/>
        <v>0</v>
      </c>
      <c r="V793" s="306">
        <f t="shared" ca="1" si="351"/>
        <v>1.2265197702508905</v>
      </c>
      <c r="W793" s="304">
        <f t="shared" ca="1" si="352"/>
        <v>60.263266660600138</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2.3450639378439728</v>
      </c>
      <c r="AH793" s="304">
        <f t="shared" ca="1" si="376"/>
        <v>-7.4051317109580399</v>
      </c>
    </row>
    <row r="794" spans="1:34" x14ac:dyDescent="0.2">
      <c r="A794" s="347">
        <f t="shared" ca="1" si="354"/>
        <v>1E-4</v>
      </c>
      <c r="B794" s="304">
        <f t="shared" ca="1" si="355"/>
        <v>34.50850000000046</v>
      </c>
      <c r="D794" s="306">
        <f t="shared" ca="1" si="356"/>
        <v>-0.81642349345108689</v>
      </c>
      <c r="E794" s="307">
        <f t="shared" ca="1" si="357"/>
        <v>-2.4499739787131727</v>
      </c>
      <c r="F794" s="304">
        <f t="shared" ca="1" si="358"/>
        <v>2.5824251813035222</v>
      </c>
      <c r="G794" s="306">
        <f t="shared" ca="1" si="359"/>
        <v>13.446216960514191</v>
      </c>
      <c r="H794" s="307">
        <f t="shared" ca="1" si="360"/>
        <v>-121.21810362213562</v>
      </c>
      <c r="I794" s="304">
        <f t="shared" ca="1" si="361"/>
        <v>121.96158983998211</v>
      </c>
      <c r="J794" s="306">
        <f t="shared" ca="1" si="362"/>
        <v>859.24597237897774</v>
      </c>
      <c r="K794" s="307">
        <f t="shared" ca="1" si="363"/>
        <v>-12.410718532535325</v>
      </c>
      <c r="L794" s="304">
        <f t="shared" ca="1" si="348"/>
        <v>859.33559625095756</v>
      </c>
      <c r="M794" s="306">
        <f t="shared" ca="1" si="364"/>
        <v>-1.4603221455526521</v>
      </c>
      <c r="N794" s="304">
        <f t="shared" ca="1" si="365"/>
        <v>-83.67029566965607</v>
      </c>
      <c r="P794" s="310">
        <f t="shared" ca="1" si="366"/>
        <v>23</v>
      </c>
      <c r="Q794" s="304">
        <f t="shared" ca="1" si="367"/>
        <v>0</v>
      </c>
      <c r="R794" s="306">
        <f t="shared" ca="1" si="368"/>
        <v>0</v>
      </c>
      <c r="S794" s="307">
        <f t="shared" ca="1" si="369"/>
        <v>8.1379999999999981</v>
      </c>
      <c r="T794" s="304">
        <f t="shared" ca="1" si="349"/>
        <v>79.83377999999999</v>
      </c>
      <c r="U794" s="311">
        <f t="shared" ca="1" si="350"/>
        <v>0</v>
      </c>
      <c r="V794" s="306">
        <f t="shared" ca="1" si="351"/>
        <v>1.2265212570148669</v>
      </c>
      <c r="W794" s="304">
        <f t="shared" ca="1" si="352"/>
        <v>60.263571455060905</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2.3450274434543958</v>
      </c>
      <c r="AH794" s="304">
        <f t="shared" ca="1" si="376"/>
        <v>-7.4051691644876074</v>
      </c>
    </row>
    <row r="795" spans="1:34" x14ac:dyDescent="0.2">
      <c r="A795" s="347">
        <f t="shared" ca="1" si="354"/>
        <v>1E-4</v>
      </c>
      <c r="B795" s="304">
        <f t="shared" ca="1" si="355"/>
        <v>34.508600000000463</v>
      </c>
      <c r="D795" s="306">
        <f t="shared" ca="1" si="356"/>
        <v>-0.81642109577312338</v>
      </c>
      <c r="E795" s="307">
        <f t="shared" ca="1" si="357"/>
        <v>-2.4499360297887494</v>
      </c>
      <c r="F795" s="304">
        <f t="shared" ca="1" si="358"/>
        <v>2.5823884207609913</v>
      </c>
      <c r="G795" s="306">
        <f t="shared" ca="1" si="359"/>
        <v>13.446135318404613</v>
      </c>
      <c r="H795" s="307">
        <f t="shared" ca="1" si="360"/>
        <v>-121.21834861573859</v>
      </c>
      <c r="I795" s="304">
        <f t="shared" ca="1" si="361"/>
        <v>121.96182433912499</v>
      </c>
      <c r="J795" s="306">
        <f t="shared" ca="1" si="362"/>
        <v>859.24597237897774</v>
      </c>
      <c r="K795" s="307">
        <f t="shared" ca="1" si="363"/>
        <v>-12.422840355147219</v>
      </c>
      <c r="L795" s="304">
        <f t="shared" ca="1" si="348"/>
        <v>859.3357714025318</v>
      </c>
      <c r="M795" s="306">
        <f t="shared" ca="1" si="364"/>
        <v>-1.4603230323454</v>
      </c>
      <c r="N795" s="304">
        <f t="shared" ca="1" si="365"/>
        <v>-83.67034647913782</v>
      </c>
      <c r="P795" s="310">
        <f t="shared" ca="1" si="366"/>
        <v>23</v>
      </c>
      <c r="Q795" s="304">
        <f t="shared" ca="1" si="367"/>
        <v>0</v>
      </c>
      <c r="R795" s="306">
        <f t="shared" ca="1" si="368"/>
        <v>0</v>
      </c>
      <c r="S795" s="307">
        <f t="shared" ca="1" si="369"/>
        <v>8.1379999999999981</v>
      </c>
      <c r="T795" s="304">
        <f t="shared" ca="1" si="349"/>
        <v>79.83377999999999</v>
      </c>
      <c r="U795" s="311">
        <f t="shared" ca="1" si="350"/>
        <v>0</v>
      </c>
      <c r="V795" s="306">
        <f t="shared" ca="1" si="351"/>
        <v>1.2265227437836519</v>
      </c>
      <c r="W795" s="304">
        <f t="shared" ca="1" si="352"/>
        <v>60.263876247158841</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2.3449909493379897</v>
      </c>
      <c r="AH795" s="304">
        <f t="shared" ca="1" si="376"/>
        <v>-7.4052066177268268</v>
      </c>
    </row>
    <row r="796" spans="1:34" x14ac:dyDescent="0.2">
      <c r="A796" s="347">
        <f t="shared" ca="1" si="354"/>
        <v>1E-4</v>
      </c>
      <c r="B796" s="304">
        <f t="shared" ca="1" si="355"/>
        <v>34.508700000000466</v>
      </c>
      <c r="D796" s="306">
        <f t="shared" ca="1" si="356"/>
        <v>-0.81641869806121403</v>
      </c>
      <c r="E796" s="307">
        <f t="shared" ca="1" si="357"/>
        <v>-2.4498980811585467</v>
      </c>
      <c r="F796" s="304">
        <f t="shared" ca="1" si="358"/>
        <v>2.5823516605234649</v>
      </c>
      <c r="G796" s="306">
        <f t="shared" ca="1" si="359"/>
        <v>13.446053676534806</v>
      </c>
      <c r="H796" s="307">
        <f t="shared" ca="1" si="360"/>
        <v>-121.2185936055467</v>
      </c>
      <c r="I796" s="304">
        <f t="shared" ca="1" si="361"/>
        <v>121.96205883461849</v>
      </c>
      <c r="J796" s="306">
        <f t="shared" ca="1" si="362"/>
        <v>859.24597237897774</v>
      </c>
      <c r="K796" s="307">
        <f t="shared" ca="1" si="363"/>
        <v>-12.434962202258284</v>
      </c>
      <c r="L796" s="304">
        <f t="shared" ca="1" si="348"/>
        <v>859.33594672541574</v>
      </c>
      <c r="M796" s="306">
        <f t="shared" ca="1" si="364"/>
        <v>-1.4603239191293533</v>
      </c>
      <c r="N796" s="304">
        <f t="shared" ca="1" si="365"/>
        <v>-83.670397288115694</v>
      </c>
      <c r="P796" s="310">
        <f t="shared" ca="1" si="366"/>
        <v>23</v>
      </c>
      <c r="Q796" s="304">
        <f t="shared" ca="1" si="367"/>
        <v>0</v>
      </c>
      <c r="R796" s="306">
        <f t="shared" ca="1" si="368"/>
        <v>0</v>
      </c>
      <c r="S796" s="307">
        <f t="shared" ca="1" si="369"/>
        <v>8.1379999999999981</v>
      </c>
      <c r="T796" s="304">
        <f t="shared" ca="1" si="349"/>
        <v>79.83377999999999</v>
      </c>
      <c r="U796" s="311">
        <f t="shared" ca="1" si="350"/>
        <v>0</v>
      </c>
      <c r="V796" s="306">
        <f t="shared" ca="1" si="351"/>
        <v>1.2265242305572455</v>
      </c>
      <c r="W796" s="304">
        <f t="shared" ca="1" si="352"/>
        <v>60.264181036893973</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2.3449544554947481</v>
      </c>
      <c r="AH796" s="304">
        <f t="shared" ca="1" si="376"/>
        <v>-7.4052440706757006</v>
      </c>
    </row>
    <row r="797" spans="1:34" x14ac:dyDescent="0.2">
      <c r="A797" s="347">
        <f t="shared" ca="1" si="354"/>
        <v>1E-4</v>
      </c>
      <c r="B797" s="304">
        <f t="shared" ca="1" si="355"/>
        <v>34.50880000000047</v>
      </c>
      <c r="D797" s="306">
        <f t="shared" ca="1" si="356"/>
        <v>-0.81641630031536105</v>
      </c>
      <c r="E797" s="307">
        <f t="shared" ca="1" si="357"/>
        <v>-2.4498601328225593</v>
      </c>
      <c r="F797" s="304">
        <f t="shared" ca="1" si="358"/>
        <v>2.5823149005909389</v>
      </c>
      <c r="G797" s="306">
        <f t="shared" ca="1" si="359"/>
        <v>13.445972034904775</v>
      </c>
      <c r="H797" s="307">
        <f t="shared" ca="1" si="360"/>
        <v>-121.21883859155999</v>
      </c>
      <c r="I797" s="304">
        <f t="shared" ca="1" si="361"/>
        <v>121.96229332646264</v>
      </c>
      <c r="J797" s="306">
        <f t="shared" ca="1" si="362"/>
        <v>859.24597237897774</v>
      </c>
      <c r="K797" s="307">
        <f t="shared" ca="1" si="363"/>
        <v>-12.447084073868139</v>
      </c>
      <c r="L797" s="304">
        <f t="shared" ca="1" si="348"/>
        <v>859.33612221961027</v>
      </c>
      <c r="M797" s="306">
        <f t="shared" ca="1" si="364"/>
        <v>-1.4603248059045126</v>
      </c>
      <c r="N797" s="304">
        <f t="shared" ca="1" si="365"/>
        <v>-83.670448096589695</v>
      </c>
      <c r="P797" s="310">
        <f t="shared" ca="1" si="366"/>
        <v>23</v>
      </c>
      <c r="Q797" s="304">
        <f t="shared" ca="1" si="367"/>
        <v>0</v>
      </c>
      <c r="R797" s="306">
        <f t="shared" ca="1" si="368"/>
        <v>0</v>
      </c>
      <c r="S797" s="307">
        <f t="shared" ca="1" si="369"/>
        <v>8.1379999999999981</v>
      </c>
      <c r="T797" s="304">
        <f t="shared" ca="1" si="349"/>
        <v>79.83377999999999</v>
      </c>
      <c r="U797" s="311">
        <f t="shared" ca="1" si="350"/>
        <v>0</v>
      </c>
      <c r="V797" s="306">
        <f t="shared" ca="1" si="351"/>
        <v>1.2265257173356465</v>
      </c>
      <c r="W797" s="304">
        <f t="shared" ca="1" si="352"/>
        <v>60.264485824266259</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2.3449179619246703</v>
      </c>
      <c r="AH797" s="304">
        <f t="shared" ca="1" si="376"/>
        <v>-7.4052815233342333</v>
      </c>
    </row>
    <row r="798" spans="1:34" x14ac:dyDescent="0.2">
      <c r="A798" s="347">
        <f t="shared" ca="1" si="354"/>
        <v>1E-4</v>
      </c>
      <c r="B798" s="304">
        <f t="shared" ca="1" si="355"/>
        <v>34.508900000000473</v>
      </c>
      <c r="D798" s="306">
        <f t="shared" ca="1" si="356"/>
        <v>-0.81641390253556201</v>
      </c>
      <c r="E798" s="307">
        <f t="shared" ca="1" si="357"/>
        <v>-2.4498221847807953</v>
      </c>
      <c r="F798" s="304">
        <f t="shared" ca="1" si="358"/>
        <v>2.5822781409634197</v>
      </c>
      <c r="G798" s="306">
        <f t="shared" ca="1" si="359"/>
        <v>13.445890393514523</v>
      </c>
      <c r="H798" s="307">
        <f t="shared" ca="1" si="360"/>
        <v>-121.21908357377846</v>
      </c>
      <c r="I798" s="304">
        <f t="shared" ca="1" si="361"/>
        <v>121.96252781465745</v>
      </c>
      <c r="J798" s="306">
        <f t="shared" ca="1" si="362"/>
        <v>859.24597237897774</v>
      </c>
      <c r="K798" s="307">
        <f t="shared" ca="1" si="363"/>
        <v>-12.459205969976406</v>
      </c>
      <c r="L798" s="304">
        <f t="shared" ca="1" si="348"/>
        <v>859.33629788511621</v>
      </c>
      <c r="M798" s="306">
        <f t="shared" ca="1" si="364"/>
        <v>-1.4603256926708774</v>
      </c>
      <c r="N798" s="304">
        <f t="shared" ca="1" si="365"/>
        <v>-83.670498904559807</v>
      </c>
      <c r="P798" s="310">
        <f t="shared" ca="1" si="366"/>
        <v>23</v>
      </c>
      <c r="Q798" s="304">
        <f t="shared" ca="1" si="367"/>
        <v>0</v>
      </c>
      <c r="R798" s="306">
        <f t="shared" ca="1" si="368"/>
        <v>0</v>
      </c>
      <c r="S798" s="307">
        <f t="shared" ca="1" si="369"/>
        <v>8.1379999999999981</v>
      </c>
      <c r="T798" s="304">
        <f t="shared" ca="1" si="349"/>
        <v>79.83377999999999</v>
      </c>
      <c r="U798" s="311">
        <f t="shared" ca="1" si="350"/>
        <v>0</v>
      </c>
      <c r="V798" s="306">
        <f t="shared" ca="1" si="351"/>
        <v>1.2265272041188557</v>
      </c>
      <c r="W798" s="304">
        <f t="shared" ca="1" si="352"/>
        <v>60.264790609275664</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2.3448814686277597</v>
      </c>
      <c r="AH798" s="304">
        <f t="shared" ca="1" si="376"/>
        <v>-7.4053189757024178</v>
      </c>
    </row>
    <row r="799" spans="1:34" x14ac:dyDescent="0.2">
      <c r="A799" s="347">
        <f t="shared" ca="1" si="354"/>
        <v>1E-4</v>
      </c>
      <c r="B799" s="304">
        <f t="shared" ca="1" si="355"/>
        <v>34.509000000000476</v>
      </c>
      <c r="D799" s="306">
        <f t="shared" ca="1" si="356"/>
        <v>-0.81641150472182167</v>
      </c>
      <c r="E799" s="307">
        <f t="shared" ca="1" si="357"/>
        <v>-2.4497842370332572</v>
      </c>
      <c r="F799" s="304">
        <f t="shared" ca="1" si="358"/>
        <v>2.582241381640912</v>
      </c>
      <c r="G799" s="306">
        <f t="shared" ca="1" si="359"/>
        <v>13.44580875236405</v>
      </c>
      <c r="H799" s="307">
        <f t="shared" ca="1" si="360"/>
        <v>-121.21932855220217</v>
      </c>
      <c r="I799" s="304">
        <f t="shared" ca="1" si="361"/>
        <v>121.96276229920298</v>
      </c>
      <c r="J799" s="306">
        <f t="shared" ca="1" si="362"/>
        <v>859.24597237897774</v>
      </c>
      <c r="K799" s="307">
        <f t="shared" ca="1" si="363"/>
        <v>-12.471327890582705</v>
      </c>
      <c r="L799" s="304">
        <f t="shared" ca="1" si="348"/>
        <v>859.33647372193468</v>
      </c>
      <c r="M799" s="306">
        <f t="shared" ca="1" si="364"/>
        <v>-1.4603265794284483</v>
      </c>
      <c r="N799" s="304">
        <f t="shared" ca="1" si="365"/>
        <v>-83.670549712026073</v>
      </c>
      <c r="P799" s="310">
        <f t="shared" ca="1" si="366"/>
        <v>23</v>
      </c>
      <c r="Q799" s="304">
        <f t="shared" ca="1" si="367"/>
        <v>0</v>
      </c>
      <c r="R799" s="306">
        <f t="shared" ca="1" si="368"/>
        <v>0</v>
      </c>
      <c r="S799" s="307">
        <f t="shared" ca="1" si="369"/>
        <v>8.1379999999999981</v>
      </c>
      <c r="T799" s="304">
        <f t="shared" ca="1" si="349"/>
        <v>79.83377999999999</v>
      </c>
      <c r="U799" s="311">
        <f t="shared" ca="1" si="350"/>
        <v>0</v>
      </c>
      <c r="V799" s="306">
        <f t="shared" ca="1" si="351"/>
        <v>1.2265286909068738</v>
      </c>
      <c r="W799" s="304">
        <f t="shared" ca="1" si="352"/>
        <v>60.265095391922287</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2.3448449756040235</v>
      </c>
      <c r="AH799" s="304">
        <f t="shared" ca="1" si="376"/>
        <v>-7.4053564277802506</v>
      </c>
    </row>
    <row r="800" spans="1:34" x14ac:dyDescent="0.2">
      <c r="A800" s="347">
        <f t="shared" ca="1" si="354"/>
        <v>1E-4</v>
      </c>
      <c r="B800" s="304">
        <f t="shared" ca="1" si="355"/>
        <v>34.50910000000048</v>
      </c>
      <c r="D800" s="306">
        <f t="shared" ca="1" si="356"/>
        <v>-0.81640910687413815</v>
      </c>
      <c r="E800" s="307">
        <f t="shared" ca="1" si="357"/>
        <v>-2.4497462895799327</v>
      </c>
      <c r="F800" s="304">
        <f t="shared" ca="1" si="358"/>
        <v>2.5822046226234039</v>
      </c>
      <c r="G800" s="306">
        <f t="shared" ca="1" si="359"/>
        <v>13.445727111453362</v>
      </c>
      <c r="H800" s="307">
        <f t="shared" ca="1" si="360"/>
        <v>-121.21957352683113</v>
      </c>
      <c r="I800" s="304">
        <f t="shared" ca="1" si="361"/>
        <v>121.9629967800992</v>
      </c>
      <c r="J800" s="306">
        <f t="shared" ca="1" si="362"/>
        <v>859.24597237897774</v>
      </c>
      <c r="K800" s="307">
        <f t="shared" ca="1" si="363"/>
        <v>-12.483449835686656</v>
      </c>
      <c r="L800" s="304">
        <f t="shared" ca="1" si="348"/>
        <v>859.3366497300666</v>
      </c>
      <c r="M800" s="306">
        <f t="shared" ca="1" si="364"/>
        <v>-1.4603274661772252</v>
      </c>
      <c r="N800" s="304">
        <f t="shared" ca="1" si="365"/>
        <v>-83.670600518988479</v>
      </c>
      <c r="P800" s="310">
        <f t="shared" ca="1" si="366"/>
        <v>23</v>
      </c>
      <c r="Q800" s="304">
        <f t="shared" ca="1" si="367"/>
        <v>0</v>
      </c>
      <c r="R800" s="306">
        <f t="shared" ca="1" si="368"/>
        <v>0</v>
      </c>
      <c r="S800" s="307">
        <f t="shared" ca="1" si="369"/>
        <v>8.1379999999999981</v>
      </c>
      <c r="T800" s="304">
        <f t="shared" ca="1" si="349"/>
        <v>79.83377999999999</v>
      </c>
      <c r="U800" s="311">
        <f t="shared" ca="1" si="350"/>
        <v>0</v>
      </c>
      <c r="V800" s="306">
        <f t="shared" ca="1" si="351"/>
        <v>1.2265301776996993</v>
      </c>
      <c r="W800" s="304">
        <f t="shared" ca="1" si="352"/>
        <v>60.265400172206007</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2.344808482853451</v>
      </c>
      <c r="AH800" s="304">
        <f t="shared" ca="1" si="376"/>
        <v>-7.4053938795677441</v>
      </c>
    </row>
    <row r="801" spans="1:34" x14ac:dyDescent="0.2">
      <c r="A801" s="347">
        <f t="shared" ca="1" si="354"/>
        <v>1E-4</v>
      </c>
      <c r="B801" s="304">
        <f t="shared" ca="1" si="355"/>
        <v>34.509200000000483</v>
      </c>
      <c r="D801" s="306">
        <f t="shared" ca="1" si="356"/>
        <v>-0.81640670899251333</v>
      </c>
      <c r="E801" s="307">
        <f t="shared" ca="1" si="357"/>
        <v>-2.4497083424208377</v>
      </c>
      <c r="F801" s="304">
        <f t="shared" ca="1" si="358"/>
        <v>2.5821678639109105</v>
      </c>
      <c r="G801" s="306">
        <f t="shared" ca="1" si="359"/>
        <v>13.445645470782463</v>
      </c>
      <c r="H801" s="307">
        <f t="shared" ca="1" si="360"/>
        <v>-121.21981849766537</v>
      </c>
      <c r="I801" s="304">
        <f t="shared" ca="1" si="361"/>
        <v>121.96323125734619</v>
      </c>
      <c r="J801" s="306">
        <f t="shared" ca="1" si="362"/>
        <v>859.24597237897774</v>
      </c>
      <c r="K801" s="307">
        <f t="shared" ca="1" si="363"/>
        <v>-12.495571805287881</v>
      </c>
      <c r="L801" s="304">
        <f t="shared" ca="1" si="348"/>
        <v>859.33682590951264</v>
      </c>
      <c r="M801" s="306">
        <f t="shared" ca="1" si="364"/>
        <v>-1.4603283529172084</v>
      </c>
      <c r="N801" s="304">
        <f t="shared" ca="1" si="365"/>
        <v>-83.670651325447039</v>
      </c>
      <c r="P801" s="310">
        <f t="shared" ca="1" si="366"/>
        <v>23</v>
      </c>
      <c r="Q801" s="304">
        <f t="shared" ca="1" si="367"/>
        <v>0</v>
      </c>
      <c r="R801" s="306">
        <f t="shared" ca="1" si="368"/>
        <v>0</v>
      </c>
      <c r="S801" s="307">
        <f t="shared" ca="1" si="369"/>
        <v>8.1379999999999981</v>
      </c>
      <c r="T801" s="304">
        <f t="shared" ca="1" si="349"/>
        <v>79.83377999999999</v>
      </c>
      <c r="U801" s="311">
        <f t="shared" ca="1" si="350"/>
        <v>0</v>
      </c>
      <c r="V801" s="306">
        <f t="shared" ca="1" si="351"/>
        <v>1.2265316644973332</v>
      </c>
      <c r="W801" s="304">
        <f t="shared" ca="1" si="352"/>
        <v>60.265704950126889</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2.344771990376052</v>
      </c>
      <c r="AH801" s="304">
        <f t="shared" ca="1" si="376"/>
        <v>-7.4054313310648832</v>
      </c>
    </row>
    <row r="802" spans="1:34" x14ac:dyDescent="0.2">
      <c r="A802" s="347">
        <f t="shared" ca="1" si="354"/>
        <v>1E-4</v>
      </c>
      <c r="B802" s="304">
        <f t="shared" ca="1" si="355"/>
        <v>34.509300000000486</v>
      </c>
      <c r="D802" s="306">
        <f t="shared" ca="1" si="356"/>
        <v>-0.81640431107694666</v>
      </c>
      <c r="E802" s="307">
        <f t="shared" ca="1" si="357"/>
        <v>-2.4496703955559624</v>
      </c>
      <c r="F802" s="304">
        <f t="shared" ca="1" si="358"/>
        <v>2.5821311055034228</v>
      </c>
      <c r="G802" s="306">
        <f t="shared" ca="1" si="359"/>
        <v>13.445563830351356</v>
      </c>
      <c r="H802" s="307">
        <f t="shared" ca="1" si="360"/>
        <v>-121.22006346470492</v>
      </c>
      <c r="I802" s="304">
        <f t="shared" ca="1" si="361"/>
        <v>121.96346573094397</v>
      </c>
      <c r="J802" s="306">
        <f t="shared" ca="1" si="362"/>
        <v>859.24597237897774</v>
      </c>
      <c r="K802" s="307">
        <f t="shared" ca="1" si="363"/>
        <v>-12.507693799385999</v>
      </c>
      <c r="L802" s="304">
        <f t="shared" ca="1" si="348"/>
        <v>859.33700226027406</v>
      </c>
      <c r="M802" s="306">
        <f t="shared" ca="1" si="364"/>
        <v>-1.4603292396483978</v>
      </c>
      <c r="N802" s="304">
        <f t="shared" ca="1" si="365"/>
        <v>-83.670702131401754</v>
      </c>
      <c r="P802" s="310">
        <f t="shared" ca="1" si="366"/>
        <v>23</v>
      </c>
      <c r="Q802" s="304">
        <f t="shared" ca="1" si="367"/>
        <v>0</v>
      </c>
      <c r="R802" s="306">
        <f t="shared" ca="1" si="368"/>
        <v>0</v>
      </c>
      <c r="S802" s="307">
        <f t="shared" ca="1" si="369"/>
        <v>8.1379999999999981</v>
      </c>
      <c r="T802" s="304">
        <f t="shared" ca="1" si="349"/>
        <v>79.83377999999999</v>
      </c>
      <c r="U802" s="311">
        <f t="shared" ca="1" si="350"/>
        <v>0</v>
      </c>
      <c r="V802" s="306">
        <f t="shared" ca="1" si="351"/>
        <v>1.2265331512997755</v>
      </c>
      <c r="W802" s="304">
        <f t="shared" ca="1" si="352"/>
        <v>60.266009725684931</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2.3447354981718229</v>
      </c>
      <c r="AH802" s="304">
        <f t="shared" ca="1" si="376"/>
        <v>-7.4054687822716767</v>
      </c>
    </row>
    <row r="803" spans="1:34" x14ac:dyDescent="0.2">
      <c r="A803" s="347">
        <f t="shared" ca="1" si="354"/>
        <v>1E-4</v>
      </c>
      <c r="B803" s="304">
        <f t="shared" ca="1" si="355"/>
        <v>34.50940000000049</v>
      </c>
      <c r="D803" s="306">
        <f t="shared" ca="1" si="356"/>
        <v>-0.81640191312744126</v>
      </c>
      <c r="E803" s="307">
        <f t="shared" ca="1" si="357"/>
        <v>-2.4496324489853096</v>
      </c>
      <c r="F803" s="304">
        <f t="shared" ca="1" si="358"/>
        <v>2.582094347400945</v>
      </c>
      <c r="G803" s="306">
        <f t="shared" ca="1" si="359"/>
        <v>13.445482190160043</v>
      </c>
      <c r="H803" s="307">
        <f t="shared" ca="1" si="360"/>
        <v>-121.22030842794982</v>
      </c>
      <c r="I803" s="304">
        <f t="shared" ca="1" si="361"/>
        <v>121.96370020089253</v>
      </c>
      <c r="J803" s="306">
        <f t="shared" ca="1" si="362"/>
        <v>859.24597237897774</v>
      </c>
      <c r="K803" s="307">
        <f t="shared" ca="1" si="363"/>
        <v>-12.519815817980632</v>
      </c>
      <c r="L803" s="304">
        <f t="shared" ca="1" si="348"/>
        <v>859.33717878235143</v>
      </c>
      <c r="M803" s="306">
        <f t="shared" ca="1" si="364"/>
        <v>-1.4603301263707937</v>
      </c>
      <c r="N803" s="304">
        <f t="shared" ca="1" si="365"/>
        <v>-83.670752936852637</v>
      </c>
      <c r="P803" s="310">
        <f t="shared" ca="1" si="366"/>
        <v>23</v>
      </c>
      <c r="Q803" s="304">
        <f t="shared" ca="1" si="367"/>
        <v>0</v>
      </c>
      <c r="R803" s="306">
        <f t="shared" ca="1" si="368"/>
        <v>0</v>
      </c>
      <c r="S803" s="307">
        <f t="shared" ca="1" si="369"/>
        <v>8.1379999999999981</v>
      </c>
      <c r="T803" s="304">
        <f t="shared" ca="1" si="349"/>
        <v>79.83377999999999</v>
      </c>
      <c r="U803" s="311">
        <f t="shared" ca="1" si="350"/>
        <v>0</v>
      </c>
      <c r="V803" s="306">
        <f t="shared" ca="1" si="351"/>
        <v>1.2265346381070252</v>
      </c>
      <c r="W803" s="304">
        <f t="shared" ca="1" si="352"/>
        <v>60.266314498880078</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2.3446990062407655</v>
      </c>
      <c r="AH803" s="304">
        <f t="shared" ca="1" si="376"/>
        <v>-7.405506233188123</v>
      </c>
    </row>
    <row r="804" spans="1:34" x14ac:dyDescent="0.2">
      <c r="A804" s="347">
        <f t="shared" ca="1" si="354"/>
        <v>1E-4</v>
      </c>
      <c r="B804" s="304">
        <f t="shared" ca="1" si="355"/>
        <v>34.509500000000493</v>
      </c>
      <c r="D804" s="306">
        <f t="shared" ca="1" si="356"/>
        <v>-0.816399515143995</v>
      </c>
      <c r="E804" s="307">
        <f t="shared" ca="1" si="357"/>
        <v>-2.4495945027088837</v>
      </c>
      <c r="F804" s="304">
        <f t="shared" ca="1" si="358"/>
        <v>2.5820575896034801</v>
      </c>
      <c r="G804" s="306">
        <f t="shared" ca="1" si="359"/>
        <v>13.445400550208529</v>
      </c>
      <c r="H804" s="307">
        <f t="shared" ca="1" si="360"/>
        <v>-121.22055338740009</v>
      </c>
      <c r="I804" s="304">
        <f t="shared" ca="1" si="361"/>
        <v>121.96393466719194</v>
      </c>
      <c r="J804" s="306">
        <f t="shared" ca="1" si="362"/>
        <v>859.24597237897774</v>
      </c>
      <c r="K804" s="307">
        <f t="shared" ca="1" si="363"/>
        <v>-12.5319378610714</v>
      </c>
      <c r="L804" s="304">
        <f t="shared" ca="1" si="348"/>
        <v>859.33735547574599</v>
      </c>
      <c r="M804" s="306">
        <f t="shared" ca="1" si="364"/>
        <v>-1.4603310130843963</v>
      </c>
      <c r="N804" s="304">
        <f t="shared" ca="1" si="365"/>
        <v>-83.670803741799702</v>
      </c>
      <c r="P804" s="310">
        <f t="shared" ca="1" si="366"/>
        <v>23</v>
      </c>
      <c r="Q804" s="304">
        <f t="shared" ca="1" si="367"/>
        <v>0</v>
      </c>
      <c r="R804" s="306">
        <f t="shared" ca="1" si="368"/>
        <v>0</v>
      </c>
      <c r="S804" s="307">
        <f t="shared" ca="1" si="369"/>
        <v>8.1379999999999981</v>
      </c>
      <c r="T804" s="304">
        <f t="shared" ca="1" si="349"/>
        <v>79.83377999999999</v>
      </c>
      <c r="U804" s="311">
        <f t="shared" ca="1" si="350"/>
        <v>0</v>
      </c>
      <c r="V804" s="306">
        <f t="shared" ca="1" si="351"/>
        <v>1.2265361249190831</v>
      </c>
      <c r="W804" s="304">
        <f t="shared" ca="1" si="352"/>
        <v>60.266619269712372</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2.3446625145828817</v>
      </c>
      <c r="AH804" s="304">
        <f t="shared" ca="1" si="376"/>
        <v>-7.4055436838142166</v>
      </c>
    </row>
    <row r="805" spans="1:34" x14ac:dyDescent="0.2">
      <c r="A805" s="347">
        <f t="shared" ca="1" si="354"/>
        <v>1E-4</v>
      </c>
      <c r="B805" s="304">
        <f t="shared" ca="1" si="355"/>
        <v>34.509600000000496</v>
      </c>
      <c r="D805" s="306">
        <f t="shared" ca="1" si="356"/>
        <v>-0.81639711712661023</v>
      </c>
      <c r="E805" s="307">
        <f t="shared" ca="1" si="357"/>
        <v>-2.4495565567266819</v>
      </c>
      <c r="F805" s="304">
        <f t="shared" ca="1" si="358"/>
        <v>2.5820208321110267</v>
      </c>
      <c r="G805" s="306">
        <f t="shared" ca="1" si="359"/>
        <v>13.445318910496816</v>
      </c>
      <c r="H805" s="307">
        <f t="shared" ca="1" si="360"/>
        <v>-121.22079834305576</v>
      </c>
      <c r="I805" s="304">
        <f t="shared" ca="1" si="361"/>
        <v>121.9641691298422</v>
      </c>
      <c r="J805" s="306">
        <f t="shared" ca="1" si="362"/>
        <v>859.24597237897774</v>
      </c>
      <c r="K805" s="307">
        <f t="shared" ca="1" si="363"/>
        <v>-12.544059928657923</v>
      </c>
      <c r="L805" s="304">
        <f t="shared" ca="1" si="348"/>
        <v>859.33753234045867</v>
      </c>
      <c r="M805" s="306">
        <f t="shared" ca="1" si="364"/>
        <v>-1.4603318997892054</v>
      </c>
      <c r="N805" s="304">
        <f t="shared" ca="1" si="365"/>
        <v>-83.67085454624295</v>
      </c>
      <c r="P805" s="310">
        <f t="shared" ca="1" si="366"/>
        <v>23</v>
      </c>
      <c r="Q805" s="304">
        <f t="shared" ca="1" si="367"/>
        <v>0</v>
      </c>
      <c r="R805" s="306">
        <f t="shared" ca="1" si="368"/>
        <v>0</v>
      </c>
      <c r="S805" s="307">
        <f t="shared" ca="1" si="369"/>
        <v>8.1379999999999981</v>
      </c>
      <c r="T805" s="304">
        <f t="shared" ca="1" si="349"/>
        <v>79.83377999999999</v>
      </c>
      <c r="U805" s="311">
        <f t="shared" ca="1" si="350"/>
        <v>0</v>
      </c>
      <c r="V805" s="306">
        <f t="shared" ca="1" si="351"/>
        <v>1.226537611735949</v>
      </c>
      <c r="W805" s="304">
        <f t="shared" ca="1" si="352"/>
        <v>60.266924038181777</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2.344626023198173</v>
      </c>
      <c r="AH805" s="304">
        <f t="shared" ca="1" si="376"/>
        <v>-7.4055811341499611</v>
      </c>
    </row>
    <row r="806" spans="1:34" x14ac:dyDescent="0.2">
      <c r="A806" s="347">
        <f t="shared" ca="1" si="354"/>
        <v>1E-4</v>
      </c>
      <c r="B806" s="304">
        <f t="shared" ca="1" si="355"/>
        <v>34.5097000000005</v>
      </c>
      <c r="D806" s="306">
        <f t="shared" ca="1" si="356"/>
        <v>-0.81639471907528827</v>
      </c>
      <c r="E806" s="307">
        <f t="shared" ca="1" si="357"/>
        <v>-2.4495186110387062</v>
      </c>
      <c r="F806" s="304">
        <f t="shared" ca="1" si="358"/>
        <v>2.5819840749235867</v>
      </c>
      <c r="G806" s="306">
        <f t="shared" ca="1" si="359"/>
        <v>13.445237271024908</v>
      </c>
      <c r="H806" s="307">
        <f t="shared" ca="1" si="360"/>
        <v>-121.22104329491687</v>
      </c>
      <c r="I806" s="304">
        <f t="shared" ca="1" si="361"/>
        <v>121.96440358884337</v>
      </c>
      <c r="J806" s="306">
        <f t="shared" ca="1" si="362"/>
        <v>859.24597237897774</v>
      </c>
      <c r="K806" s="307">
        <f t="shared" ca="1" si="363"/>
        <v>-12.556182020739822</v>
      </c>
      <c r="L806" s="304">
        <f t="shared" ca="1" si="348"/>
        <v>859.33770937649012</v>
      </c>
      <c r="M806" s="306">
        <f t="shared" ca="1" si="364"/>
        <v>-1.4603327864852216</v>
      </c>
      <c r="N806" s="304">
        <f t="shared" ca="1" si="365"/>
        <v>-83.67090535018238</v>
      </c>
      <c r="P806" s="310">
        <f t="shared" ca="1" si="366"/>
        <v>23</v>
      </c>
      <c r="Q806" s="304">
        <f t="shared" ca="1" si="367"/>
        <v>0</v>
      </c>
      <c r="R806" s="306">
        <f t="shared" ca="1" si="368"/>
        <v>0</v>
      </c>
      <c r="S806" s="307">
        <f t="shared" ca="1" si="369"/>
        <v>8.1379999999999981</v>
      </c>
      <c r="T806" s="304">
        <f t="shared" ca="1" si="349"/>
        <v>79.83377999999999</v>
      </c>
      <c r="U806" s="311">
        <f t="shared" ca="1" si="350"/>
        <v>0</v>
      </c>
      <c r="V806" s="306">
        <f t="shared" ca="1" si="351"/>
        <v>1.2265390985576226</v>
      </c>
      <c r="W806" s="304">
        <f t="shared" ca="1" si="352"/>
        <v>60.267228804288322</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2.3445895320866388</v>
      </c>
      <c r="AH806" s="304">
        <f t="shared" ca="1" si="376"/>
        <v>-7.4056185841953539</v>
      </c>
    </row>
    <row r="807" spans="1:34" x14ac:dyDescent="0.2">
      <c r="A807" s="347">
        <f t="shared" ca="1" si="354"/>
        <v>1E-4</v>
      </c>
      <c r="B807" s="304">
        <f t="shared" ca="1" si="355"/>
        <v>34.509800000000503</v>
      </c>
      <c r="D807" s="306">
        <f t="shared" ca="1" si="356"/>
        <v>-0.8163923209900279</v>
      </c>
      <c r="E807" s="307">
        <f t="shared" ca="1" si="357"/>
        <v>-2.4494806656449546</v>
      </c>
      <c r="F807" s="304">
        <f t="shared" ca="1" si="358"/>
        <v>2.5819473180411592</v>
      </c>
      <c r="G807" s="306">
        <f t="shared" ca="1" si="359"/>
        <v>13.44515563179281</v>
      </c>
      <c r="H807" s="307">
        <f t="shared" ca="1" si="360"/>
        <v>-121.22128824298343</v>
      </c>
      <c r="I807" s="304">
        <f t="shared" ca="1" si="361"/>
        <v>121.96463804419542</v>
      </c>
      <c r="J807" s="306">
        <f t="shared" ca="1" si="362"/>
        <v>859.24597237897774</v>
      </c>
      <c r="K807" s="307">
        <f t="shared" ca="1" si="363"/>
        <v>-12.568304137316717</v>
      </c>
      <c r="L807" s="304">
        <f t="shared" ca="1" si="348"/>
        <v>859.3378865838414</v>
      </c>
      <c r="M807" s="306">
        <f t="shared" ca="1" si="364"/>
        <v>-1.4603336731724446</v>
      </c>
      <c r="N807" s="304">
        <f t="shared" ca="1" si="365"/>
        <v>-83.670956153618008</v>
      </c>
      <c r="P807" s="310">
        <f t="shared" ca="1" si="366"/>
        <v>23</v>
      </c>
      <c r="Q807" s="304">
        <f t="shared" ca="1" si="367"/>
        <v>0</v>
      </c>
      <c r="R807" s="306">
        <f t="shared" ca="1" si="368"/>
        <v>0</v>
      </c>
      <c r="S807" s="307">
        <f t="shared" ca="1" si="369"/>
        <v>8.1379999999999981</v>
      </c>
      <c r="T807" s="304">
        <f t="shared" ca="1" si="349"/>
        <v>79.83377999999999</v>
      </c>
      <c r="U807" s="311">
        <f t="shared" ca="1" si="350"/>
        <v>0</v>
      </c>
      <c r="V807" s="306">
        <f t="shared" ca="1" si="351"/>
        <v>1.226540585384104</v>
      </c>
      <c r="W807" s="304">
        <f t="shared" ca="1" si="352"/>
        <v>60.267533568031972</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2.3445530412482798</v>
      </c>
      <c r="AH807" s="304">
        <f t="shared" ca="1" si="376"/>
        <v>-7.4056560339503976</v>
      </c>
    </row>
    <row r="808" spans="1:34" x14ac:dyDescent="0.2">
      <c r="A808" s="347">
        <f t="shared" ca="1" si="354"/>
        <v>1E-4</v>
      </c>
      <c r="B808" s="304">
        <f t="shared" ca="1" si="355"/>
        <v>34.509900000000506</v>
      </c>
      <c r="D808" s="306">
        <f t="shared" ca="1" si="356"/>
        <v>-0.81638992287083212</v>
      </c>
      <c r="E808" s="307">
        <f t="shared" ca="1" si="357"/>
        <v>-2.4494427205454308</v>
      </c>
      <c r="F808" s="304">
        <f t="shared" ca="1" si="358"/>
        <v>2.5819105614637476</v>
      </c>
      <c r="G808" s="306">
        <f t="shared" ca="1" si="359"/>
        <v>13.445073992800523</v>
      </c>
      <c r="H808" s="307">
        <f t="shared" ca="1" si="360"/>
        <v>-121.22153318725549</v>
      </c>
      <c r="I808" s="304">
        <f t="shared" ca="1" si="361"/>
        <v>121.96487249589845</v>
      </c>
      <c r="J808" s="306">
        <f t="shared" ca="1" si="362"/>
        <v>859.24597237897774</v>
      </c>
      <c r="K808" s="307">
        <f t="shared" ca="1" si="363"/>
        <v>-12.580426278388229</v>
      </c>
      <c r="L808" s="304">
        <f t="shared" ca="1" si="348"/>
        <v>859.3380639625135</v>
      </c>
      <c r="M808" s="306">
        <f t="shared" ca="1" si="364"/>
        <v>-1.4603345598508748</v>
      </c>
      <c r="N808" s="304">
        <f t="shared" ca="1" si="365"/>
        <v>-83.671006956549846</v>
      </c>
      <c r="P808" s="310">
        <f t="shared" ca="1" si="366"/>
        <v>23</v>
      </c>
      <c r="Q808" s="304">
        <f t="shared" ca="1" si="367"/>
        <v>0</v>
      </c>
      <c r="R808" s="306">
        <f t="shared" ca="1" si="368"/>
        <v>0</v>
      </c>
      <c r="S808" s="307">
        <f t="shared" ca="1" si="369"/>
        <v>8.1379999999999981</v>
      </c>
      <c r="T808" s="304">
        <f t="shared" ca="1" si="349"/>
        <v>79.83377999999999</v>
      </c>
      <c r="U808" s="311">
        <f t="shared" ca="1" si="350"/>
        <v>0</v>
      </c>
      <c r="V808" s="306">
        <f t="shared" ca="1" si="351"/>
        <v>1.2265420722153939</v>
      </c>
      <c r="W808" s="304">
        <f t="shared" ca="1" si="352"/>
        <v>60.267838329412761</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2.3445165506830969</v>
      </c>
      <c r="AH808" s="304">
        <f t="shared" ca="1" si="376"/>
        <v>-7.4056934834150878</v>
      </c>
    </row>
    <row r="809" spans="1:34" x14ac:dyDescent="0.2">
      <c r="A809" s="347">
        <f t="shared" ca="1" si="354"/>
        <v>1E-4</v>
      </c>
      <c r="B809" s="304">
        <f t="shared" ca="1" si="355"/>
        <v>34.51000000000051</v>
      </c>
      <c r="D809" s="306">
        <f t="shared" ca="1" si="356"/>
        <v>-0.81638752471769993</v>
      </c>
      <c r="E809" s="307">
        <f t="shared" ca="1" si="357"/>
        <v>-2.4494047757401312</v>
      </c>
      <c r="F809" s="304">
        <f t="shared" ca="1" si="358"/>
        <v>2.581873805191349</v>
      </c>
      <c r="G809" s="306">
        <f t="shared" ca="1" si="359"/>
        <v>13.444992354048052</v>
      </c>
      <c r="H809" s="307">
        <f t="shared" ca="1" si="360"/>
        <v>-121.22177812773306</v>
      </c>
      <c r="I809" s="304">
        <f t="shared" ca="1" si="361"/>
        <v>121.96510694395242</v>
      </c>
      <c r="J809" s="306">
        <f t="shared" ca="1" si="362"/>
        <v>859.24597237897774</v>
      </c>
      <c r="K809" s="307">
        <f t="shared" ca="1" si="363"/>
        <v>-12.592548443953978</v>
      </c>
      <c r="L809" s="304">
        <f t="shared" ca="1" si="348"/>
        <v>859.33824151250724</v>
      </c>
      <c r="M809" s="306">
        <f t="shared" ca="1" si="364"/>
        <v>-1.4603354465205121</v>
      </c>
      <c r="N809" s="304">
        <f t="shared" ca="1" si="365"/>
        <v>-83.671057758977881</v>
      </c>
      <c r="P809" s="310">
        <f t="shared" ca="1" si="366"/>
        <v>23</v>
      </c>
      <c r="Q809" s="304">
        <f t="shared" ca="1" si="367"/>
        <v>0</v>
      </c>
      <c r="R809" s="306">
        <f t="shared" ca="1" si="368"/>
        <v>0</v>
      </c>
      <c r="S809" s="307">
        <f t="shared" ca="1" si="369"/>
        <v>8.1379999999999981</v>
      </c>
      <c r="T809" s="304">
        <f t="shared" ca="1" si="349"/>
        <v>79.83377999999999</v>
      </c>
      <c r="U809" s="311">
        <f t="shared" ca="1" si="350"/>
        <v>0</v>
      </c>
      <c r="V809" s="306">
        <f t="shared" ca="1" si="351"/>
        <v>1.226543559051491</v>
      </c>
      <c r="W809" s="304">
        <f t="shared" ca="1" si="352"/>
        <v>60.268143088430648</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2.3444800603910911</v>
      </c>
      <c r="AH809" s="304">
        <f t="shared" ca="1" si="376"/>
        <v>-7.4057309325894289</v>
      </c>
    </row>
    <row r="810" spans="1:34" x14ac:dyDescent="0.2">
      <c r="A810" s="347">
        <f t="shared" ca="1" si="354"/>
        <v>1E-4</v>
      </c>
      <c r="B810" s="304">
        <f t="shared" ca="1" si="355"/>
        <v>34.510100000000513</v>
      </c>
      <c r="D810" s="306">
        <f t="shared" ca="1" si="356"/>
        <v>-0.81638512653063411</v>
      </c>
      <c r="E810" s="307">
        <f t="shared" ca="1" si="357"/>
        <v>-2.4493668312290593</v>
      </c>
      <c r="F810" s="304">
        <f t="shared" ca="1" si="358"/>
        <v>2.5818370492239673</v>
      </c>
      <c r="G810" s="306">
        <f t="shared" ca="1" si="359"/>
        <v>13.4449107155354</v>
      </c>
      <c r="H810" s="307">
        <f t="shared" ca="1" si="360"/>
        <v>-121.22202306441618</v>
      </c>
      <c r="I810" s="304">
        <f t="shared" ca="1" si="361"/>
        <v>121.9653413883574</v>
      </c>
      <c r="J810" s="306">
        <f t="shared" ca="1" si="362"/>
        <v>859.24597237897774</v>
      </c>
      <c r="K810" s="307">
        <f t="shared" ca="1" si="363"/>
        <v>-12.604670634013585</v>
      </c>
      <c r="L810" s="304">
        <f t="shared" ca="1" si="348"/>
        <v>859.33841923382374</v>
      </c>
      <c r="M810" s="306">
        <f t="shared" ca="1" si="364"/>
        <v>-1.4603363331813568</v>
      </c>
      <c r="N810" s="304">
        <f t="shared" ca="1" si="365"/>
        <v>-83.671108560902141</v>
      </c>
      <c r="P810" s="310">
        <f t="shared" ca="1" si="366"/>
        <v>23</v>
      </c>
      <c r="Q810" s="304">
        <f t="shared" ca="1" si="367"/>
        <v>0</v>
      </c>
      <c r="R810" s="306">
        <f t="shared" ca="1" si="368"/>
        <v>0</v>
      </c>
      <c r="S810" s="307">
        <f t="shared" ca="1" si="369"/>
        <v>8.1379999999999981</v>
      </c>
      <c r="T810" s="304">
        <f t="shared" ca="1" si="349"/>
        <v>79.83377999999999</v>
      </c>
      <c r="U810" s="311">
        <f t="shared" ca="1" si="350"/>
        <v>0</v>
      </c>
      <c r="V810" s="306">
        <f t="shared" ca="1" si="351"/>
        <v>1.2265450458923961</v>
      </c>
      <c r="W810" s="304">
        <f t="shared" ca="1" si="352"/>
        <v>60.268447845085632</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2.3444435703722633</v>
      </c>
      <c r="AH810" s="304">
        <f t="shared" ca="1" si="376"/>
        <v>-7.4057683814734165</v>
      </c>
    </row>
    <row r="811" spans="1:34" x14ac:dyDescent="0.2">
      <c r="A811" s="347">
        <f t="shared" ca="1" si="354"/>
        <v>1E-4</v>
      </c>
      <c r="B811" s="304">
        <f t="shared" ca="1" si="355"/>
        <v>34.510200000000516</v>
      </c>
      <c r="D811" s="306">
        <f t="shared" ca="1" si="356"/>
        <v>-0.81638272830963299</v>
      </c>
      <c r="E811" s="307">
        <f t="shared" ca="1" si="357"/>
        <v>-2.449328887012217</v>
      </c>
      <c r="F811" s="304">
        <f t="shared" ca="1" si="358"/>
        <v>2.5818002935616042</v>
      </c>
      <c r="G811" s="306">
        <f t="shared" ca="1" si="359"/>
        <v>13.444829077262568</v>
      </c>
      <c r="H811" s="307">
        <f t="shared" ca="1" si="360"/>
        <v>-121.22226799730488</v>
      </c>
      <c r="I811" s="304">
        <f t="shared" ca="1" si="361"/>
        <v>121.9655758291134</v>
      </c>
      <c r="J811" s="306">
        <f t="shared" ca="1" si="362"/>
        <v>859.24597237897774</v>
      </c>
      <c r="K811" s="307">
        <f t="shared" ca="1" si="363"/>
        <v>-12.616792848566671</v>
      </c>
      <c r="L811" s="304">
        <f t="shared" ca="1" si="348"/>
        <v>859.3385971264637</v>
      </c>
      <c r="M811" s="306">
        <f t="shared" ca="1" si="364"/>
        <v>-1.460337219833409</v>
      </c>
      <c r="N811" s="304">
        <f t="shared" ca="1" si="365"/>
        <v>-83.671159362322626</v>
      </c>
      <c r="P811" s="310">
        <f t="shared" ca="1" si="366"/>
        <v>23</v>
      </c>
      <c r="Q811" s="304">
        <f t="shared" ca="1" si="367"/>
        <v>0</v>
      </c>
      <c r="R811" s="306">
        <f t="shared" ca="1" si="368"/>
        <v>0</v>
      </c>
      <c r="S811" s="307">
        <f t="shared" ca="1" si="369"/>
        <v>8.1379999999999981</v>
      </c>
      <c r="T811" s="304">
        <f t="shared" ca="1" si="349"/>
        <v>79.83377999999999</v>
      </c>
      <c r="U811" s="311">
        <f t="shared" ca="1" si="350"/>
        <v>0</v>
      </c>
      <c r="V811" s="306">
        <f t="shared" ca="1" si="351"/>
        <v>1.2265465327381089</v>
      </c>
      <c r="W811" s="304">
        <f t="shared" ca="1" si="352"/>
        <v>60.268752599377741</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2.3444070806266168</v>
      </c>
      <c r="AH811" s="304">
        <f t="shared" ca="1" si="376"/>
        <v>-7.4058058300670488</v>
      </c>
    </row>
    <row r="812" spans="1:34" x14ac:dyDescent="0.2">
      <c r="A812" s="347">
        <f t="shared" ca="1" si="354"/>
        <v>1E-4</v>
      </c>
      <c r="B812" s="304">
        <f t="shared" ca="1" si="355"/>
        <v>34.51030000000052</v>
      </c>
      <c r="D812" s="306">
        <f t="shared" ca="1" si="356"/>
        <v>-0.81638033005469901</v>
      </c>
      <c r="E812" s="307">
        <f t="shared" ca="1" si="357"/>
        <v>-2.4492909430896006</v>
      </c>
      <c r="F812" s="304">
        <f t="shared" ca="1" si="358"/>
        <v>2.5817635382042572</v>
      </c>
      <c r="G812" s="306">
        <f t="shared" ca="1" si="359"/>
        <v>13.444747439229563</v>
      </c>
      <c r="H812" s="307">
        <f t="shared" ca="1" si="360"/>
        <v>-121.22251292639919</v>
      </c>
      <c r="I812" s="304">
        <f t="shared" ca="1" si="361"/>
        <v>121.96581026622046</v>
      </c>
      <c r="J812" s="306">
        <f t="shared" ca="1" si="362"/>
        <v>859.24597237897774</v>
      </c>
      <c r="K812" s="307">
        <f t="shared" ca="1" si="363"/>
        <v>-12.628915087612857</v>
      </c>
      <c r="L812" s="304">
        <f t="shared" ca="1" si="348"/>
        <v>859.33877519042812</v>
      </c>
      <c r="M812" s="306">
        <f t="shared" ca="1" si="364"/>
        <v>-1.460338106476669</v>
      </c>
      <c r="N812" s="304">
        <f t="shared" ca="1" si="365"/>
        <v>-83.671210163239365</v>
      </c>
      <c r="P812" s="310">
        <f t="shared" ca="1" si="366"/>
        <v>23</v>
      </c>
      <c r="Q812" s="304">
        <f t="shared" ca="1" si="367"/>
        <v>0</v>
      </c>
      <c r="R812" s="306">
        <f t="shared" ca="1" si="368"/>
        <v>0</v>
      </c>
      <c r="S812" s="307">
        <f t="shared" ca="1" si="369"/>
        <v>8.1379999999999981</v>
      </c>
      <c r="T812" s="304">
        <f t="shared" ca="1" si="349"/>
        <v>79.83377999999999</v>
      </c>
      <c r="U812" s="311">
        <f t="shared" ca="1" si="350"/>
        <v>0</v>
      </c>
      <c r="V812" s="306">
        <f t="shared" ca="1" si="351"/>
        <v>1.2265480195886298</v>
      </c>
      <c r="W812" s="304">
        <f t="shared" ca="1" si="352"/>
        <v>60.269057351306948</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2.3443705911541466</v>
      </c>
      <c r="AH812" s="304">
        <f t="shared" ca="1" si="376"/>
        <v>-7.4058432783703312</v>
      </c>
    </row>
    <row r="813" spans="1:34" x14ac:dyDescent="0.2">
      <c r="A813" s="347">
        <f t="shared" ca="1" si="354"/>
        <v>1E-4</v>
      </c>
      <c r="B813" s="304">
        <f t="shared" ca="1" si="355"/>
        <v>34.510400000000523</v>
      </c>
      <c r="D813" s="306">
        <f t="shared" ca="1" si="356"/>
        <v>-0.81637793176583173</v>
      </c>
      <c r="E813" s="307">
        <f t="shared" ca="1" si="357"/>
        <v>-2.449252999461212</v>
      </c>
      <c r="F813" s="304">
        <f t="shared" ca="1" si="358"/>
        <v>2.5817267831519275</v>
      </c>
      <c r="G813" s="306">
        <f t="shared" ca="1" si="359"/>
        <v>13.444665801436386</v>
      </c>
      <c r="H813" s="307">
        <f t="shared" ca="1" si="360"/>
        <v>-121.22275785169914</v>
      </c>
      <c r="I813" s="304">
        <f t="shared" ca="1" si="361"/>
        <v>121.9660446996786</v>
      </c>
      <c r="J813" s="306">
        <f t="shared" ca="1" si="362"/>
        <v>859.24597237897774</v>
      </c>
      <c r="K813" s="307">
        <f t="shared" ca="1" si="363"/>
        <v>-12.641037351151761</v>
      </c>
      <c r="L813" s="304">
        <f t="shared" ca="1" si="348"/>
        <v>859.33895342571793</v>
      </c>
      <c r="M813" s="306">
        <f t="shared" ca="1" si="364"/>
        <v>-1.4603389931111366</v>
      </c>
      <c r="N813" s="304">
        <f t="shared" ca="1" si="365"/>
        <v>-83.67126096365233</v>
      </c>
      <c r="P813" s="310">
        <f t="shared" ca="1" si="366"/>
        <v>23</v>
      </c>
      <c r="Q813" s="304">
        <f t="shared" ca="1" si="367"/>
        <v>0</v>
      </c>
      <c r="R813" s="306">
        <f t="shared" ca="1" si="368"/>
        <v>0</v>
      </c>
      <c r="S813" s="307">
        <f t="shared" ca="1" si="369"/>
        <v>8.1379999999999981</v>
      </c>
      <c r="T813" s="304">
        <f t="shared" ca="1" si="349"/>
        <v>79.83377999999999</v>
      </c>
      <c r="U813" s="311">
        <f t="shared" ca="1" si="350"/>
        <v>0</v>
      </c>
      <c r="V813" s="306">
        <f t="shared" ca="1" si="351"/>
        <v>1.2265495064439582</v>
      </c>
      <c r="W813" s="304">
        <f t="shared" ca="1" si="352"/>
        <v>60.269362100873252</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2.3443341019548587</v>
      </c>
      <c r="AH813" s="304">
        <f t="shared" ca="1" si="376"/>
        <v>-7.4058807263832591</v>
      </c>
    </row>
    <row r="814" spans="1:34" x14ac:dyDescent="0.2">
      <c r="A814" s="347">
        <f t="shared" ca="1" si="354"/>
        <v>1E-4</v>
      </c>
      <c r="B814" s="304">
        <f t="shared" ca="1" si="355"/>
        <v>34.510500000000526</v>
      </c>
      <c r="D814" s="306">
        <f t="shared" ca="1" si="356"/>
        <v>-0.81637553344303304</v>
      </c>
      <c r="E814" s="307">
        <f t="shared" ca="1" si="357"/>
        <v>-2.4492150561270529</v>
      </c>
      <c r="F814" s="304">
        <f t="shared" ca="1" si="358"/>
        <v>2.5816900284046183</v>
      </c>
      <c r="G814" s="306">
        <f t="shared" ca="1" si="359"/>
        <v>13.444584163883041</v>
      </c>
      <c r="H814" s="307">
        <f t="shared" ca="1" si="360"/>
        <v>-121.22300277320475</v>
      </c>
      <c r="I814" s="304">
        <f t="shared" ca="1" si="361"/>
        <v>121.96627912948784</v>
      </c>
      <c r="J814" s="306">
        <f t="shared" ca="1" si="362"/>
        <v>859.24597237897774</v>
      </c>
      <c r="K814" s="307">
        <f t="shared" ca="1" si="363"/>
        <v>-12.653159639183006</v>
      </c>
      <c r="L814" s="304">
        <f t="shared" ca="1" si="348"/>
        <v>859.33913183233403</v>
      </c>
      <c r="M814" s="306">
        <f t="shared" ca="1" si="364"/>
        <v>-1.4603398797368121</v>
      </c>
      <c r="N814" s="304">
        <f t="shared" ca="1" si="365"/>
        <v>-83.671311763561548</v>
      </c>
      <c r="P814" s="310">
        <f t="shared" ca="1" si="366"/>
        <v>23</v>
      </c>
      <c r="Q814" s="304">
        <f t="shared" ca="1" si="367"/>
        <v>0</v>
      </c>
      <c r="R814" s="306">
        <f t="shared" ca="1" si="368"/>
        <v>0</v>
      </c>
      <c r="S814" s="307">
        <f t="shared" ca="1" si="369"/>
        <v>8.1379999999999981</v>
      </c>
      <c r="T814" s="304">
        <f t="shared" ca="1" si="349"/>
        <v>79.83377999999999</v>
      </c>
      <c r="U814" s="311">
        <f t="shared" ca="1" si="350"/>
        <v>0</v>
      </c>
      <c r="V814" s="306">
        <f t="shared" ca="1" si="351"/>
        <v>1.2265509933040939</v>
      </c>
      <c r="W814" s="304">
        <f t="shared" ca="1" si="352"/>
        <v>60.269666848076618</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2.3442976130287514</v>
      </c>
      <c r="AH814" s="304">
        <f t="shared" ca="1" si="376"/>
        <v>-7.4059181741058326</v>
      </c>
    </row>
    <row r="815" spans="1:34" x14ac:dyDescent="0.2">
      <c r="A815" s="347">
        <f t="shared" ca="1" si="354"/>
        <v>1E-4</v>
      </c>
      <c r="B815" s="304">
        <f t="shared" ca="1" si="355"/>
        <v>34.51060000000053</v>
      </c>
      <c r="D815" s="306">
        <f t="shared" ca="1" si="356"/>
        <v>-0.81637313508630238</v>
      </c>
      <c r="E815" s="307">
        <f t="shared" ca="1" si="357"/>
        <v>-2.4491771130871269</v>
      </c>
      <c r="F815" s="304">
        <f t="shared" ca="1" si="358"/>
        <v>2.5816532739623326</v>
      </c>
      <c r="G815" s="306">
        <f t="shared" ca="1" si="359"/>
        <v>13.444502526569533</v>
      </c>
      <c r="H815" s="307">
        <f t="shared" ca="1" si="360"/>
        <v>-121.22324769091607</v>
      </c>
      <c r="I815" s="304">
        <f t="shared" ca="1" si="361"/>
        <v>121.96651355564822</v>
      </c>
      <c r="J815" s="306">
        <f t="shared" ca="1" si="362"/>
        <v>859.24597237897774</v>
      </c>
      <c r="K815" s="307">
        <f t="shared" ca="1" si="363"/>
        <v>-12.665281951706211</v>
      </c>
      <c r="L815" s="304">
        <f t="shared" ca="1" si="348"/>
        <v>859.33931041027745</v>
      </c>
      <c r="M815" s="306">
        <f t="shared" ca="1" si="364"/>
        <v>-1.4603407663536958</v>
      </c>
      <c r="N815" s="304">
        <f t="shared" ca="1" si="365"/>
        <v>-83.671362562967019</v>
      </c>
      <c r="P815" s="310">
        <f t="shared" ca="1" si="366"/>
        <v>23</v>
      </c>
      <c r="Q815" s="304">
        <f t="shared" ca="1" si="367"/>
        <v>0</v>
      </c>
      <c r="R815" s="306">
        <f t="shared" ca="1" si="368"/>
        <v>0</v>
      </c>
      <c r="S815" s="307">
        <f t="shared" ca="1" si="369"/>
        <v>8.1379999999999981</v>
      </c>
      <c r="T815" s="304">
        <f t="shared" ca="1" si="349"/>
        <v>79.83377999999999</v>
      </c>
      <c r="U815" s="311">
        <f t="shared" ca="1" si="350"/>
        <v>0</v>
      </c>
      <c r="V815" s="306">
        <f t="shared" ca="1" si="351"/>
        <v>1.2265524801690375</v>
      </c>
      <c r="W815" s="304">
        <f t="shared" ca="1" si="352"/>
        <v>60.269971592917095</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2.3442611243758309</v>
      </c>
      <c r="AH815" s="304">
        <f t="shared" ca="1" si="376"/>
        <v>-7.4059556215380473</v>
      </c>
    </row>
    <row r="816" spans="1:34" x14ac:dyDescent="0.2">
      <c r="A816" s="347">
        <f t="shared" ca="1" si="354"/>
        <v>1E-4</v>
      </c>
      <c r="B816" s="304">
        <f t="shared" ca="1" si="355"/>
        <v>34.510700000000533</v>
      </c>
      <c r="D816" s="306">
        <f t="shared" ca="1" si="356"/>
        <v>-0.81637073669564086</v>
      </c>
      <c r="E816" s="307">
        <f t="shared" ca="1" si="357"/>
        <v>-2.4491391703414278</v>
      </c>
      <c r="F816" s="304">
        <f t="shared" ca="1" si="358"/>
        <v>2.5816165198250651</v>
      </c>
      <c r="G816" s="306">
        <f t="shared" ca="1" si="359"/>
        <v>13.444420889495863</v>
      </c>
      <c r="H816" s="307">
        <f t="shared" ca="1" si="360"/>
        <v>-121.2234926048331</v>
      </c>
      <c r="I816" s="304">
        <f t="shared" ca="1" si="361"/>
        <v>121.96674797815976</v>
      </c>
      <c r="J816" s="306">
        <f t="shared" ca="1" si="362"/>
        <v>859.24597237897774</v>
      </c>
      <c r="K816" s="307">
        <f t="shared" ca="1" si="363"/>
        <v>-12.677404288720998</v>
      </c>
      <c r="L816" s="304">
        <f t="shared" ca="1" si="348"/>
        <v>859.33948915954898</v>
      </c>
      <c r="M816" s="306">
        <f t="shared" ca="1" si="364"/>
        <v>-1.4603416529617874</v>
      </c>
      <c r="N816" s="304">
        <f t="shared" ca="1" si="365"/>
        <v>-83.671413361868758</v>
      </c>
      <c r="P816" s="310">
        <f t="shared" ca="1" si="366"/>
        <v>23</v>
      </c>
      <c r="Q816" s="304">
        <f t="shared" ca="1" si="367"/>
        <v>0</v>
      </c>
      <c r="R816" s="306">
        <f t="shared" ca="1" si="368"/>
        <v>0</v>
      </c>
      <c r="S816" s="307">
        <f t="shared" ca="1" si="369"/>
        <v>8.1379999999999981</v>
      </c>
      <c r="T816" s="304">
        <f t="shared" ca="1" si="349"/>
        <v>79.83377999999999</v>
      </c>
      <c r="U816" s="311">
        <f t="shared" ca="1" si="350"/>
        <v>0</v>
      </c>
      <c r="V816" s="306">
        <f t="shared" ca="1" si="351"/>
        <v>1.2265539670387888</v>
      </c>
      <c r="W816" s="304">
        <f t="shared" ca="1" si="352"/>
        <v>60.270276335394655</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2.3442246359960901</v>
      </c>
      <c r="AH816" s="304">
        <f t="shared" ca="1" si="376"/>
        <v>-7.4059930686799103</v>
      </c>
    </row>
    <row r="817" spans="1:34" x14ac:dyDescent="0.2">
      <c r="A817" s="347">
        <f t="shared" ca="1" si="354"/>
        <v>1E-4</v>
      </c>
      <c r="B817" s="304">
        <f t="shared" ca="1" si="355"/>
        <v>34.510800000000536</v>
      </c>
      <c r="D817" s="306">
        <f t="shared" ca="1" si="356"/>
        <v>-0.81636833827105126</v>
      </c>
      <c r="E817" s="307">
        <f t="shared" ca="1" si="357"/>
        <v>-2.44910122788996</v>
      </c>
      <c r="F817" s="304">
        <f t="shared" ca="1" si="358"/>
        <v>2.5815797659928208</v>
      </c>
      <c r="G817" s="306">
        <f t="shared" ca="1" si="359"/>
        <v>13.444339252662036</v>
      </c>
      <c r="H817" s="307">
        <f t="shared" ca="1" si="360"/>
        <v>-121.22373751495589</v>
      </c>
      <c r="I817" s="304">
        <f t="shared" ca="1" si="361"/>
        <v>121.96698239702249</v>
      </c>
      <c r="J817" s="306">
        <f t="shared" ca="1" si="362"/>
        <v>859.24597237897774</v>
      </c>
      <c r="K817" s="307">
        <f t="shared" ca="1" si="363"/>
        <v>-12.689526650226988</v>
      </c>
      <c r="L817" s="304">
        <f t="shared" ca="1" si="348"/>
        <v>859.33966808014964</v>
      </c>
      <c r="M817" s="306">
        <f t="shared" ca="1" si="364"/>
        <v>-1.4603425395610874</v>
      </c>
      <c r="N817" s="304">
        <f t="shared" ca="1" si="365"/>
        <v>-83.671464160266765</v>
      </c>
      <c r="P817" s="310">
        <f t="shared" ca="1" si="366"/>
        <v>23</v>
      </c>
      <c r="Q817" s="304">
        <f t="shared" ca="1" si="367"/>
        <v>0</v>
      </c>
      <c r="R817" s="306">
        <f t="shared" ca="1" si="368"/>
        <v>0</v>
      </c>
      <c r="S817" s="307">
        <f t="shared" ca="1" si="369"/>
        <v>8.1379999999999981</v>
      </c>
      <c r="T817" s="304">
        <f t="shared" ca="1" si="349"/>
        <v>79.83377999999999</v>
      </c>
      <c r="U817" s="311">
        <f t="shared" ca="1" si="350"/>
        <v>0</v>
      </c>
      <c r="V817" s="306">
        <f t="shared" ca="1" si="351"/>
        <v>1.2265554539133474</v>
      </c>
      <c r="W817" s="304">
        <f t="shared" ca="1" si="352"/>
        <v>60.270581075509277</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2.3441881478895334</v>
      </c>
      <c r="AH817" s="304">
        <f t="shared" ca="1" si="376"/>
        <v>-7.406030515531417</v>
      </c>
    </row>
    <row r="818" spans="1:34" x14ac:dyDescent="0.2">
      <c r="A818" s="347">
        <f t="shared" ca="1" si="354"/>
        <v>1E-4</v>
      </c>
      <c r="B818" s="304">
        <f t="shared" ca="1" si="355"/>
        <v>34.510900000000539</v>
      </c>
      <c r="D818" s="306">
        <f t="shared" ca="1" si="356"/>
        <v>-0.81636593981253169</v>
      </c>
      <c r="E818" s="307">
        <f t="shared" ca="1" si="357"/>
        <v>-2.4490632857327244</v>
      </c>
      <c r="F818" s="304">
        <f t="shared" ca="1" si="358"/>
        <v>2.5815430124656</v>
      </c>
      <c r="G818" s="306">
        <f t="shared" ca="1" si="359"/>
        <v>13.444257616068056</v>
      </c>
      <c r="H818" s="307">
        <f t="shared" ca="1" si="360"/>
        <v>-121.22398242128446</v>
      </c>
      <c r="I818" s="304">
        <f t="shared" ca="1" si="361"/>
        <v>121.96721681223643</v>
      </c>
      <c r="J818" s="306">
        <f t="shared" ca="1" si="362"/>
        <v>859.24597237897774</v>
      </c>
      <c r="K818" s="307">
        <f t="shared" ca="1" si="363"/>
        <v>-12.701649036223799</v>
      </c>
      <c r="L818" s="304">
        <f t="shared" ca="1" si="348"/>
        <v>859.33984717208034</v>
      </c>
      <c r="M818" s="306">
        <f t="shared" ca="1" si="364"/>
        <v>-1.4603434261515957</v>
      </c>
      <c r="N818" s="304">
        <f t="shared" ca="1" si="365"/>
        <v>-83.67151495816104</v>
      </c>
      <c r="P818" s="310">
        <f t="shared" ca="1" si="366"/>
        <v>23</v>
      </c>
      <c r="Q818" s="304">
        <f t="shared" ca="1" si="367"/>
        <v>0</v>
      </c>
      <c r="R818" s="306">
        <f t="shared" ca="1" si="368"/>
        <v>0</v>
      </c>
      <c r="S818" s="307">
        <f t="shared" ca="1" si="369"/>
        <v>8.1379999999999981</v>
      </c>
      <c r="T818" s="304">
        <f t="shared" ca="1" si="349"/>
        <v>79.83377999999999</v>
      </c>
      <c r="U818" s="311">
        <f t="shared" ca="1" si="350"/>
        <v>0</v>
      </c>
      <c r="V818" s="306">
        <f t="shared" ca="1" si="351"/>
        <v>1.2265569407927133</v>
      </c>
      <c r="W818" s="304">
        <f t="shared" ca="1" si="352"/>
        <v>60.270885813260961</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2.3441516600561654</v>
      </c>
      <c r="AH818" s="304">
        <f t="shared" ca="1" si="376"/>
        <v>-7.4060679620925649</v>
      </c>
    </row>
    <row r="819" spans="1:34" x14ac:dyDescent="0.2">
      <c r="A819" s="347">
        <f t="shared" ca="1" si="354"/>
        <v>1E-4</v>
      </c>
      <c r="B819" s="304">
        <f t="shared" ca="1" si="355"/>
        <v>34.511000000000543</v>
      </c>
      <c r="D819" s="306">
        <f t="shared" ca="1" si="356"/>
        <v>-0.81636354132008415</v>
      </c>
      <c r="E819" s="307">
        <f t="shared" ca="1" si="357"/>
        <v>-2.4490253438697236</v>
      </c>
      <c r="F819" s="304">
        <f t="shared" ca="1" si="358"/>
        <v>2.5815062592434068</v>
      </c>
      <c r="G819" s="306">
        <f t="shared" ca="1" si="359"/>
        <v>13.444175979713924</v>
      </c>
      <c r="H819" s="307">
        <f t="shared" ca="1" si="360"/>
        <v>-121.22422732381885</v>
      </c>
      <c r="I819" s="304">
        <f t="shared" ca="1" si="361"/>
        <v>121.96745122380162</v>
      </c>
      <c r="J819" s="306">
        <f t="shared" ca="1" si="362"/>
        <v>859.24597237897774</v>
      </c>
      <c r="K819" s="307">
        <f t="shared" ca="1" si="363"/>
        <v>-12.713771446711053</v>
      </c>
      <c r="L819" s="304">
        <f t="shared" ca="1" si="348"/>
        <v>859.34002643534188</v>
      </c>
      <c r="M819" s="306">
        <f t="shared" ca="1" si="364"/>
        <v>-1.4603443127333127</v>
      </c>
      <c r="N819" s="304">
        <f t="shared" ca="1" si="365"/>
        <v>-83.671565755551626</v>
      </c>
      <c r="P819" s="310">
        <f t="shared" ca="1" si="366"/>
        <v>23</v>
      </c>
      <c r="Q819" s="304">
        <f t="shared" ca="1" si="367"/>
        <v>0</v>
      </c>
      <c r="R819" s="306">
        <f t="shared" ca="1" si="368"/>
        <v>0</v>
      </c>
      <c r="S819" s="307">
        <f t="shared" ca="1" si="369"/>
        <v>8.1379999999999981</v>
      </c>
      <c r="T819" s="304">
        <f t="shared" ca="1" si="349"/>
        <v>79.83377999999999</v>
      </c>
      <c r="U819" s="311">
        <f t="shared" ca="1" si="350"/>
        <v>0</v>
      </c>
      <c r="V819" s="306">
        <f t="shared" ca="1" si="351"/>
        <v>1.2265584276768871</v>
      </c>
      <c r="W819" s="304">
        <f t="shared" ca="1" si="352"/>
        <v>60.271190548649741</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2.3441151724959841</v>
      </c>
      <c r="AH819" s="304">
        <f t="shared" ca="1" si="376"/>
        <v>-7.406105408363354</v>
      </c>
    </row>
    <row r="820" spans="1:34" x14ac:dyDescent="0.2">
      <c r="A820" s="347">
        <f t="shared" ca="1" si="354"/>
        <v>1E-4</v>
      </c>
      <c r="B820" s="304">
        <f t="shared" ca="1" si="355"/>
        <v>34.511100000000546</v>
      </c>
      <c r="D820" s="306">
        <f t="shared" ca="1" si="356"/>
        <v>-0.81636114279370919</v>
      </c>
      <c r="E820" s="307">
        <f t="shared" ca="1" si="357"/>
        <v>-2.4489874023009497</v>
      </c>
      <c r="F820" s="304">
        <f t="shared" ca="1" si="358"/>
        <v>2.5814695063262327</v>
      </c>
      <c r="G820" s="306">
        <f t="shared" ca="1" si="359"/>
        <v>13.444094343599645</v>
      </c>
      <c r="H820" s="307">
        <f t="shared" ca="1" si="360"/>
        <v>-121.22447222255909</v>
      </c>
      <c r="I820" s="304">
        <f t="shared" ca="1" si="361"/>
        <v>121.96768563171807</v>
      </c>
      <c r="J820" s="306">
        <f t="shared" ca="1" si="362"/>
        <v>859.24597237897774</v>
      </c>
      <c r="K820" s="307">
        <f t="shared" ca="1" si="363"/>
        <v>-12.725893881688373</v>
      </c>
      <c r="L820" s="304">
        <f t="shared" ca="1" si="348"/>
        <v>859.3402058699354</v>
      </c>
      <c r="M820" s="306">
        <f t="shared" ca="1" si="364"/>
        <v>-1.4603451993062382</v>
      </c>
      <c r="N820" s="304">
        <f t="shared" ca="1" si="365"/>
        <v>-83.671616552438479</v>
      </c>
      <c r="P820" s="310">
        <f t="shared" ca="1" si="366"/>
        <v>23</v>
      </c>
      <c r="Q820" s="304">
        <f t="shared" ca="1" si="367"/>
        <v>0</v>
      </c>
      <c r="R820" s="306">
        <f t="shared" ca="1" si="368"/>
        <v>0</v>
      </c>
      <c r="S820" s="307">
        <f t="shared" ca="1" si="369"/>
        <v>8.1379999999999981</v>
      </c>
      <c r="T820" s="304">
        <f t="shared" ca="1" si="349"/>
        <v>79.83377999999999</v>
      </c>
      <c r="U820" s="311">
        <f t="shared" ca="1" si="350"/>
        <v>0</v>
      </c>
      <c r="V820" s="306">
        <f t="shared" ca="1" si="351"/>
        <v>1.2265599145658683</v>
      </c>
      <c r="W820" s="304">
        <f t="shared" ca="1" si="352"/>
        <v>60.271495281675584</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2.3440786852089879</v>
      </c>
      <c r="AH820" s="304">
        <f t="shared" ca="1" si="376"/>
        <v>-7.4061428543437895</v>
      </c>
    </row>
    <row r="821" spans="1:34" x14ac:dyDescent="0.2">
      <c r="A821" s="347">
        <f t="shared" ca="1" si="354"/>
        <v>1E-4</v>
      </c>
      <c r="B821" s="304">
        <f t="shared" ca="1" si="355"/>
        <v>34.511200000000549</v>
      </c>
      <c r="D821" s="306">
        <f t="shared" ca="1" si="356"/>
        <v>-0.81635874423340804</v>
      </c>
      <c r="E821" s="307">
        <f t="shared" ca="1" si="357"/>
        <v>-2.4489494610264106</v>
      </c>
      <c r="F821" s="304">
        <f t="shared" ca="1" si="358"/>
        <v>2.5814327537140866</v>
      </c>
      <c r="G821" s="306">
        <f t="shared" ca="1" si="359"/>
        <v>13.444012707725221</v>
      </c>
      <c r="H821" s="307">
        <f t="shared" ca="1" si="360"/>
        <v>-121.22471711750519</v>
      </c>
      <c r="I821" s="304">
        <f t="shared" ca="1" si="361"/>
        <v>121.96792003598583</v>
      </c>
      <c r="J821" s="306">
        <f t="shared" ca="1" si="362"/>
        <v>859.24597237897774</v>
      </c>
      <c r="K821" s="307">
        <f t="shared" ca="1" si="363"/>
        <v>-12.738016341155376</v>
      </c>
      <c r="L821" s="304">
        <f t="shared" ca="1" si="348"/>
        <v>859.34038547586169</v>
      </c>
      <c r="M821" s="306">
        <f t="shared" ca="1" si="364"/>
        <v>-1.4603460858703725</v>
      </c>
      <c r="N821" s="304">
        <f t="shared" ca="1" si="365"/>
        <v>-83.671667348821643</v>
      </c>
      <c r="P821" s="310">
        <f t="shared" ca="1" si="366"/>
        <v>23</v>
      </c>
      <c r="Q821" s="304">
        <f t="shared" ca="1" si="367"/>
        <v>0</v>
      </c>
      <c r="R821" s="306">
        <f t="shared" ca="1" si="368"/>
        <v>0</v>
      </c>
      <c r="S821" s="307">
        <f t="shared" ca="1" si="369"/>
        <v>8.1379999999999981</v>
      </c>
      <c r="T821" s="304">
        <f t="shared" ca="1" si="349"/>
        <v>79.83377999999999</v>
      </c>
      <c r="U821" s="311">
        <f t="shared" ca="1" si="350"/>
        <v>0</v>
      </c>
      <c r="V821" s="306">
        <f t="shared" ca="1" si="351"/>
        <v>1.2265614014596569</v>
      </c>
      <c r="W821" s="304">
        <f t="shared" ca="1" si="352"/>
        <v>60.271800012338488</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2.3440421981951776</v>
      </c>
      <c r="AH821" s="304">
        <f t="shared" ca="1" si="376"/>
        <v>-7.4061803000338653</v>
      </c>
    </row>
    <row r="822" spans="1:34" x14ac:dyDescent="0.2">
      <c r="A822" s="347">
        <f t="shared" ca="1" si="354"/>
        <v>1E-4</v>
      </c>
      <c r="B822" s="304">
        <f t="shared" ca="1" si="355"/>
        <v>34.511300000000553</v>
      </c>
      <c r="D822" s="306">
        <f t="shared" ca="1" si="356"/>
        <v>-0.8163563456391808</v>
      </c>
      <c r="E822" s="307">
        <f t="shared" ca="1" si="357"/>
        <v>-2.4489115200461056</v>
      </c>
      <c r="F822" s="304">
        <f t="shared" ca="1" si="358"/>
        <v>2.5813960014069681</v>
      </c>
      <c r="G822" s="306">
        <f t="shared" ca="1" si="359"/>
        <v>13.443931072090658</v>
      </c>
      <c r="H822" s="307">
        <f t="shared" ca="1" si="360"/>
        <v>-121.2249620086572</v>
      </c>
      <c r="I822" s="304">
        <f t="shared" ca="1" si="361"/>
        <v>121.96815443660491</v>
      </c>
      <c r="J822" s="306">
        <f t="shared" ca="1" si="362"/>
        <v>859.24597237897774</v>
      </c>
      <c r="K822" s="307">
        <f t="shared" ca="1" si="363"/>
        <v>-12.750138825111684</v>
      </c>
      <c r="L822" s="304">
        <f t="shared" ca="1" si="348"/>
        <v>859.34056525312167</v>
      </c>
      <c r="M822" s="306">
        <f t="shared" ca="1" si="364"/>
        <v>-1.4603469724257159</v>
      </c>
      <c r="N822" s="304">
        <f t="shared" ca="1" si="365"/>
        <v>-83.671718144701131</v>
      </c>
      <c r="P822" s="310">
        <f t="shared" ca="1" si="366"/>
        <v>23</v>
      </c>
      <c r="Q822" s="304">
        <f t="shared" ca="1" si="367"/>
        <v>0</v>
      </c>
      <c r="R822" s="306">
        <f t="shared" ca="1" si="368"/>
        <v>0</v>
      </c>
      <c r="S822" s="307">
        <f t="shared" ca="1" si="369"/>
        <v>8.1379999999999981</v>
      </c>
      <c r="T822" s="304">
        <f t="shared" ca="1" si="349"/>
        <v>79.83377999999999</v>
      </c>
      <c r="U822" s="311">
        <f t="shared" ca="1" si="350"/>
        <v>0</v>
      </c>
      <c r="V822" s="306">
        <f t="shared" ca="1" si="351"/>
        <v>1.2265628883582529</v>
      </c>
      <c r="W822" s="304">
        <f t="shared" ca="1" si="352"/>
        <v>60.27210474063844</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2.3440057114545567</v>
      </c>
      <c r="AH822" s="304">
        <f t="shared" ca="1" si="376"/>
        <v>-7.4062177454335831</v>
      </c>
    </row>
    <row r="823" spans="1:34" x14ac:dyDescent="0.2">
      <c r="A823" s="347">
        <f t="shared" ca="1" si="354"/>
        <v>1E-4</v>
      </c>
      <c r="B823" s="304">
        <f t="shared" ca="1" si="355"/>
        <v>34.511400000000556</v>
      </c>
      <c r="D823" s="306">
        <f t="shared" ca="1" si="356"/>
        <v>-0.8163539470110277</v>
      </c>
      <c r="E823" s="307">
        <f t="shared" ca="1" si="357"/>
        <v>-2.4488735793600336</v>
      </c>
      <c r="F823" s="304">
        <f t="shared" ca="1" si="358"/>
        <v>2.5813592494048763</v>
      </c>
      <c r="G823" s="306">
        <f t="shared" ca="1" si="359"/>
        <v>13.443849436695956</v>
      </c>
      <c r="H823" s="307">
        <f t="shared" ca="1" si="360"/>
        <v>-121.22520689601514</v>
      </c>
      <c r="I823" s="304">
        <f t="shared" ca="1" si="361"/>
        <v>121.96838883357535</v>
      </c>
      <c r="J823" s="306">
        <f t="shared" ca="1" si="362"/>
        <v>859.24597237897774</v>
      </c>
      <c r="K823" s="307">
        <f t="shared" ca="1" si="363"/>
        <v>-12.762261333556918</v>
      </c>
      <c r="L823" s="304">
        <f t="shared" ca="1" si="348"/>
        <v>859.34074520171623</v>
      </c>
      <c r="M823" s="306">
        <f t="shared" ca="1" si="364"/>
        <v>-1.4603478589722683</v>
      </c>
      <c r="N823" s="304">
        <f t="shared" ca="1" si="365"/>
        <v>-83.671768940076916</v>
      </c>
      <c r="P823" s="310">
        <f t="shared" ca="1" si="366"/>
        <v>23</v>
      </c>
      <c r="Q823" s="304">
        <f t="shared" ca="1" si="367"/>
        <v>0</v>
      </c>
      <c r="R823" s="306">
        <f t="shared" ca="1" si="368"/>
        <v>0</v>
      </c>
      <c r="S823" s="307">
        <f t="shared" ca="1" si="369"/>
        <v>8.1379999999999981</v>
      </c>
      <c r="T823" s="304">
        <f t="shared" ca="1" si="349"/>
        <v>79.83377999999999</v>
      </c>
      <c r="U823" s="311">
        <f t="shared" ca="1" si="350"/>
        <v>0</v>
      </c>
      <c r="V823" s="306">
        <f t="shared" ca="1" si="351"/>
        <v>1.2265643752616562</v>
      </c>
      <c r="W823" s="304">
        <f t="shared" ca="1" si="352"/>
        <v>60.272409466575454</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2.3439692249871271</v>
      </c>
      <c r="AH823" s="304">
        <f t="shared" ca="1" si="376"/>
        <v>-7.4062551905429412</v>
      </c>
    </row>
    <row r="824" spans="1:34" x14ac:dyDescent="0.2">
      <c r="A824" s="347">
        <f t="shared" ca="1" si="354"/>
        <v>1E-4</v>
      </c>
      <c r="B824" s="304">
        <f t="shared" ca="1" si="355"/>
        <v>34.511500000000559</v>
      </c>
      <c r="D824" s="306">
        <f t="shared" ca="1" si="356"/>
        <v>-0.8163515483489503</v>
      </c>
      <c r="E824" s="307">
        <f t="shared" ca="1" si="357"/>
        <v>-2.4488356389681956</v>
      </c>
      <c r="F824" s="304">
        <f t="shared" ca="1" si="358"/>
        <v>2.5813224977078124</v>
      </c>
      <c r="G824" s="306">
        <f t="shared" ca="1" si="359"/>
        <v>13.443767801541121</v>
      </c>
      <c r="H824" s="307">
        <f t="shared" ca="1" si="360"/>
        <v>-121.22545177957903</v>
      </c>
      <c r="I824" s="304">
        <f t="shared" ca="1" si="361"/>
        <v>121.96862322689715</v>
      </c>
      <c r="J824" s="306">
        <f t="shared" ca="1" si="362"/>
        <v>859.24597237897774</v>
      </c>
      <c r="K824" s="307">
        <f t="shared" ca="1" si="363"/>
        <v>-12.774383866490698</v>
      </c>
      <c r="L824" s="304">
        <f t="shared" ca="1" si="348"/>
        <v>859.34092532164641</v>
      </c>
      <c r="M824" s="306">
        <f t="shared" ca="1" si="364"/>
        <v>-1.4603487455100299</v>
      </c>
      <c r="N824" s="304">
        <f t="shared" ca="1" si="365"/>
        <v>-83.67181973494904</v>
      </c>
      <c r="P824" s="310">
        <f t="shared" ca="1" si="366"/>
        <v>23</v>
      </c>
      <c r="Q824" s="304">
        <f t="shared" ca="1" si="367"/>
        <v>0</v>
      </c>
      <c r="R824" s="306">
        <f t="shared" ca="1" si="368"/>
        <v>0</v>
      </c>
      <c r="S824" s="307">
        <f t="shared" ca="1" si="369"/>
        <v>8.1379999999999981</v>
      </c>
      <c r="T824" s="304">
        <f t="shared" ca="1" si="349"/>
        <v>79.83377999999999</v>
      </c>
      <c r="U824" s="311">
        <f t="shared" ca="1" si="350"/>
        <v>0</v>
      </c>
      <c r="V824" s="306">
        <f t="shared" ca="1" si="351"/>
        <v>1.226565862169867</v>
      </c>
      <c r="W824" s="304">
        <f t="shared" ca="1" si="352"/>
        <v>60.272714190149514</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2.3439327387928888</v>
      </c>
      <c r="AH824" s="304">
        <f t="shared" ca="1" si="376"/>
        <v>-7.4062926353619396</v>
      </c>
    </row>
    <row r="825" spans="1:34" x14ac:dyDescent="0.2">
      <c r="A825" s="347">
        <f t="shared" ca="1" si="354"/>
        <v>1E-4</v>
      </c>
      <c r="B825" s="304">
        <f t="shared" ca="1" si="355"/>
        <v>34.511600000000563</v>
      </c>
      <c r="D825" s="306">
        <f t="shared" ca="1" si="356"/>
        <v>-0.81634914965294858</v>
      </c>
      <c r="E825" s="307">
        <f t="shared" ca="1" si="357"/>
        <v>-2.4487976988705933</v>
      </c>
      <c r="F825" s="304">
        <f t="shared" ca="1" si="358"/>
        <v>2.5812857463157783</v>
      </c>
      <c r="G825" s="306">
        <f t="shared" ca="1" si="359"/>
        <v>13.443686166626156</v>
      </c>
      <c r="H825" s="307">
        <f t="shared" ca="1" si="360"/>
        <v>-121.22569665934891</v>
      </c>
      <c r="I825" s="304">
        <f t="shared" ca="1" si="361"/>
        <v>121.96885761657035</v>
      </c>
      <c r="J825" s="306">
        <f t="shared" ca="1" si="362"/>
        <v>859.24597237897774</v>
      </c>
      <c r="K825" s="307">
        <f t="shared" ca="1" si="363"/>
        <v>-12.786506423912645</v>
      </c>
      <c r="L825" s="304">
        <f t="shared" ca="1" si="348"/>
        <v>859.341105612913</v>
      </c>
      <c r="M825" s="306">
        <f t="shared" ca="1" si="364"/>
        <v>-1.4603496320390006</v>
      </c>
      <c r="N825" s="304">
        <f t="shared" ca="1" si="365"/>
        <v>-83.671870529317474</v>
      </c>
      <c r="P825" s="310">
        <f t="shared" ca="1" si="366"/>
        <v>23</v>
      </c>
      <c r="Q825" s="304">
        <f t="shared" ca="1" si="367"/>
        <v>0</v>
      </c>
      <c r="R825" s="306">
        <f t="shared" ca="1" si="368"/>
        <v>0</v>
      </c>
      <c r="S825" s="307">
        <f t="shared" ca="1" si="369"/>
        <v>8.1379999999999981</v>
      </c>
      <c r="T825" s="304">
        <f t="shared" ca="1" si="349"/>
        <v>79.83377999999999</v>
      </c>
      <c r="U825" s="311">
        <f t="shared" ca="1" si="350"/>
        <v>0</v>
      </c>
      <c r="V825" s="306">
        <f t="shared" ca="1" si="351"/>
        <v>1.2265673490828852</v>
      </c>
      <c r="W825" s="304">
        <f t="shared" ca="1" si="352"/>
        <v>60.273018911360602</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2.3438962528718399</v>
      </c>
      <c r="AH825" s="304">
        <f t="shared" ca="1" si="376"/>
        <v>-7.4063300798905782</v>
      </c>
    </row>
    <row r="826" spans="1:34" x14ac:dyDescent="0.2">
      <c r="A826" s="347">
        <f t="shared" ca="1" si="354"/>
        <v>1E-4</v>
      </c>
      <c r="B826" s="304">
        <f t="shared" ca="1" si="355"/>
        <v>34.511700000000566</v>
      </c>
      <c r="D826" s="306">
        <f t="shared" ca="1" si="356"/>
        <v>-0.816346750923026</v>
      </c>
      <c r="E826" s="307">
        <f t="shared" ca="1" si="357"/>
        <v>-2.4487597590672268</v>
      </c>
      <c r="F826" s="304">
        <f t="shared" ca="1" si="358"/>
        <v>2.5812489952287754</v>
      </c>
      <c r="G826" s="306">
        <f t="shared" ca="1" si="359"/>
        <v>13.443604531951063</v>
      </c>
      <c r="H826" s="307">
        <f t="shared" ca="1" si="360"/>
        <v>-121.22594153532482</v>
      </c>
      <c r="I826" s="304">
        <f t="shared" ca="1" si="361"/>
        <v>121.969092002595</v>
      </c>
      <c r="J826" s="306">
        <f t="shared" ca="1" si="362"/>
        <v>859.24597237897774</v>
      </c>
      <c r="K826" s="307">
        <f t="shared" ca="1" si="363"/>
        <v>-12.798629005822379</v>
      </c>
      <c r="L826" s="304">
        <f t="shared" ca="1" si="348"/>
        <v>859.34128607551702</v>
      </c>
      <c r="M826" s="306">
        <f t="shared" ca="1" si="364"/>
        <v>-1.460350518559181</v>
      </c>
      <c r="N826" s="304">
        <f t="shared" ca="1" si="365"/>
        <v>-83.671921323182261</v>
      </c>
      <c r="P826" s="310">
        <f t="shared" ca="1" si="366"/>
        <v>23</v>
      </c>
      <c r="Q826" s="304">
        <f t="shared" ca="1" si="367"/>
        <v>0</v>
      </c>
      <c r="R826" s="306">
        <f t="shared" ca="1" si="368"/>
        <v>0</v>
      </c>
      <c r="S826" s="307">
        <f t="shared" ca="1" si="369"/>
        <v>8.1379999999999981</v>
      </c>
      <c r="T826" s="304">
        <f t="shared" ca="1" si="349"/>
        <v>79.83377999999999</v>
      </c>
      <c r="U826" s="311">
        <f t="shared" ca="1" si="350"/>
        <v>0</v>
      </c>
      <c r="V826" s="306">
        <f t="shared" ca="1" si="351"/>
        <v>1.2265688360007105</v>
      </c>
      <c r="W826" s="304">
        <f t="shared" ca="1" si="352"/>
        <v>60.273323630208751</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2.3438597672239849</v>
      </c>
      <c r="AH826" s="304">
        <f t="shared" ca="1" si="376"/>
        <v>-7.4063675241288545</v>
      </c>
    </row>
    <row r="827" spans="1:34" x14ac:dyDescent="0.2">
      <c r="A827" s="347">
        <f t="shared" ca="1" si="354"/>
        <v>1E-4</v>
      </c>
      <c r="B827" s="304">
        <f t="shared" ca="1" si="355"/>
        <v>34.511800000000569</v>
      </c>
      <c r="D827" s="306">
        <f t="shared" ca="1" si="356"/>
        <v>-0.81634435215917944</v>
      </c>
      <c r="E827" s="307">
        <f t="shared" ca="1" si="357"/>
        <v>-2.448721819558096</v>
      </c>
      <c r="F827" s="304">
        <f t="shared" ca="1" si="358"/>
        <v>2.5812122444468031</v>
      </c>
      <c r="G827" s="306">
        <f t="shared" ca="1" si="359"/>
        <v>13.443522897515848</v>
      </c>
      <c r="H827" s="307">
        <f t="shared" ca="1" si="360"/>
        <v>-121.22618640750677</v>
      </c>
      <c r="I827" s="304">
        <f t="shared" ca="1" si="361"/>
        <v>121.96932638497113</v>
      </c>
      <c r="J827" s="306">
        <f t="shared" ca="1" si="362"/>
        <v>859.24597237897774</v>
      </c>
      <c r="K827" s="307">
        <f t="shared" ca="1" si="363"/>
        <v>-12.810751612219521</v>
      </c>
      <c r="L827" s="304">
        <f t="shared" ca="1" si="348"/>
        <v>859.34146670945938</v>
      </c>
      <c r="M827" s="306">
        <f t="shared" ca="1" si="364"/>
        <v>-1.4603514050705708</v>
      </c>
      <c r="N827" s="304">
        <f t="shared" ca="1" si="365"/>
        <v>-83.671972116543401</v>
      </c>
      <c r="P827" s="310">
        <f t="shared" ca="1" si="366"/>
        <v>23</v>
      </c>
      <c r="Q827" s="304">
        <f t="shared" ca="1" si="367"/>
        <v>0</v>
      </c>
      <c r="R827" s="306">
        <f t="shared" ca="1" si="368"/>
        <v>0</v>
      </c>
      <c r="S827" s="307">
        <f t="shared" ca="1" si="369"/>
        <v>8.1379999999999981</v>
      </c>
      <c r="T827" s="304">
        <f t="shared" ca="1" si="349"/>
        <v>79.83377999999999</v>
      </c>
      <c r="U827" s="311">
        <f t="shared" ca="1" si="350"/>
        <v>0</v>
      </c>
      <c r="V827" s="306">
        <f t="shared" ca="1" si="351"/>
        <v>1.2265703229233429</v>
      </c>
      <c r="W827" s="304">
        <f t="shared" ca="1" si="352"/>
        <v>60.273628346693947</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2.343823281849323</v>
      </c>
      <c r="AH827" s="304">
        <f t="shared" ca="1" si="376"/>
        <v>-7.406404968076771</v>
      </c>
    </row>
    <row r="828" spans="1:34" x14ac:dyDescent="0.2">
      <c r="A828" s="347">
        <f t="shared" ca="1" si="354"/>
        <v>1E-4</v>
      </c>
      <c r="B828" s="304">
        <f t="shared" ca="1" si="355"/>
        <v>34.511900000000573</v>
      </c>
      <c r="D828" s="306">
        <f t="shared" ca="1" si="356"/>
        <v>-0.81634195336141246</v>
      </c>
      <c r="E828" s="307">
        <f t="shared" ca="1" si="357"/>
        <v>-2.4486838803431983</v>
      </c>
      <c r="F828" s="304">
        <f t="shared" ca="1" si="358"/>
        <v>2.5811754939698597</v>
      </c>
      <c r="G828" s="306">
        <f t="shared" ca="1" si="359"/>
        <v>13.443441263320512</v>
      </c>
      <c r="H828" s="307">
        <f t="shared" ca="1" si="360"/>
        <v>-121.22643127589481</v>
      </c>
      <c r="I828" s="304">
        <f t="shared" ca="1" si="361"/>
        <v>121.96956076369872</v>
      </c>
      <c r="J828" s="306">
        <f t="shared" ca="1" si="362"/>
        <v>859.24597237897774</v>
      </c>
      <c r="K828" s="307">
        <f t="shared" ca="1" si="363"/>
        <v>-12.822874243103691</v>
      </c>
      <c r="L828" s="304">
        <f t="shared" ca="1" si="348"/>
        <v>859.341647514741</v>
      </c>
      <c r="M828" s="306">
        <f t="shared" ca="1" si="364"/>
        <v>-1.4603522915731706</v>
      </c>
      <c r="N828" s="304">
        <f t="shared" ca="1" si="365"/>
        <v>-83.672022909400894</v>
      </c>
      <c r="P828" s="310">
        <f t="shared" ca="1" si="366"/>
        <v>23</v>
      </c>
      <c r="Q828" s="304">
        <f t="shared" ca="1" si="367"/>
        <v>0</v>
      </c>
      <c r="R828" s="306">
        <f t="shared" ca="1" si="368"/>
        <v>0</v>
      </c>
      <c r="S828" s="307">
        <f t="shared" ca="1" si="369"/>
        <v>8.1379999999999981</v>
      </c>
      <c r="T828" s="304">
        <f t="shared" ca="1" si="349"/>
        <v>79.83377999999999</v>
      </c>
      <c r="U828" s="311">
        <f t="shared" ca="1" si="350"/>
        <v>0</v>
      </c>
      <c r="V828" s="306">
        <f t="shared" ca="1" si="351"/>
        <v>1.2265718098507825</v>
      </c>
      <c r="W828" s="304">
        <f t="shared" ca="1" si="352"/>
        <v>60.273933060816148</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2.3437867967478505</v>
      </c>
      <c r="AH828" s="304">
        <f t="shared" ca="1" si="376"/>
        <v>-7.4064424117343277</v>
      </c>
    </row>
    <row r="829" spans="1:34" x14ac:dyDescent="0.2">
      <c r="A829" s="347">
        <f t="shared" ca="1" si="354"/>
        <v>1E-4</v>
      </c>
      <c r="B829" s="304">
        <f t="shared" ca="1" si="355"/>
        <v>34.512000000000576</v>
      </c>
      <c r="D829" s="306">
        <f t="shared" ca="1" si="356"/>
        <v>-0.81633955452972295</v>
      </c>
      <c r="E829" s="307">
        <f t="shared" ca="1" si="357"/>
        <v>-2.4486459414225408</v>
      </c>
      <c r="F829" s="304">
        <f t="shared" ca="1" si="358"/>
        <v>2.5811387437979518</v>
      </c>
      <c r="G829" s="306">
        <f t="shared" ca="1" si="359"/>
        <v>13.443359629365059</v>
      </c>
      <c r="H829" s="307">
        <f t="shared" ca="1" si="360"/>
        <v>-121.22667614048895</v>
      </c>
      <c r="I829" s="304">
        <f t="shared" ca="1" si="361"/>
        <v>121.96979513877784</v>
      </c>
      <c r="J829" s="306">
        <f t="shared" ca="1" si="362"/>
        <v>859.24597237897774</v>
      </c>
      <c r="K829" s="307">
        <f t="shared" ca="1" si="363"/>
        <v>-12.834996898474509</v>
      </c>
      <c r="L829" s="304">
        <f t="shared" ca="1" si="348"/>
        <v>859.34182849136278</v>
      </c>
      <c r="M829" s="306">
        <f t="shared" ca="1" si="364"/>
        <v>-1.4603531780669798</v>
      </c>
      <c r="N829" s="304">
        <f t="shared" ca="1" si="365"/>
        <v>-83.672073701754726</v>
      </c>
      <c r="P829" s="310">
        <f t="shared" ca="1" si="366"/>
        <v>23</v>
      </c>
      <c r="Q829" s="304">
        <f t="shared" ca="1" si="367"/>
        <v>0</v>
      </c>
      <c r="R829" s="306">
        <f t="shared" ca="1" si="368"/>
        <v>0</v>
      </c>
      <c r="S829" s="307">
        <f t="shared" ca="1" si="369"/>
        <v>8.1379999999999981</v>
      </c>
      <c r="T829" s="304">
        <f t="shared" ca="1" si="349"/>
        <v>79.83377999999999</v>
      </c>
      <c r="U829" s="311">
        <f t="shared" ca="1" si="350"/>
        <v>0</v>
      </c>
      <c r="V829" s="306">
        <f t="shared" ca="1" si="351"/>
        <v>1.2265732967830296</v>
      </c>
      <c r="W829" s="304">
        <f t="shared" ca="1" si="352"/>
        <v>60.27423777257539</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2.3437503119195782</v>
      </c>
      <c r="AH829" s="304">
        <f t="shared" ca="1" si="376"/>
        <v>-7.4064798551015194</v>
      </c>
    </row>
    <row r="830" spans="1:34" x14ac:dyDescent="0.2">
      <c r="A830" s="347">
        <f t="shared" ca="1" si="354"/>
        <v>1E-4</v>
      </c>
      <c r="B830" s="304">
        <f t="shared" ca="1" si="355"/>
        <v>34.512100000000579</v>
      </c>
      <c r="D830" s="306">
        <f t="shared" ca="1" si="356"/>
        <v>-0.81633715566411613</v>
      </c>
      <c r="E830" s="307">
        <f t="shared" ca="1" si="357"/>
        <v>-2.4486080027961208</v>
      </c>
      <c r="F830" s="304">
        <f t="shared" ca="1" si="358"/>
        <v>2.5811019939310782</v>
      </c>
      <c r="G830" s="306">
        <f t="shared" ca="1" si="359"/>
        <v>13.443277995649492</v>
      </c>
      <c r="H830" s="307">
        <f t="shared" ca="1" si="360"/>
        <v>-121.22692100128923</v>
      </c>
      <c r="I830" s="304">
        <f t="shared" ca="1" si="361"/>
        <v>121.97002951020851</v>
      </c>
      <c r="J830" s="306">
        <f t="shared" ca="1" si="362"/>
        <v>859.24597237897774</v>
      </c>
      <c r="K830" s="307">
        <f t="shared" ca="1" si="363"/>
        <v>-12.847119578331599</v>
      </c>
      <c r="L830" s="304">
        <f t="shared" ca="1" si="348"/>
        <v>859.34200963932574</v>
      </c>
      <c r="M830" s="306">
        <f t="shared" ca="1" si="364"/>
        <v>-1.4603540645519992</v>
      </c>
      <c r="N830" s="304">
        <f t="shared" ca="1" si="365"/>
        <v>-83.67212449360494</v>
      </c>
      <c r="P830" s="310">
        <f t="shared" ca="1" si="366"/>
        <v>23</v>
      </c>
      <c r="Q830" s="304">
        <f t="shared" ca="1" si="367"/>
        <v>0</v>
      </c>
      <c r="R830" s="306">
        <f t="shared" ca="1" si="368"/>
        <v>0</v>
      </c>
      <c r="S830" s="307">
        <f t="shared" ca="1" si="369"/>
        <v>8.1379999999999981</v>
      </c>
      <c r="T830" s="304">
        <f t="shared" ca="1" si="349"/>
        <v>79.83377999999999</v>
      </c>
      <c r="U830" s="311">
        <f t="shared" ca="1" si="350"/>
        <v>0</v>
      </c>
      <c r="V830" s="306">
        <f t="shared" ca="1" si="351"/>
        <v>1.2265747837200838</v>
      </c>
      <c r="W830" s="304">
        <f t="shared" ca="1" si="352"/>
        <v>60.274542481971658</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2.3437138273645015</v>
      </c>
      <c r="AH830" s="304">
        <f t="shared" ca="1" si="376"/>
        <v>-7.4065172981783487</v>
      </c>
    </row>
    <row r="831" spans="1:34" x14ac:dyDescent="0.2">
      <c r="A831" s="347">
        <f t="shared" ca="1" si="354"/>
        <v>1E-4</v>
      </c>
      <c r="B831" s="304">
        <f t="shared" ca="1" si="355"/>
        <v>34.512200000000583</v>
      </c>
      <c r="D831" s="306">
        <f t="shared" ca="1" si="356"/>
        <v>-0.816334756764589</v>
      </c>
      <c r="E831" s="307">
        <f t="shared" ca="1" si="357"/>
        <v>-2.4485700644639374</v>
      </c>
      <c r="F831" s="304">
        <f t="shared" ca="1" si="358"/>
        <v>2.5810652443692375</v>
      </c>
      <c r="G831" s="306">
        <f t="shared" ca="1" si="359"/>
        <v>13.443196362173815</v>
      </c>
      <c r="H831" s="307">
        <f t="shared" ca="1" si="360"/>
        <v>-121.22716585829568</v>
      </c>
      <c r="I831" s="304">
        <f t="shared" ca="1" si="361"/>
        <v>121.97026387799075</v>
      </c>
      <c r="J831" s="306">
        <f t="shared" ca="1" si="362"/>
        <v>859.24597237897774</v>
      </c>
      <c r="K831" s="307">
        <f t="shared" ca="1" si="363"/>
        <v>-12.859242282674579</v>
      </c>
      <c r="L831" s="304">
        <f t="shared" ca="1" si="348"/>
        <v>859.34219095863057</v>
      </c>
      <c r="M831" s="306">
        <f t="shared" ca="1" si="364"/>
        <v>-1.4603549510282288</v>
      </c>
      <c r="N831" s="304">
        <f t="shared" ca="1" si="365"/>
        <v>-83.672175284951535</v>
      </c>
      <c r="P831" s="310">
        <f t="shared" ca="1" si="366"/>
        <v>23</v>
      </c>
      <c r="Q831" s="304">
        <f t="shared" ca="1" si="367"/>
        <v>0</v>
      </c>
      <c r="R831" s="306">
        <f t="shared" ca="1" si="368"/>
        <v>0</v>
      </c>
      <c r="S831" s="307">
        <f t="shared" ca="1" si="369"/>
        <v>8.1379999999999981</v>
      </c>
      <c r="T831" s="304">
        <f t="shared" ca="1" si="349"/>
        <v>79.83377999999999</v>
      </c>
      <c r="U831" s="311">
        <f t="shared" ca="1" si="350"/>
        <v>0</v>
      </c>
      <c r="V831" s="306">
        <f t="shared" ca="1" si="351"/>
        <v>1.226576270661945</v>
      </c>
      <c r="W831" s="304">
        <f t="shared" ca="1" si="352"/>
        <v>60.274847189004952</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2.3436773430826205</v>
      </c>
      <c r="AH831" s="304">
        <f t="shared" ca="1" si="376"/>
        <v>-7.4065547409648156</v>
      </c>
    </row>
    <row r="832" spans="1:34" x14ac:dyDescent="0.2">
      <c r="A832" s="347">
        <f t="shared" ca="1" si="354"/>
        <v>1E-4</v>
      </c>
      <c r="B832" s="304">
        <f t="shared" ca="1" si="355"/>
        <v>34.512300000000586</v>
      </c>
      <c r="D832" s="306">
        <f t="shared" ca="1" si="356"/>
        <v>-0.81633235783114311</v>
      </c>
      <c r="E832" s="307">
        <f t="shared" ca="1" si="357"/>
        <v>-2.4485321264259916</v>
      </c>
      <c r="F832" s="304">
        <f t="shared" ca="1" si="358"/>
        <v>2.5810284951124314</v>
      </c>
      <c r="G832" s="306">
        <f t="shared" ca="1" si="359"/>
        <v>13.443114728938031</v>
      </c>
      <c r="H832" s="307">
        <f t="shared" ca="1" si="360"/>
        <v>-121.22741071150833</v>
      </c>
      <c r="I832" s="304">
        <f t="shared" ca="1" si="361"/>
        <v>121.97049824212458</v>
      </c>
      <c r="J832" s="306">
        <f t="shared" ca="1" si="362"/>
        <v>859.24597237897774</v>
      </c>
      <c r="K832" s="307">
        <f t="shared" ca="1" si="363"/>
        <v>-12.87136501150307</v>
      </c>
      <c r="L832" s="304">
        <f t="shared" ca="1" si="348"/>
        <v>859.3423724492784</v>
      </c>
      <c r="M832" s="306">
        <f t="shared" ca="1" si="364"/>
        <v>-1.4603558374956684</v>
      </c>
      <c r="N832" s="304">
        <f t="shared" ca="1" si="365"/>
        <v>-83.672226075794498</v>
      </c>
      <c r="P832" s="310">
        <f t="shared" ca="1" si="366"/>
        <v>23</v>
      </c>
      <c r="Q832" s="304">
        <f t="shared" ca="1" si="367"/>
        <v>0</v>
      </c>
      <c r="R832" s="306">
        <f t="shared" ca="1" si="368"/>
        <v>0</v>
      </c>
      <c r="S832" s="307">
        <f t="shared" ca="1" si="369"/>
        <v>8.1379999999999981</v>
      </c>
      <c r="T832" s="304">
        <f t="shared" ca="1" si="349"/>
        <v>79.83377999999999</v>
      </c>
      <c r="U832" s="311">
        <f t="shared" ca="1" si="350"/>
        <v>0</v>
      </c>
      <c r="V832" s="306">
        <f t="shared" ca="1" si="351"/>
        <v>1.2265777576086132</v>
      </c>
      <c r="W832" s="304">
        <f t="shared" ca="1" si="352"/>
        <v>60.275151893675265</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2.3436408590739353</v>
      </c>
      <c r="AH832" s="304">
        <f t="shared" ca="1" si="376"/>
        <v>-7.4065921834609201</v>
      </c>
    </row>
    <row r="833" spans="1:34" x14ac:dyDescent="0.2">
      <c r="A833" s="347">
        <f t="shared" ca="1" si="354"/>
        <v>1E-4</v>
      </c>
      <c r="B833" s="304">
        <f t="shared" ca="1" si="355"/>
        <v>34.512400000000589</v>
      </c>
      <c r="D833" s="306">
        <f t="shared" ca="1" si="356"/>
        <v>-0.81632995886378013</v>
      </c>
      <c r="E833" s="307">
        <f t="shared" ca="1" si="357"/>
        <v>-2.4484941886822851</v>
      </c>
      <c r="F833" s="304">
        <f t="shared" ca="1" si="358"/>
        <v>2.5809917461606617</v>
      </c>
      <c r="G833" s="306">
        <f t="shared" ca="1" si="359"/>
        <v>13.443033095942145</v>
      </c>
      <c r="H833" s="307">
        <f t="shared" ca="1" si="360"/>
        <v>-121.22765556092719</v>
      </c>
      <c r="I833" s="304">
        <f t="shared" ca="1" si="361"/>
        <v>121.97073260261003</v>
      </c>
      <c r="J833" s="306">
        <f t="shared" ca="1" si="362"/>
        <v>859.24597237897774</v>
      </c>
      <c r="K833" s="307">
        <f t="shared" ca="1" si="363"/>
        <v>-12.883487764816691</v>
      </c>
      <c r="L833" s="304">
        <f t="shared" ca="1" si="348"/>
        <v>859.34255411127003</v>
      </c>
      <c r="M833" s="306">
        <f t="shared" ca="1" si="364"/>
        <v>-1.4603567239543187</v>
      </c>
      <c r="N833" s="304">
        <f t="shared" ca="1" si="365"/>
        <v>-83.67227686613387</v>
      </c>
      <c r="P833" s="310">
        <f t="shared" ca="1" si="366"/>
        <v>23</v>
      </c>
      <c r="Q833" s="304">
        <f t="shared" ca="1" si="367"/>
        <v>0</v>
      </c>
      <c r="R833" s="306">
        <f t="shared" ca="1" si="368"/>
        <v>0</v>
      </c>
      <c r="S833" s="307">
        <f t="shared" ca="1" si="369"/>
        <v>8.1379999999999981</v>
      </c>
      <c r="T833" s="304">
        <f t="shared" ca="1" si="349"/>
        <v>79.83377999999999</v>
      </c>
      <c r="U833" s="311">
        <f t="shared" ca="1" si="350"/>
        <v>0</v>
      </c>
      <c r="V833" s="306">
        <f t="shared" ca="1" si="351"/>
        <v>1.2265792445600883</v>
      </c>
      <c r="W833" s="304">
        <f t="shared" ca="1" si="352"/>
        <v>60.275456595982561</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2.3436043753384483</v>
      </c>
      <c r="AH833" s="304">
        <f t="shared" ca="1" si="376"/>
        <v>-7.4066296256666595</v>
      </c>
    </row>
    <row r="834" spans="1:34" x14ac:dyDescent="0.2">
      <c r="A834" s="347">
        <f t="shared" ca="1" si="354"/>
        <v>1E-4</v>
      </c>
      <c r="B834" s="304">
        <f t="shared" ca="1" si="355"/>
        <v>34.512500000000593</v>
      </c>
      <c r="D834" s="306">
        <f t="shared" ca="1" si="356"/>
        <v>-0.81632755986249828</v>
      </c>
      <c r="E834" s="307">
        <f t="shared" ca="1" si="357"/>
        <v>-2.4484562512328196</v>
      </c>
      <c r="F834" s="304">
        <f t="shared" ca="1" si="358"/>
        <v>2.5809549975139308</v>
      </c>
      <c r="G834" s="306">
        <f t="shared" ca="1" si="359"/>
        <v>13.442951463186159</v>
      </c>
      <c r="H834" s="307">
        <f t="shared" ca="1" si="360"/>
        <v>-121.22790040655231</v>
      </c>
      <c r="I834" s="304">
        <f t="shared" ca="1" si="361"/>
        <v>121.97096695944714</v>
      </c>
      <c r="J834" s="306">
        <f t="shared" ca="1" si="362"/>
        <v>859.24597237897774</v>
      </c>
      <c r="K834" s="307">
        <f t="shared" ca="1" si="363"/>
        <v>-12.895610542615065</v>
      </c>
      <c r="L834" s="304">
        <f t="shared" ca="1" si="348"/>
        <v>859.3427359446066</v>
      </c>
      <c r="M834" s="306">
        <f t="shared" ca="1" si="364"/>
        <v>-1.4603576104041791</v>
      </c>
      <c r="N834" s="304">
        <f t="shared" ca="1" si="365"/>
        <v>-83.672327655969625</v>
      </c>
      <c r="P834" s="310">
        <f t="shared" ca="1" si="366"/>
        <v>23</v>
      </c>
      <c r="Q834" s="304">
        <f t="shared" ca="1" si="367"/>
        <v>0</v>
      </c>
      <c r="R834" s="306">
        <f t="shared" ca="1" si="368"/>
        <v>0</v>
      </c>
      <c r="S834" s="307">
        <f t="shared" ca="1" si="369"/>
        <v>8.1379999999999981</v>
      </c>
      <c r="T834" s="304">
        <f t="shared" ca="1" si="349"/>
        <v>79.83377999999999</v>
      </c>
      <c r="U834" s="311">
        <f t="shared" ca="1" si="350"/>
        <v>0</v>
      </c>
      <c r="V834" s="306">
        <f t="shared" ca="1" si="351"/>
        <v>1.2265807315163708</v>
      </c>
      <c r="W834" s="304">
        <f t="shared" ca="1" si="352"/>
        <v>60.275761295926891</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2.3435678918761651</v>
      </c>
      <c r="AH834" s="304">
        <f t="shared" ca="1" si="376"/>
        <v>-7.4066670675820321</v>
      </c>
    </row>
    <row r="835" spans="1:34" x14ac:dyDescent="0.2">
      <c r="A835" s="347">
        <f t="shared" ca="1" si="354"/>
        <v>1E-4</v>
      </c>
      <c r="B835" s="304">
        <f t="shared" ca="1" si="355"/>
        <v>34.512600000000596</v>
      </c>
      <c r="D835" s="306">
        <f t="shared" ca="1" si="356"/>
        <v>-0.81632516082730311</v>
      </c>
      <c r="E835" s="307">
        <f t="shared" ca="1" si="357"/>
        <v>-2.4484183140775935</v>
      </c>
      <c r="F835" s="304">
        <f t="shared" ca="1" si="358"/>
        <v>2.5809182491722376</v>
      </c>
      <c r="G835" s="306">
        <f t="shared" ca="1" si="359"/>
        <v>13.442869830670077</v>
      </c>
      <c r="H835" s="307">
        <f t="shared" ca="1" si="360"/>
        <v>-121.22814524838371</v>
      </c>
      <c r="I835" s="304">
        <f t="shared" ca="1" si="361"/>
        <v>121.97120131263593</v>
      </c>
      <c r="J835" s="306">
        <f t="shared" ca="1" si="362"/>
        <v>859.24597237897774</v>
      </c>
      <c r="K835" s="307">
        <f t="shared" ca="1" si="363"/>
        <v>-12.907733344897812</v>
      </c>
      <c r="L835" s="304">
        <f t="shared" ca="1" si="348"/>
        <v>859.34291794928868</v>
      </c>
      <c r="M835" s="306">
        <f t="shared" ca="1" si="364"/>
        <v>-1.4603584968452503</v>
      </c>
      <c r="N835" s="304">
        <f t="shared" ca="1" si="365"/>
        <v>-83.672378445301788</v>
      </c>
      <c r="P835" s="310">
        <f t="shared" ca="1" si="366"/>
        <v>23</v>
      </c>
      <c r="Q835" s="304">
        <f t="shared" ca="1" si="367"/>
        <v>0</v>
      </c>
      <c r="R835" s="306">
        <f t="shared" ca="1" si="368"/>
        <v>0</v>
      </c>
      <c r="S835" s="307">
        <f t="shared" ca="1" si="369"/>
        <v>8.1379999999999981</v>
      </c>
      <c r="T835" s="304">
        <f t="shared" ca="1" si="349"/>
        <v>79.83377999999999</v>
      </c>
      <c r="U835" s="311">
        <f t="shared" ca="1" si="350"/>
        <v>0</v>
      </c>
      <c r="V835" s="306">
        <f t="shared" ca="1" si="351"/>
        <v>1.2265822184774602</v>
      </c>
      <c r="W835" s="304">
        <f t="shared" ca="1" si="352"/>
        <v>60.276065993508219</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2.3435314086870767</v>
      </c>
      <c r="AH835" s="304">
        <f t="shared" ca="1" si="376"/>
        <v>-7.4067045092070414</v>
      </c>
    </row>
    <row r="836" spans="1:34" x14ac:dyDescent="0.2">
      <c r="A836" s="347">
        <f t="shared" ca="1" si="354"/>
        <v>1E-4</v>
      </c>
      <c r="B836" s="304">
        <f t="shared" ca="1" si="355"/>
        <v>34.512700000000599</v>
      </c>
      <c r="D836" s="306">
        <f t="shared" ca="1" si="356"/>
        <v>-0.81632276175819096</v>
      </c>
      <c r="E836" s="307">
        <f t="shared" ca="1" si="357"/>
        <v>-2.4483803772166057</v>
      </c>
      <c r="F836" s="304">
        <f t="shared" ca="1" si="358"/>
        <v>2.5808815011355808</v>
      </c>
      <c r="G836" s="306">
        <f t="shared" ca="1" si="359"/>
        <v>13.442788198393901</v>
      </c>
      <c r="H836" s="307">
        <f t="shared" ca="1" si="360"/>
        <v>-121.22839008642143</v>
      </c>
      <c r="I836" s="304">
        <f t="shared" ca="1" si="361"/>
        <v>121.9714356621764</v>
      </c>
      <c r="J836" s="306">
        <f t="shared" ca="1" si="362"/>
        <v>859.24597237897774</v>
      </c>
      <c r="K836" s="307">
        <f t="shared" ca="1" si="363"/>
        <v>-12.919856171664552</v>
      </c>
      <c r="L836" s="304">
        <f t="shared" ref="L836:L899" ca="1" si="377">SQRT(pos_x^2+pos_z^2)</f>
        <v>859.34310012531751</v>
      </c>
      <c r="M836" s="306">
        <f t="shared" ca="1" si="364"/>
        <v>-1.4603593832775321</v>
      </c>
      <c r="N836" s="304">
        <f t="shared" ca="1" si="365"/>
        <v>-83.672429234130362</v>
      </c>
      <c r="P836" s="310">
        <f t="shared" ca="1" si="366"/>
        <v>23</v>
      </c>
      <c r="Q836" s="304">
        <f t="shared" ca="1" si="367"/>
        <v>0</v>
      </c>
      <c r="R836" s="306">
        <f t="shared" ca="1" si="368"/>
        <v>0</v>
      </c>
      <c r="S836" s="307">
        <f t="shared" ca="1" si="369"/>
        <v>8.1379999999999981</v>
      </c>
      <c r="T836" s="304">
        <f t="shared" ref="T836:T899" ca="1" si="378">m*g</f>
        <v>79.83377999999999</v>
      </c>
      <c r="U836" s="311">
        <f t="shared" ref="U836:U899" ca="1" si="379">IF(pos_xz&lt;L_rampe,Poids*COS(Beta),0)</f>
        <v>0</v>
      </c>
      <c r="V836" s="306">
        <f t="shared" ref="V836:V899" ca="1" si="380">Rho_moyen*(20000-Alt_rampe-pos_z)/(20000+Alt_rampe+pos_z)</f>
        <v>1.2265837054433566</v>
      </c>
      <c r="W836" s="304">
        <f t="shared" ref="W836:W899" ca="1" si="381">1/2*Rho*Sref*Cx*vit_xz^2</f>
        <v>60.27637068872653</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2.3434949257711928</v>
      </c>
      <c r="AH836" s="304">
        <f t="shared" ca="1" si="376"/>
        <v>-7.4067419505416847</v>
      </c>
    </row>
    <row r="837" spans="1:34" x14ac:dyDescent="0.2">
      <c r="A837" s="347">
        <f t="shared" ref="A837:A900" ca="1" si="383">IF(B836+0.01&lt;=T_ini+ROUNDUP(Temps_fin_propu,0), 0.01, IF(K836&gt;0, 0.1, 0.0001))</f>
        <v>1E-4</v>
      </c>
      <c r="B837" s="304">
        <f t="shared" ref="B837:B900" ca="1" si="384">B836+pas</f>
        <v>34.512800000000603</v>
      </c>
      <c r="D837" s="306">
        <f t="shared" ref="D837:D900" ca="1" si="385">IF(AND(L836&lt;L_rampe,Poussee&lt;Poids*SIN(M836)),0,(-W836+Poussee)/m*COS(M836)-U836/m*SIN(M836))</f>
        <v>-0.81632036265516517</v>
      </c>
      <c r="E837" s="307">
        <f t="shared" ref="E837:E900" ca="1" si="386">IF(AND(L836&lt;L_rampe,Poussee&lt;Poids*SIN(M836)),0,(-W836+Poussee)/m*SIN(M836)+U836/m*COS(M836)-Poids/m)</f>
        <v>-2.4483424406498626</v>
      </c>
      <c r="F837" s="304">
        <f t="shared" ref="F837:F900" ca="1" si="387">SQRT(acc_x^2+acc_z^2)</f>
        <v>2.5808447534039676</v>
      </c>
      <c r="G837" s="306">
        <f t="shared" ref="G837:G900" ca="1" si="388">G836+acc_x*pas</f>
        <v>13.442706566357636</v>
      </c>
      <c r="H837" s="307">
        <f t="shared" ref="H837:H900" ca="1" si="389">H836+acc_z*pas</f>
        <v>-121.2286349206655</v>
      </c>
      <c r="I837" s="304">
        <f t="shared" ref="I837:I900" ca="1" si="390">SQRT(vit_x^2+vit_z^2)</f>
        <v>121.97167000806866</v>
      </c>
      <c r="J837" s="306">
        <f t="shared" ref="J837:J900" ca="1" si="391">J836+0.5*(vit_x+G836)*pas*(K836&gt;=0)</f>
        <v>859.24597237897774</v>
      </c>
      <c r="K837" s="307">
        <f t="shared" ref="K837:K900" ca="1" si="392">K836+0.5*(vit_z+H836)*pas</f>
        <v>-12.931979022914906</v>
      </c>
      <c r="L837" s="304">
        <f t="shared" ca="1" si="377"/>
        <v>859.34328247269377</v>
      </c>
      <c r="M837" s="306">
        <f t="shared" ref="M837:M900" ca="1" si="393">IF(AND(L836&gt;L_rampe,G837&gt;0),ATAN2(G837,H837),$M$4)</f>
        <v>-1.4603602697010249</v>
      </c>
      <c r="N837" s="304">
        <f t="shared" ref="N837:N900" ca="1" si="394">DEGREES(Beta)</f>
        <v>-83.67248002245536</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8.1379999999999981</v>
      </c>
      <c r="T837" s="304">
        <f t="shared" ca="1" si="378"/>
        <v>79.83377999999999</v>
      </c>
      <c r="U837" s="311">
        <f t="shared" ca="1" si="379"/>
        <v>0</v>
      </c>
      <c r="V837" s="306">
        <f t="shared" ca="1" si="380"/>
        <v>1.2265851924140596</v>
      </c>
      <c r="W837" s="304">
        <f t="shared" ca="1" si="381"/>
        <v>60.27667538158186</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2.3434584431285117</v>
      </c>
      <c r="AH837" s="304">
        <f t="shared" ref="AH837:AH900" ca="1" si="405">IF(AND(L836&lt;L_rampe,Poussee&lt;Poids*SIN(M836)), g*SIN(M836), (-W836+Poussee)/m)</f>
        <v>-7.4067793915859603</v>
      </c>
    </row>
    <row r="838" spans="1:34" x14ac:dyDescent="0.2">
      <c r="A838" s="347">
        <f t="shared" ca="1" si="383"/>
        <v>1E-4</v>
      </c>
      <c r="B838" s="304">
        <f t="shared" ca="1" si="384"/>
        <v>34.512900000000606</v>
      </c>
      <c r="D838" s="306">
        <f t="shared" ca="1" si="385"/>
        <v>-0.81631796351822461</v>
      </c>
      <c r="E838" s="307">
        <f t="shared" ca="1" si="386"/>
        <v>-2.4483045043773579</v>
      </c>
      <c r="F838" s="304">
        <f t="shared" ca="1" si="387"/>
        <v>2.5808080059773917</v>
      </c>
      <c r="G838" s="306">
        <f t="shared" ca="1" si="388"/>
        <v>13.442624934561284</v>
      </c>
      <c r="H838" s="307">
        <f t="shared" ca="1" si="389"/>
        <v>-121.22887975111594</v>
      </c>
      <c r="I838" s="304">
        <f t="shared" ca="1" si="390"/>
        <v>121.97190435031264</v>
      </c>
      <c r="J838" s="306">
        <f t="shared" ca="1" si="391"/>
        <v>859.24597237897774</v>
      </c>
      <c r="K838" s="307">
        <f t="shared" ca="1" si="392"/>
        <v>-12.944101898648494</v>
      </c>
      <c r="L838" s="304">
        <f t="shared" ca="1" si="377"/>
        <v>859.34346499141861</v>
      </c>
      <c r="M838" s="306">
        <f t="shared" ca="1" si="393"/>
        <v>-1.4603611561157288</v>
      </c>
      <c r="N838" s="304">
        <f t="shared" ca="1" si="394"/>
        <v>-83.672530810276797</v>
      </c>
      <c r="P838" s="310">
        <f t="shared" ca="1" si="395"/>
        <v>23</v>
      </c>
      <c r="Q838" s="304">
        <f t="shared" ca="1" si="396"/>
        <v>0</v>
      </c>
      <c r="R838" s="306">
        <f t="shared" ca="1" si="397"/>
        <v>0</v>
      </c>
      <c r="S838" s="307">
        <f t="shared" ca="1" si="398"/>
        <v>8.1379999999999981</v>
      </c>
      <c r="T838" s="304">
        <f t="shared" ca="1" si="378"/>
        <v>79.83377999999999</v>
      </c>
      <c r="U838" s="311">
        <f t="shared" ca="1" si="379"/>
        <v>0</v>
      </c>
      <c r="V838" s="306">
        <f t="shared" ca="1" si="380"/>
        <v>1.2265866793895694</v>
      </c>
      <c r="W838" s="304">
        <f t="shared" ca="1" si="381"/>
        <v>60.27698007207416</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2.3434219607590281</v>
      </c>
      <c r="AH838" s="304">
        <f t="shared" ca="1" si="405"/>
        <v>-7.4068168323398718</v>
      </c>
    </row>
    <row r="839" spans="1:34" x14ac:dyDescent="0.2">
      <c r="A839" s="347">
        <f t="shared" ca="1" si="383"/>
        <v>1E-4</v>
      </c>
      <c r="B839" s="304">
        <f t="shared" ca="1" si="384"/>
        <v>34.513000000000609</v>
      </c>
      <c r="D839" s="306">
        <f t="shared" ca="1" si="385"/>
        <v>-0.81631556434737029</v>
      </c>
      <c r="E839" s="307">
        <f t="shared" ca="1" si="386"/>
        <v>-2.4482665683990978</v>
      </c>
      <c r="F839" s="304">
        <f t="shared" ca="1" si="387"/>
        <v>2.5807712588558598</v>
      </c>
      <c r="G839" s="306">
        <f t="shared" ca="1" si="388"/>
        <v>13.442543303004848</v>
      </c>
      <c r="H839" s="307">
        <f t="shared" ca="1" si="389"/>
        <v>-121.22912457777278</v>
      </c>
      <c r="I839" s="304">
        <f t="shared" ca="1" si="390"/>
        <v>121.97213868890843</v>
      </c>
      <c r="J839" s="306">
        <f t="shared" ca="1" si="391"/>
        <v>859.24597237897774</v>
      </c>
      <c r="K839" s="307">
        <f t="shared" ca="1" si="392"/>
        <v>-12.956224798864939</v>
      </c>
      <c r="L839" s="304">
        <f t="shared" ca="1" si="377"/>
        <v>859.34364768149283</v>
      </c>
      <c r="M839" s="306">
        <f t="shared" ca="1" si="393"/>
        <v>-1.4603620425216437</v>
      </c>
      <c r="N839" s="304">
        <f t="shared" ca="1" si="394"/>
        <v>-83.672581597594643</v>
      </c>
      <c r="P839" s="310">
        <f t="shared" ca="1" si="395"/>
        <v>23</v>
      </c>
      <c r="Q839" s="304">
        <f t="shared" ca="1" si="396"/>
        <v>0</v>
      </c>
      <c r="R839" s="306">
        <f t="shared" ca="1" si="397"/>
        <v>0</v>
      </c>
      <c r="S839" s="307">
        <f t="shared" ca="1" si="398"/>
        <v>8.1379999999999981</v>
      </c>
      <c r="T839" s="304">
        <f t="shared" ca="1" si="378"/>
        <v>79.83377999999999</v>
      </c>
      <c r="U839" s="311">
        <f t="shared" ca="1" si="379"/>
        <v>0</v>
      </c>
      <c r="V839" s="306">
        <f t="shared" ca="1" si="380"/>
        <v>1.2265881663698863</v>
      </c>
      <c r="W839" s="304">
        <f t="shared" ca="1" si="381"/>
        <v>60.277284760203457</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2.3433854786627535</v>
      </c>
      <c r="AH839" s="304">
        <f t="shared" ca="1" si="405"/>
        <v>-7.4068542728034128</v>
      </c>
    </row>
    <row r="840" spans="1:34" x14ac:dyDescent="0.2">
      <c r="A840" s="347">
        <f t="shared" ca="1" si="383"/>
        <v>1E-4</v>
      </c>
      <c r="B840" s="304">
        <f t="shared" ca="1" si="384"/>
        <v>34.513100000000613</v>
      </c>
      <c r="D840" s="306">
        <f t="shared" ca="1" si="385"/>
        <v>-0.81631316514260466</v>
      </c>
      <c r="E840" s="307">
        <f t="shared" ca="1" si="386"/>
        <v>-2.448228632715078</v>
      </c>
      <c r="F840" s="304">
        <f t="shared" ca="1" si="387"/>
        <v>2.5807345120393683</v>
      </c>
      <c r="G840" s="306">
        <f t="shared" ca="1" si="388"/>
        <v>13.442461671688335</v>
      </c>
      <c r="H840" s="307">
        <f t="shared" ca="1" si="389"/>
        <v>-121.22936940063605</v>
      </c>
      <c r="I840" s="304">
        <f t="shared" ca="1" si="390"/>
        <v>121.97237302385602</v>
      </c>
      <c r="J840" s="306">
        <f t="shared" ca="1" si="391"/>
        <v>859.24597237897774</v>
      </c>
      <c r="K840" s="307">
        <f t="shared" ca="1" si="392"/>
        <v>-12.968347723563859</v>
      </c>
      <c r="L840" s="304">
        <f t="shared" ca="1" si="377"/>
        <v>859.34383054291732</v>
      </c>
      <c r="M840" s="306">
        <f t="shared" ca="1" si="393"/>
        <v>-1.4603629289187698</v>
      </c>
      <c r="N840" s="304">
        <f t="shared" ca="1" si="394"/>
        <v>-83.672632384408956</v>
      </c>
      <c r="P840" s="310">
        <f t="shared" ca="1" si="395"/>
        <v>23</v>
      </c>
      <c r="Q840" s="304">
        <f t="shared" ca="1" si="396"/>
        <v>0</v>
      </c>
      <c r="R840" s="306">
        <f t="shared" ca="1" si="397"/>
        <v>0</v>
      </c>
      <c r="S840" s="307">
        <f t="shared" ca="1" si="398"/>
        <v>8.1379999999999981</v>
      </c>
      <c r="T840" s="304">
        <f t="shared" ca="1" si="378"/>
        <v>79.83377999999999</v>
      </c>
      <c r="U840" s="311">
        <f t="shared" ca="1" si="379"/>
        <v>0</v>
      </c>
      <c r="V840" s="306">
        <f t="shared" ca="1" si="380"/>
        <v>1.22658965335501</v>
      </c>
      <c r="W840" s="304">
        <f t="shared" ca="1" si="381"/>
        <v>60.277589445969738</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2.3433489968396835</v>
      </c>
      <c r="AH840" s="304">
        <f t="shared" ca="1" si="405"/>
        <v>-7.4068917129765879</v>
      </c>
    </row>
    <row r="841" spans="1:34" x14ac:dyDescent="0.2">
      <c r="A841" s="347">
        <f t="shared" ca="1" si="383"/>
        <v>1E-4</v>
      </c>
      <c r="B841" s="304">
        <f t="shared" ca="1" si="384"/>
        <v>34.513200000000616</v>
      </c>
      <c r="D841" s="306">
        <f t="shared" ca="1" si="385"/>
        <v>-0.81631076590392737</v>
      </c>
      <c r="E841" s="307">
        <f t="shared" ca="1" si="386"/>
        <v>-2.4481906973253018</v>
      </c>
      <c r="F841" s="304">
        <f t="shared" ca="1" si="387"/>
        <v>2.5806977655279209</v>
      </c>
      <c r="G841" s="306">
        <f t="shared" ca="1" si="388"/>
        <v>13.442380040611745</v>
      </c>
      <c r="H841" s="307">
        <f t="shared" ca="1" si="389"/>
        <v>-121.22961421970578</v>
      </c>
      <c r="I841" s="304">
        <f t="shared" ca="1" si="390"/>
        <v>121.97260735515547</v>
      </c>
      <c r="J841" s="306">
        <f t="shared" ca="1" si="391"/>
        <v>859.24597237897774</v>
      </c>
      <c r="K841" s="307">
        <f t="shared" ca="1" si="392"/>
        <v>-12.980470672744877</v>
      </c>
      <c r="L841" s="304">
        <f t="shared" ca="1" si="377"/>
        <v>859.344013575693</v>
      </c>
      <c r="M841" s="306">
        <f t="shared" ca="1" si="393"/>
        <v>-1.4603638153071075</v>
      </c>
      <c r="N841" s="304">
        <f t="shared" ca="1" si="394"/>
        <v>-83.672683170719708</v>
      </c>
      <c r="P841" s="310">
        <f t="shared" ca="1" si="395"/>
        <v>23</v>
      </c>
      <c r="Q841" s="304">
        <f t="shared" ca="1" si="396"/>
        <v>0</v>
      </c>
      <c r="R841" s="306">
        <f t="shared" ca="1" si="397"/>
        <v>0</v>
      </c>
      <c r="S841" s="307">
        <f t="shared" ca="1" si="398"/>
        <v>8.1379999999999981</v>
      </c>
      <c r="T841" s="304">
        <f t="shared" ca="1" si="378"/>
        <v>79.83377999999999</v>
      </c>
      <c r="U841" s="311">
        <f t="shared" ca="1" si="379"/>
        <v>0</v>
      </c>
      <c r="V841" s="306">
        <f t="shared" ca="1" si="380"/>
        <v>1.2265911403449405</v>
      </c>
      <c r="W841" s="304">
        <f t="shared" ca="1" si="381"/>
        <v>60.277894129372996</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2.3433125152898153</v>
      </c>
      <c r="AH841" s="304">
        <f t="shared" ca="1" si="405"/>
        <v>-7.4069291528593943</v>
      </c>
    </row>
    <row r="842" spans="1:34" x14ac:dyDescent="0.2">
      <c r="A842" s="347">
        <f t="shared" ca="1" si="383"/>
        <v>1E-4</v>
      </c>
      <c r="B842" s="304">
        <f t="shared" ca="1" si="384"/>
        <v>34.513300000000619</v>
      </c>
      <c r="D842" s="306">
        <f t="shared" ca="1" si="385"/>
        <v>-0.81630836663133854</v>
      </c>
      <c r="E842" s="307">
        <f t="shared" ca="1" si="386"/>
        <v>-2.4481527622297694</v>
      </c>
      <c r="F842" s="304">
        <f t="shared" ca="1" si="387"/>
        <v>2.5806610193215174</v>
      </c>
      <c r="G842" s="306">
        <f t="shared" ca="1" si="388"/>
        <v>13.442298409775082</v>
      </c>
      <c r="H842" s="307">
        <f t="shared" ca="1" si="389"/>
        <v>-121.229859034982</v>
      </c>
      <c r="I842" s="304">
        <f t="shared" ca="1" si="390"/>
        <v>121.97284168280679</v>
      </c>
      <c r="J842" s="306">
        <f t="shared" ca="1" si="391"/>
        <v>859.24597237897774</v>
      </c>
      <c r="K842" s="307">
        <f t="shared" ca="1" si="392"/>
        <v>-12.992593646407611</v>
      </c>
      <c r="L842" s="304">
        <f t="shared" ca="1" si="377"/>
        <v>859.344196779821</v>
      </c>
      <c r="M842" s="306">
        <f t="shared" ca="1" si="393"/>
        <v>-1.4603647016866566</v>
      </c>
      <c r="N842" s="304">
        <f t="shared" ca="1" si="394"/>
        <v>-83.672733956526912</v>
      </c>
      <c r="P842" s="310">
        <f t="shared" ca="1" si="395"/>
        <v>23</v>
      </c>
      <c r="Q842" s="304">
        <f t="shared" ca="1" si="396"/>
        <v>0</v>
      </c>
      <c r="R842" s="306">
        <f t="shared" ca="1" si="397"/>
        <v>0</v>
      </c>
      <c r="S842" s="307">
        <f t="shared" ca="1" si="398"/>
        <v>8.1379999999999981</v>
      </c>
      <c r="T842" s="304">
        <f t="shared" ca="1" si="378"/>
        <v>79.83377999999999</v>
      </c>
      <c r="U842" s="311">
        <f t="shared" ca="1" si="379"/>
        <v>0</v>
      </c>
      <c r="V842" s="306">
        <f t="shared" ca="1" si="380"/>
        <v>1.2265926273396777</v>
      </c>
      <c r="W842" s="304">
        <f t="shared" ca="1" si="381"/>
        <v>60.278198810413222</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2.3432760340131562</v>
      </c>
      <c r="AH842" s="304">
        <f t="shared" ca="1" si="405"/>
        <v>-7.4069665924518322</v>
      </c>
    </row>
    <row r="843" spans="1:34" x14ac:dyDescent="0.2">
      <c r="A843" s="347">
        <f t="shared" ca="1" si="383"/>
        <v>1E-4</v>
      </c>
      <c r="B843" s="304">
        <f t="shared" ca="1" si="384"/>
        <v>34.513400000000622</v>
      </c>
      <c r="D843" s="306">
        <f t="shared" ca="1" si="385"/>
        <v>-0.81630596732483973</v>
      </c>
      <c r="E843" s="307">
        <f t="shared" ca="1" si="386"/>
        <v>-2.4481148274284816</v>
      </c>
      <c r="F843" s="304">
        <f t="shared" ca="1" si="387"/>
        <v>2.5806242734201597</v>
      </c>
      <c r="G843" s="306">
        <f t="shared" ca="1" si="388"/>
        <v>13.44221677917835</v>
      </c>
      <c r="H843" s="307">
        <f t="shared" ca="1" si="389"/>
        <v>-121.23010384646474</v>
      </c>
      <c r="I843" s="304">
        <f t="shared" ca="1" si="390"/>
        <v>121.97307600681</v>
      </c>
      <c r="J843" s="306">
        <f t="shared" ca="1" si="391"/>
        <v>859.24597237897774</v>
      </c>
      <c r="K843" s="307">
        <f t="shared" ca="1" si="392"/>
        <v>-13.004716644551683</v>
      </c>
      <c r="L843" s="304">
        <f t="shared" ca="1" si="377"/>
        <v>859.34438015530191</v>
      </c>
      <c r="M843" s="306">
        <f t="shared" ca="1" si="393"/>
        <v>-1.4603655880574173</v>
      </c>
      <c r="N843" s="304">
        <f t="shared" ca="1" si="394"/>
        <v>-83.672784741830597</v>
      </c>
      <c r="P843" s="310">
        <f t="shared" ca="1" si="395"/>
        <v>23</v>
      </c>
      <c r="Q843" s="304">
        <f t="shared" ca="1" si="396"/>
        <v>0</v>
      </c>
      <c r="R843" s="306">
        <f t="shared" ca="1" si="397"/>
        <v>0</v>
      </c>
      <c r="S843" s="307">
        <f t="shared" ca="1" si="398"/>
        <v>8.1379999999999981</v>
      </c>
      <c r="T843" s="304">
        <f t="shared" ca="1" si="378"/>
        <v>79.83377999999999</v>
      </c>
      <c r="U843" s="311">
        <f t="shared" ca="1" si="379"/>
        <v>0</v>
      </c>
      <c r="V843" s="306">
        <f t="shared" ca="1" si="380"/>
        <v>1.2265941143392216</v>
      </c>
      <c r="W843" s="304">
        <f t="shared" ca="1" si="381"/>
        <v>60.278503489090426</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2.3432395530097043</v>
      </c>
      <c r="AH843" s="304">
        <f t="shared" ca="1" si="405"/>
        <v>-7.4070040317538997</v>
      </c>
    </row>
    <row r="844" spans="1:34" x14ac:dyDescent="0.2">
      <c r="A844" s="347">
        <f t="shared" ca="1" si="383"/>
        <v>1E-4</v>
      </c>
      <c r="B844" s="304">
        <f t="shared" ca="1" si="384"/>
        <v>34.513500000000626</v>
      </c>
      <c r="D844" s="306">
        <f t="shared" ca="1" si="385"/>
        <v>-0.81630356798443149</v>
      </c>
      <c r="E844" s="307">
        <f t="shared" ca="1" si="386"/>
        <v>-2.4480768929214367</v>
      </c>
      <c r="F844" s="304">
        <f t="shared" ca="1" si="387"/>
        <v>2.5805875278238459</v>
      </c>
      <c r="G844" s="306">
        <f t="shared" ca="1" si="388"/>
        <v>13.442135148821553</v>
      </c>
      <c r="H844" s="307">
        <f t="shared" ca="1" si="389"/>
        <v>-121.23034865415404</v>
      </c>
      <c r="I844" s="304">
        <f t="shared" ca="1" si="390"/>
        <v>121.97331032716515</v>
      </c>
      <c r="J844" s="306">
        <f t="shared" ca="1" si="391"/>
        <v>859.24597237897774</v>
      </c>
      <c r="K844" s="307">
        <f t="shared" ca="1" si="392"/>
        <v>-13.016839667176715</v>
      </c>
      <c r="L844" s="304">
        <f t="shared" ca="1" si="377"/>
        <v>859.34456370213684</v>
      </c>
      <c r="M844" s="306">
        <f t="shared" ca="1" si="393"/>
        <v>-1.4603664744193898</v>
      </c>
      <c r="N844" s="304">
        <f t="shared" ca="1" si="394"/>
        <v>-83.672835526630735</v>
      </c>
      <c r="P844" s="310">
        <f t="shared" ca="1" si="395"/>
        <v>23</v>
      </c>
      <c r="Q844" s="304">
        <f t="shared" ca="1" si="396"/>
        <v>0</v>
      </c>
      <c r="R844" s="306">
        <f t="shared" ca="1" si="397"/>
        <v>0</v>
      </c>
      <c r="S844" s="307">
        <f t="shared" ca="1" si="398"/>
        <v>8.1379999999999981</v>
      </c>
      <c r="T844" s="304">
        <f t="shared" ca="1" si="378"/>
        <v>79.83377999999999</v>
      </c>
      <c r="U844" s="311">
        <f t="shared" ca="1" si="379"/>
        <v>0</v>
      </c>
      <c r="V844" s="306">
        <f t="shared" ca="1" si="380"/>
        <v>1.2265956013435724</v>
      </c>
      <c r="W844" s="304">
        <f t="shared" ca="1" si="381"/>
        <v>60.278808165404598</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2.3432030722794597</v>
      </c>
      <c r="AH844" s="304">
        <f t="shared" ca="1" si="405"/>
        <v>-7.4070414707655985</v>
      </c>
    </row>
    <row r="845" spans="1:34" x14ac:dyDescent="0.2">
      <c r="A845" s="347">
        <f t="shared" ca="1" si="383"/>
        <v>1E-4</v>
      </c>
      <c r="B845" s="304">
        <f t="shared" ca="1" si="384"/>
        <v>34.513600000000629</v>
      </c>
      <c r="D845" s="306">
        <f t="shared" ca="1" si="385"/>
        <v>-0.81630116861011515</v>
      </c>
      <c r="E845" s="307">
        <f t="shared" ca="1" si="386"/>
        <v>-2.4480389587086373</v>
      </c>
      <c r="F845" s="304">
        <f t="shared" ca="1" si="387"/>
        <v>2.5805507825325797</v>
      </c>
      <c r="G845" s="306">
        <f t="shared" ca="1" si="388"/>
        <v>13.442053518704691</v>
      </c>
      <c r="H845" s="307">
        <f t="shared" ca="1" si="389"/>
        <v>-121.23059345804991</v>
      </c>
      <c r="I845" s="304">
        <f t="shared" ca="1" si="390"/>
        <v>121.97354464387224</v>
      </c>
      <c r="J845" s="306">
        <f t="shared" ca="1" si="391"/>
        <v>859.24597237897774</v>
      </c>
      <c r="K845" s="307">
        <f t="shared" ca="1" si="392"/>
        <v>-13.028962714282326</v>
      </c>
      <c r="L845" s="304">
        <f t="shared" ca="1" si="377"/>
        <v>859.34474742032671</v>
      </c>
      <c r="M845" s="306">
        <f t="shared" ca="1" si="393"/>
        <v>-1.4603673607725745</v>
      </c>
      <c r="N845" s="304">
        <f t="shared" ca="1" si="394"/>
        <v>-83.672886310927368</v>
      </c>
      <c r="P845" s="310">
        <f t="shared" ca="1" si="395"/>
        <v>23</v>
      </c>
      <c r="Q845" s="304">
        <f t="shared" ca="1" si="396"/>
        <v>0</v>
      </c>
      <c r="R845" s="306">
        <f t="shared" ca="1" si="397"/>
        <v>0</v>
      </c>
      <c r="S845" s="307">
        <f t="shared" ca="1" si="398"/>
        <v>8.1379999999999981</v>
      </c>
      <c r="T845" s="304">
        <f t="shared" ca="1" si="378"/>
        <v>79.83377999999999</v>
      </c>
      <c r="U845" s="311">
        <f t="shared" ca="1" si="379"/>
        <v>0</v>
      </c>
      <c r="V845" s="306">
        <f t="shared" ca="1" si="380"/>
        <v>1.2265970883527295</v>
      </c>
      <c r="W845" s="304">
        <f t="shared" ca="1" si="381"/>
        <v>60.279112839355712</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2.3431665918224223</v>
      </c>
      <c r="AH845" s="304">
        <f t="shared" ca="1" si="405"/>
        <v>-7.4070789094869269</v>
      </c>
    </row>
    <row r="846" spans="1:34" x14ac:dyDescent="0.2">
      <c r="A846" s="347">
        <f t="shared" ca="1" si="383"/>
        <v>1E-4</v>
      </c>
      <c r="B846" s="304">
        <f t="shared" ca="1" si="384"/>
        <v>34.513700000000632</v>
      </c>
      <c r="D846" s="306">
        <f t="shared" ca="1" si="385"/>
        <v>-0.81629876920188893</v>
      </c>
      <c r="E846" s="307">
        <f t="shared" ca="1" si="386"/>
        <v>-2.4480010247900861</v>
      </c>
      <c r="F846" s="304">
        <f t="shared" ca="1" si="387"/>
        <v>2.5805140375463624</v>
      </c>
      <c r="G846" s="306">
        <f t="shared" ca="1" si="388"/>
        <v>13.441971888827771</v>
      </c>
      <c r="H846" s="307">
        <f t="shared" ca="1" si="389"/>
        <v>-121.23083825815239</v>
      </c>
      <c r="I846" s="304">
        <f t="shared" ca="1" si="390"/>
        <v>121.97377895693131</v>
      </c>
      <c r="J846" s="306">
        <f t="shared" ca="1" si="391"/>
        <v>859.24597237897774</v>
      </c>
      <c r="K846" s="307">
        <f t="shared" ca="1" si="392"/>
        <v>-13.041085785868136</v>
      </c>
      <c r="L846" s="304">
        <f t="shared" ca="1" si="377"/>
        <v>859.34493130987244</v>
      </c>
      <c r="M846" s="306">
        <f t="shared" ca="1" si="393"/>
        <v>-1.460368247116971</v>
      </c>
      <c r="N846" s="304">
        <f t="shared" ca="1" si="394"/>
        <v>-83.672937094720496</v>
      </c>
      <c r="P846" s="310">
        <f t="shared" ca="1" si="395"/>
        <v>23</v>
      </c>
      <c r="Q846" s="304">
        <f t="shared" ca="1" si="396"/>
        <v>0</v>
      </c>
      <c r="R846" s="306">
        <f t="shared" ca="1" si="397"/>
        <v>0</v>
      </c>
      <c r="S846" s="307">
        <f t="shared" ca="1" si="398"/>
        <v>8.1379999999999981</v>
      </c>
      <c r="T846" s="304">
        <f t="shared" ca="1" si="378"/>
        <v>79.83377999999999</v>
      </c>
      <c r="U846" s="311">
        <f t="shared" ca="1" si="379"/>
        <v>0</v>
      </c>
      <c r="V846" s="306">
        <f t="shared" ca="1" si="380"/>
        <v>1.2265985753666937</v>
      </c>
      <c r="W846" s="304">
        <f t="shared" ca="1" si="381"/>
        <v>60.279417510943823</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2.3431301116385983</v>
      </c>
      <c r="AH846" s="304">
        <f t="shared" ca="1" si="405"/>
        <v>-7.4071163479178823</v>
      </c>
    </row>
    <row r="847" spans="1:34" x14ac:dyDescent="0.2">
      <c r="A847" s="347">
        <f t="shared" ca="1" si="383"/>
        <v>1E-4</v>
      </c>
      <c r="B847" s="304">
        <f t="shared" ca="1" si="384"/>
        <v>34.513800000000636</v>
      </c>
      <c r="D847" s="306">
        <f t="shared" ca="1" si="385"/>
        <v>-0.81629636975975717</v>
      </c>
      <c r="E847" s="307">
        <f t="shared" ca="1" si="386"/>
        <v>-2.4479630911657768</v>
      </c>
      <c r="F847" s="304">
        <f t="shared" ca="1" si="387"/>
        <v>2.5804772928651909</v>
      </c>
      <c r="G847" s="306">
        <f t="shared" ca="1" si="388"/>
        <v>13.441890259190796</v>
      </c>
      <c r="H847" s="307">
        <f t="shared" ca="1" si="389"/>
        <v>-121.23108305446151</v>
      </c>
      <c r="I847" s="304">
        <f t="shared" ca="1" si="390"/>
        <v>121.9740132663424</v>
      </c>
      <c r="J847" s="306">
        <f t="shared" ca="1" si="391"/>
        <v>859.24597237897774</v>
      </c>
      <c r="K847" s="307">
        <f t="shared" ca="1" si="392"/>
        <v>-13.053208881933767</v>
      </c>
      <c r="L847" s="304">
        <f t="shared" ca="1" si="377"/>
        <v>859.34511537077492</v>
      </c>
      <c r="M847" s="306">
        <f t="shared" ca="1" si="393"/>
        <v>-1.4603691334525797</v>
      </c>
      <c r="N847" s="304">
        <f t="shared" ca="1" si="394"/>
        <v>-83.672987878010105</v>
      </c>
      <c r="P847" s="310">
        <f t="shared" ca="1" si="395"/>
        <v>23</v>
      </c>
      <c r="Q847" s="304">
        <f t="shared" ca="1" si="396"/>
        <v>0</v>
      </c>
      <c r="R847" s="306">
        <f t="shared" ca="1" si="397"/>
        <v>0</v>
      </c>
      <c r="S847" s="307">
        <f t="shared" ca="1" si="398"/>
        <v>8.1379999999999981</v>
      </c>
      <c r="T847" s="304">
        <f t="shared" ca="1" si="378"/>
        <v>79.83377999999999</v>
      </c>
      <c r="U847" s="311">
        <f t="shared" ca="1" si="379"/>
        <v>0</v>
      </c>
      <c r="V847" s="306">
        <f t="shared" ca="1" si="380"/>
        <v>1.2266000623854643</v>
      </c>
      <c r="W847" s="304">
        <f t="shared" ca="1" si="381"/>
        <v>60.279722180168861</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2.3430936317279798</v>
      </c>
      <c r="AH847" s="304">
        <f t="shared" ca="1" si="405"/>
        <v>-7.4071537860584709</v>
      </c>
    </row>
    <row r="848" spans="1:34" x14ac:dyDescent="0.2">
      <c r="A848" s="347">
        <f t="shared" ca="1" si="383"/>
        <v>1E-4</v>
      </c>
      <c r="B848" s="304">
        <f t="shared" ca="1" si="384"/>
        <v>34.513900000000639</v>
      </c>
      <c r="D848" s="306">
        <f t="shared" ca="1" si="385"/>
        <v>-0.81629397028371875</v>
      </c>
      <c r="E848" s="307">
        <f t="shared" ca="1" si="386"/>
        <v>-2.4479251578357148</v>
      </c>
      <c r="F848" s="304">
        <f t="shared" ca="1" si="387"/>
        <v>2.5804405484890687</v>
      </c>
      <c r="G848" s="306">
        <f t="shared" ca="1" si="388"/>
        <v>13.441808629793767</v>
      </c>
      <c r="H848" s="307">
        <f t="shared" ca="1" si="389"/>
        <v>-121.23132784697729</v>
      </c>
      <c r="I848" s="304">
        <f t="shared" ca="1" si="390"/>
        <v>121.97424757210553</v>
      </c>
      <c r="J848" s="306">
        <f t="shared" ca="1" si="391"/>
        <v>859.24597237897774</v>
      </c>
      <c r="K848" s="307">
        <f t="shared" ca="1" si="392"/>
        <v>-13.065332002478838</v>
      </c>
      <c r="L848" s="304">
        <f t="shared" ca="1" si="377"/>
        <v>859.34529960303496</v>
      </c>
      <c r="M848" s="306">
        <f t="shared" ca="1" si="393"/>
        <v>-1.4603700197794005</v>
      </c>
      <c r="N848" s="304">
        <f t="shared" ca="1" si="394"/>
        <v>-83.673038660796209</v>
      </c>
      <c r="P848" s="310">
        <f t="shared" ca="1" si="395"/>
        <v>23</v>
      </c>
      <c r="Q848" s="304">
        <f t="shared" ca="1" si="396"/>
        <v>0</v>
      </c>
      <c r="R848" s="306">
        <f t="shared" ca="1" si="397"/>
        <v>0</v>
      </c>
      <c r="S848" s="307">
        <f t="shared" ca="1" si="398"/>
        <v>8.1379999999999981</v>
      </c>
      <c r="T848" s="304">
        <f t="shared" ca="1" si="378"/>
        <v>79.83377999999999</v>
      </c>
      <c r="U848" s="311">
        <f t="shared" ca="1" si="379"/>
        <v>0</v>
      </c>
      <c r="V848" s="306">
        <f t="shared" ca="1" si="380"/>
        <v>1.2266015494090412</v>
      </c>
      <c r="W848" s="304">
        <f t="shared" ca="1" si="381"/>
        <v>60.280026847030861</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2.3430571520905783</v>
      </c>
      <c r="AH848" s="304">
        <f t="shared" ca="1" si="405"/>
        <v>-7.4071912239086846</v>
      </c>
    </row>
    <row r="849" spans="1:34" x14ac:dyDescent="0.2">
      <c r="A849" s="347">
        <f t="shared" ca="1" si="383"/>
        <v>1E-4</v>
      </c>
      <c r="B849" s="304">
        <f t="shared" ca="1" si="384"/>
        <v>34.514000000000642</v>
      </c>
      <c r="D849" s="306">
        <f t="shared" ca="1" si="385"/>
        <v>-0.8162915707737759</v>
      </c>
      <c r="E849" s="307">
        <f t="shared" ca="1" si="386"/>
        <v>-2.4478872247999011</v>
      </c>
      <c r="F849" s="304">
        <f t="shared" ca="1" si="387"/>
        <v>2.5804038044179984</v>
      </c>
      <c r="G849" s="306">
        <f t="shared" ca="1" si="388"/>
        <v>13.441727000636689</v>
      </c>
      <c r="H849" s="307">
        <f t="shared" ca="1" si="389"/>
        <v>-121.23157263569978</v>
      </c>
      <c r="I849" s="304">
        <f t="shared" ca="1" si="390"/>
        <v>121.97448187422071</v>
      </c>
      <c r="J849" s="306">
        <f t="shared" ca="1" si="391"/>
        <v>859.24597237897774</v>
      </c>
      <c r="K849" s="307">
        <f t="shared" ca="1" si="392"/>
        <v>-13.077455147502972</v>
      </c>
      <c r="L849" s="304">
        <f t="shared" ca="1" si="377"/>
        <v>859.34548400665369</v>
      </c>
      <c r="M849" s="306">
        <f t="shared" ca="1" si="393"/>
        <v>-1.4603709060974339</v>
      </c>
      <c r="N849" s="304">
        <f t="shared" ca="1" si="394"/>
        <v>-83.673089443078823</v>
      </c>
      <c r="P849" s="310">
        <f t="shared" ca="1" si="395"/>
        <v>23</v>
      </c>
      <c r="Q849" s="304">
        <f t="shared" ca="1" si="396"/>
        <v>0</v>
      </c>
      <c r="R849" s="306">
        <f t="shared" ca="1" si="397"/>
        <v>0</v>
      </c>
      <c r="S849" s="307">
        <f t="shared" ca="1" si="398"/>
        <v>8.1379999999999981</v>
      </c>
      <c r="T849" s="304">
        <f t="shared" ca="1" si="378"/>
        <v>79.83377999999999</v>
      </c>
      <c r="U849" s="311">
        <f t="shared" ca="1" si="379"/>
        <v>0</v>
      </c>
      <c r="V849" s="306">
        <f t="shared" ca="1" si="380"/>
        <v>1.226603036437425</v>
      </c>
      <c r="W849" s="304">
        <f t="shared" ca="1" si="381"/>
        <v>60.280331511529802</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2.3430206727263867</v>
      </c>
      <c r="AH849" s="304">
        <f t="shared" ca="1" si="405"/>
        <v>-7.407228661468527</v>
      </c>
    </row>
    <row r="850" spans="1:34" x14ac:dyDescent="0.2">
      <c r="A850" s="347">
        <f t="shared" ca="1" si="383"/>
        <v>1E-4</v>
      </c>
      <c r="B850" s="304">
        <f t="shared" ca="1" si="384"/>
        <v>34.514100000000646</v>
      </c>
      <c r="D850" s="306">
        <f t="shared" ca="1" si="385"/>
        <v>-0.81628917122992717</v>
      </c>
      <c r="E850" s="307">
        <f t="shared" ca="1" si="386"/>
        <v>-2.4478492920583346</v>
      </c>
      <c r="F850" s="304">
        <f t="shared" ca="1" si="387"/>
        <v>2.5803670606519784</v>
      </c>
      <c r="G850" s="306">
        <f t="shared" ca="1" si="388"/>
        <v>13.441645371719567</v>
      </c>
      <c r="H850" s="307">
        <f t="shared" ca="1" si="389"/>
        <v>-121.23181742062899</v>
      </c>
      <c r="I850" s="304">
        <f t="shared" ca="1" si="390"/>
        <v>121.97471617268798</v>
      </c>
      <c r="J850" s="306">
        <f t="shared" ca="1" si="391"/>
        <v>859.24597237897774</v>
      </c>
      <c r="K850" s="307">
        <f t="shared" ca="1" si="392"/>
        <v>-13.089578317005788</v>
      </c>
      <c r="L850" s="304">
        <f t="shared" ca="1" si="377"/>
        <v>859.34566858163191</v>
      </c>
      <c r="M850" s="306">
        <f t="shared" ca="1" si="393"/>
        <v>-1.4603717924066799</v>
      </c>
      <c r="N850" s="304">
        <f t="shared" ca="1" si="394"/>
        <v>-83.67314022485796</v>
      </c>
      <c r="P850" s="310">
        <f t="shared" ca="1" si="395"/>
        <v>23</v>
      </c>
      <c r="Q850" s="304">
        <f t="shared" ca="1" si="396"/>
        <v>0</v>
      </c>
      <c r="R850" s="306">
        <f t="shared" ca="1" si="397"/>
        <v>0</v>
      </c>
      <c r="S850" s="307">
        <f t="shared" ca="1" si="398"/>
        <v>8.1379999999999981</v>
      </c>
      <c r="T850" s="304">
        <f t="shared" ca="1" si="378"/>
        <v>79.83377999999999</v>
      </c>
      <c r="U850" s="311">
        <f t="shared" ca="1" si="379"/>
        <v>0</v>
      </c>
      <c r="V850" s="306">
        <f t="shared" ca="1" si="380"/>
        <v>1.2266045234706147</v>
      </c>
      <c r="W850" s="304">
        <f t="shared" ca="1" si="381"/>
        <v>60.280636173665663</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2.3429841936354068</v>
      </c>
      <c r="AH850" s="304">
        <f t="shared" ca="1" si="405"/>
        <v>-7.4072660987379964</v>
      </c>
    </row>
    <row r="851" spans="1:34" x14ac:dyDescent="0.2">
      <c r="A851" s="347">
        <f t="shared" ca="1" si="383"/>
        <v>1E-4</v>
      </c>
      <c r="B851" s="304">
        <f t="shared" ca="1" si="384"/>
        <v>34.514200000000649</v>
      </c>
      <c r="D851" s="306">
        <f t="shared" ca="1" si="385"/>
        <v>-0.81628677165217378</v>
      </c>
      <c r="E851" s="307">
        <f t="shared" ca="1" si="386"/>
        <v>-2.447811359611018</v>
      </c>
      <c r="F851" s="304">
        <f t="shared" ca="1" si="387"/>
        <v>2.5803303171910121</v>
      </c>
      <c r="G851" s="306">
        <f t="shared" ca="1" si="388"/>
        <v>13.441563743042401</v>
      </c>
      <c r="H851" s="307">
        <f t="shared" ca="1" si="389"/>
        <v>-121.23206220176495</v>
      </c>
      <c r="I851" s="304">
        <f t="shared" ca="1" si="390"/>
        <v>121.97495046750737</v>
      </c>
      <c r="J851" s="306">
        <f t="shared" ca="1" si="391"/>
        <v>859.24597237897774</v>
      </c>
      <c r="K851" s="307">
        <f t="shared" ca="1" si="392"/>
        <v>-13.101701510986908</v>
      </c>
      <c r="L851" s="304">
        <f t="shared" ca="1" si="377"/>
        <v>859.34585332797064</v>
      </c>
      <c r="M851" s="306">
        <f t="shared" ca="1" si="393"/>
        <v>-1.4603726787071387</v>
      </c>
      <c r="N851" s="304">
        <f t="shared" ca="1" si="394"/>
        <v>-83.673191006133635</v>
      </c>
      <c r="P851" s="310">
        <f t="shared" ca="1" si="395"/>
        <v>23</v>
      </c>
      <c r="Q851" s="304">
        <f t="shared" ca="1" si="396"/>
        <v>0</v>
      </c>
      <c r="R851" s="306">
        <f t="shared" ca="1" si="397"/>
        <v>0</v>
      </c>
      <c r="S851" s="307">
        <f t="shared" ca="1" si="398"/>
        <v>8.1379999999999981</v>
      </c>
      <c r="T851" s="304">
        <f t="shared" ca="1" si="378"/>
        <v>79.83377999999999</v>
      </c>
      <c r="U851" s="311">
        <f t="shared" ca="1" si="379"/>
        <v>0</v>
      </c>
      <c r="V851" s="306">
        <f t="shared" ca="1" si="380"/>
        <v>1.2266060105086112</v>
      </c>
      <c r="W851" s="304">
        <f t="shared" ca="1" si="381"/>
        <v>60.280940833438478</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2.3429477148176447</v>
      </c>
      <c r="AH851" s="304">
        <f t="shared" ca="1" si="405"/>
        <v>-7.40730353571709</v>
      </c>
    </row>
    <row r="852" spans="1:34" x14ac:dyDescent="0.2">
      <c r="A852" s="347">
        <f t="shared" ca="1" si="383"/>
        <v>1E-4</v>
      </c>
      <c r="B852" s="304">
        <f t="shared" ca="1" si="384"/>
        <v>34.514300000000652</v>
      </c>
      <c r="D852" s="306">
        <f t="shared" ca="1" si="385"/>
        <v>-0.8162843720405164</v>
      </c>
      <c r="E852" s="307">
        <f t="shared" ca="1" si="386"/>
        <v>-2.4477734274579488</v>
      </c>
      <c r="F852" s="304">
        <f t="shared" ca="1" si="387"/>
        <v>2.580293574035097</v>
      </c>
      <c r="G852" s="306">
        <f t="shared" ca="1" si="388"/>
        <v>13.441482114605197</v>
      </c>
      <c r="H852" s="307">
        <f t="shared" ca="1" si="389"/>
        <v>-121.23230697910769</v>
      </c>
      <c r="I852" s="304">
        <f t="shared" ca="1" si="390"/>
        <v>121.97518475867891</v>
      </c>
      <c r="J852" s="306">
        <f t="shared" ca="1" si="391"/>
        <v>859.24597237897774</v>
      </c>
      <c r="K852" s="307">
        <f t="shared" ca="1" si="392"/>
        <v>-13.113824729445952</v>
      </c>
      <c r="L852" s="304">
        <f t="shared" ca="1" si="377"/>
        <v>859.34603824567068</v>
      </c>
      <c r="M852" s="306">
        <f t="shared" ca="1" si="393"/>
        <v>-1.4603735649988101</v>
      </c>
      <c r="N852" s="304">
        <f t="shared" ca="1" si="394"/>
        <v>-83.67324178690582</v>
      </c>
      <c r="P852" s="310">
        <f t="shared" ca="1" si="395"/>
        <v>23</v>
      </c>
      <c r="Q852" s="304">
        <f t="shared" ca="1" si="396"/>
        <v>0</v>
      </c>
      <c r="R852" s="306">
        <f t="shared" ca="1" si="397"/>
        <v>0</v>
      </c>
      <c r="S852" s="307">
        <f t="shared" ca="1" si="398"/>
        <v>8.1379999999999981</v>
      </c>
      <c r="T852" s="304">
        <f t="shared" ca="1" si="378"/>
        <v>79.83377999999999</v>
      </c>
      <c r="U852" s="311">
        <f t="shared" ca="1" si="379"/>
        <v>0</v>
      </c>
      <c r="V852" s="306">
        <f t="shared" ca="1" si="380"/>
        <v>1.2266074975514145</v>
      </c>
      <c r="W852" s="304">
        <f t="shared" ca="1" si="381"/>
        <v>60.281245490848256</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2.3429112362730971</v>
      </c>
      <c r="AH852" s="304">
        <f t="shared" ca="1" si="405"/>
        <v>-7.4073409724058115</v>
      </c>
    </row>
    <row r="853" spans="1:34" x14ac:dyDescent="0.2">
      <c r="A853" s="347">
        <f t="shared" ca="1" si="383"/>
        <v>1E-4</v>
      </c>
      <c r="B853" s="304">
        <f t="shared" ca="1" si="384"/>
        <v>34.514400000000656</v>
      </c>
      <c r="D853" s="306">
        <f t="shared" ca="1" si="385"/>
        <v>-0.81628197239495837</v>
      </c>
      <c r="E853" s="307">
        <f t="shared" ca="1" si="386"/>
        <v>-2.4477354955991251</v>
      </c>
      <c r="F853" s="304">
        <f t="shared" ca="1" si="387"/>
        <v>2.5802568311842324</v>
      </c>
      <c r="G853" s="306">
        <f t="shared" ca="1" si="388"/>
        <v>13.441400486407957</v>
      </c>
      <c r="H853" s="307">
        <f t="shared" ca="1" si="389"/>
        <v>-121.23255175265724</v>
      </c>
      <c r="I853" s="304">
        <f t="shared" ca="1" si="390"/>
        <v>121.9754190462026</v>
      </c>
      <c r="J853" s="306">
        <f t="shared" ca="1" si="391"/>
        <v>859.24597237897774</v>
      </c>
      <c r="K853" s="307">
        <f t="shared" ca="1" si="392"/>
        <v>-13.125947972382541</v>
      </c>
      <c r="L853" s="304">
        <f t="shared" ca="1" si="377"/>
        <v>859.34622333473294</v>
      </c>
      <c r="M853" s="306">
        <f t="shared" ca="1" si="393"/>
        <v>-1.4603744512816945</v>
      </c>
      <c r="N853" s="304">
        <f t="shared" ca="1" si="394"/>
        <v>-83.673292567174556</v>
      </c>
      <c r="P853" s="310">
        <f t="shared" ca="1" si="395"/>
        <v>23</v>
      </c>
      <c r="Q853" s="304">
        <f t="shared" ca="1" si="396"/>
        <v>0</v>
      </c>
      <c r="R853" s="306">
        <f t="shared" ca="1" si="397"/>
        <v>0</v>
      </c>
      <c r="S853" s="307">
        <f t="shared" ca="1" si="398"/>
        <v>8.1379999999999981</v>
      </c>
      <c r="T853" s="304">
        <f t="shared" ca="1" si="378"/>
        <v>79.83377999999999</v>
      </c>
      <c r="U853" s="311">
        <f t="shared" ca="1" si="379"/>
        <v>0</v>
      </c>
      <c r="V853" s="306">
        <f t="shared" ca="1" si="380"/>
        <v>1.2266089845990236</v>
      </c>
      <c r="W853" s="304">
        <f t="shared" ca="1" si="381"/>
        <v>60.281550145894897</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2.342874758001761</v>
      </c>
      <c r="AH853" s="304">
        <f t="shared" ca="1" si="405"/>
        <v>-7.4073784088041617</v>
      </c>
    </row>
    <row r="854" spans="1:34" x14ac:dyDescent="0.2">
      <c r="A854" s="347">
        <f t="shared" ca="1" si="383"/>
        <v>1E-4</v>
      </c>
      <c r="B854" s="304">
        <f t="shared" ca="1" si="384"/>
        <v>34.514500000000659</v>
      </c>
      <c r="D854" s="306">
        <f t="shared" ca="1" si="385"/>
        <v>-0.81627957271549711</v>
      </c>
      <c r="E854" s="307">
        <f t="shared" ca="1" si="386"/>
        <v>-2.4476975640345575</v>
      </c>
      <c r="F854" s="304">
        <f t="shared" ca="1" si="387"/>
        <v>2.5802200886384288</v>
      </c>
      <c r="G854" s="306">
        <f t="shared" ca="1" si="388"/>
        <v>13.441318858450686</v>
      </c>
      <c r="H854" s="307">
        <f t="shared" ca="1" si="389"/>
        <v>-121.23279652241365</v>
      </c>
      <c r="I854" s="304">
        <f t="shared" ca="1" si="390"/>
        <v>121.97565333007852</v>
      </c>
      <c r="J854" s="306">
        <f t="shared" ca="1" si="391"/>
        <v>859.24597237897774</v>
      </c>
      <c r="K854" s="307">
        <f t="shared" ca="1" si="392"/>
        <v>-13.138071239796295</v>
      </c>
      <c r="L854" s="304">
        <f t="shared" ca="1" si="377"/>
        <v>859.34640859515844</v>
      </c>
      <c r="M854" s="306">
        <f t="shared" ca="1" si="393"/>
        <v>-1.4603753375557922</v>
      </c>
      <c r="N854" s="304">
        <f t="shared" ca="1" si="394"/>
        <v>-83.673343346939845</v>
      </c>
      <c r="P854" s="310">
        <f t="shared" ca="1" si="395"/>
        <v>23</v>
      </c>
      <c r="Q854" s="304">
        <f t="shared" ca="1" si="396"/>
        <v>0</v>
      </c>
      <c r="R854" s="306">
        <f t="shared" ca="1" si="397"/>
        <v>0</v>
      </c>
      <c r="S854" s="307">
        <f t="shared" ca="1" si="398"/>
        <v>8.1379999999999981</v>
      </c>
      <c r="T854" s="304">
        <f t="shared" ca="1" si="378"/>
        <v>79.83377999999999</v>
      </c>
      <c r="U854" s="311">
        <f t="shared" ca="1" si="379"/>
        <v>0</v>
      </c>
      <c r="V854" s="306">
        <f t="shared" ca="1" si="380"/>
        <v>1.2266104716514394</v>
      </c>
      <c r="W854" s="304">
        <f t="shared" ca="1" si="381"/>
        <v>60.281854798578522</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2.3428382800036491</v>
      </c>
      <c r="AH854" s="304">
        <f t="shared" ca="1" si="405"/>
        <v>-7.4074158449121299</v>
      </c>
    </row>
    <row r="855" spans="1:34" x14ac:dyDescent="0.2">
      <c r="A855" s="347">
        <f t="shared" ca="1" si="383"/>
        <v>1E-4</v>
      </c>
      <c r="B855" s="304">
        <f t="shared" ca="1" si="384"/>
        <v>34.514600000000662</v>
      </c>
      <c r="D855" s="306">
        <f t="shared" ca="1" si="385"/>
        <v>-0.81627717300213432</v>
      </c>
      <c r="E855" s="307">
        <f t="shared" ca="1" si="386"/>
        <v>-2.4476596327642337</v>
      </c>
      <c r="F855" s="304">
        <f t="shared" ca="1" si="387"/>
        <v>2.580183346397674</v>
      </c>
      <c r="G855" s="306">
        <f t="shared" ca="1" si="388"/>
        <v>13.441237230733385</v>
      </c>
      <c r="H855" s="307">
        <f t="shared" ca="1" si="389"/>
        <v>-121.23304128837692</v>
      </c>
      <c r="I855" s="304">
        <f t="shared" ca="1" si="390"/>
        <v>121.97588761030664</v>
      </c>
      <c r="J855" s="306">
        <f t="shared" ca="1" si="391"/>
        <v>859.24597237897774</v>
      </c>
      <c r="K855" s="307">
        <f t="shared" ca="1" si="392"/>
        <v>-13.150194531686834</v>
      </c>
      <c r="L855" s="304">
        <f t="shared" ca="1" si="377"/>
        <v>859.34659402694797</v>
      </c>
      <c r="M855" s="306">
        <f t="shared" ca="1" si="393"/>
        <v>-1.4603762238211029</v>
      </c>
      <c r="N855" s="304">
        <f t="shared" ca="1" si="394"/>
        <v>-83.673394126201671</v>
      </c>
      <c r="P855" s="310">
        <f t="shared" ca="1" si="395"/>
        <v>23</v>
      </c>
      <c r="Q855" s="304">
        <f t="shared" ca="1" si="396"/>
        <v>0</v>
      </c>
      <c r="R855" s="306">
        <f t="shared" ca="1" si="397"/>
        <v>0</v>
      </c>
      <c r="S855" s="307">
        <f t="shared" ca="1" si="398"/>
        <v>8.1379999999999981</v>
      </c>
      <c r="T855" s="304">
        <f t="shared" ca="1" si="378"/>
        <v>79.83377999999999</v>
      </c>
      <c r="U855" s="311">
        <f t="shared" ca="1" si="379"/>
        <v>0</v>
      </c>
      <c r="V855" s="306">
        <f t="shared" ca="1" si="380"/>
        <v>1.2266119587086617</v>
      </c>
      <c r="W855" s="304">
        <f t="shared" ca="1" si="381"/>
        <v>60.282159448899044</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2.3428018022787498</v>
      </c>
      <c r="AH855" s="304">
        <f t="shared" ca="1" si="405"/>
        <v>-7.4074532807297295</v>
      </c>
    </row>
    <row r="856" spans="1:34" x14ac:dyDescent="0.2">
      <c r="A856" s="347">
        <f t="shared" ca="1" si="383"/>
        <v>1E-4</v>
      </c>
      <c r="B856" s="304">
        <f t="shared" ca="1" si="384"/>
        <v>34.514700000000666</v>
      </c>
      <c r="D856" s="306">
        <f t="shared" ca="1" si="385"/>
        <v>-0.81627477325487197</v>
      </c>
      <c r="E856" s="307">
        <f t="shared" ca="1" si="386"/>
        <v>-2.4476217017881643</v>
      </c>
      <c r="F856" s="304">
        <f t="shared" ca="1" si="387"/>
        <v>2.5801466044619792</v>
      </c>
      <c r="G856" s="306">
        <f t="shared" ca="1" si="388"/>
        <v>13.44115560325606</v>
      </c>
      <c r="H856" s="307">
        <f t="shared" ca="1" si="389"/>
        <v>-121.23328605054711</v>
      </c>
      <c r="I856" s="304">
        <f t="shared" ca="1" si="390"/>
        <v>121.97612188688703</v>
      </c>
      <c r="J856" s="306">
        <f t="shared" ca="1" si="391"/>
        <v>859.24597237897774</v>
      </c>
      <c r="K856" s="307">
        <f t="shared" ca="1" si="392"/>
        <v>-13.16231784805378</v>
      </c>
      <c r="L856" s="304">
        <f t="shared" ca="1" si="377"/>
        <v>859.34677963010267</v>
      </c>
      <c r="M856" s="306">
        <f t="shared" ca="1" si="393"/>
        <v>-1.4603771100776268</v>
      </c>
      <c r="N856" s="304">
        <f t="shared" ca="1" si="394"/>
        <v>-83.673444904960064</v>
      </c>
      <c r="P856" s="310">
        <f t="shared" ca="1" si="395"/>
        <v>23</v>
      </c>
      <c r="Q856" s="304">
        <f t="shared" ca="1" si="396"/>
        <v>0</v>
      </c>
      <c r="R856" s="306">
        <f t="shared" ca="1" si="397"/>
        <v>0</v>
      </c>
      <c r="S856" s="307">
        <f t="shared" ca="1" si="398"/>
        <v>8.1379999999999981</v>
      </c>
      <c r="T856" s="304">
        <f t="shared" ca="1" si="378"/>
        <v>79.83377999999999</v>
      </c>
      <c r="U856" s="311">
        <f t="shared" ca="1" si="379"/>
        <v>0</v>
      </c>
      <c r="V856" s="306">
        <f t="shared" ca="1" si="380"/>
        <v>1.2266134457706901</v>
      </c>
      <c r="W856" s="304">
        <f t="shared" ca="1" si="381"/>
        <v>60.282464096856486</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2.3427653248270701</v>
      </c>
      <c r="AH856" s="304">
        <f t="shared" ca="1" si="405"/>
        <v>-7.4074907162569499</v>
      </c>
    </row>
    <row r="857" spans="1:34" x14ac:dyDescent="0.2">
      <c r="A857" s="347">
        <f t="shared" ca="1" si="383"/>
        <v>1E-4</v>
      </c>
      <c r="B857" s="304">
        <f t="shared" ca="1" si="384"/>
        <v>34.514800000000669</v>
      </c>
      <c r="D857" s="306">
        <f t="shared" ca="1" si="385"/>
        <v>-0.81627237347371084</v>
      </c>
      <c r="E857" s="307">
        <f t="shared" ca="1" si="386"/>
        <v>-2.4475837711063457</v>
      </c>
      <c r="F857" s="304">
        <f t="shared" ca="1" si="387"/>
        <v>2.5801098628313417</v>
      </c>
      <c r="G857" s="306">
        <f t="shared" ca="1" si="388"/>
        <v>13.441073976018712</v>
      </c>
      <c r="H857" s="307">
        <f t="shared" ca="1" si="389"/>
        <v>-121.23353080892421</v>
      </c>
      <c r="I857" s="304">
        <f t="shared" ca="1" si="390"/>
        <v>121.9763561598197</v>
      </c>
      <c r="J857" s="306">
        <f t="shared" ca="1" si="391"/>
        <v>859.24597237897774</v>
      </c>
      <c r="K857" s="307">
        <f t="shared" ca="1" si="392"/>
        <v>-13.174441188896754</v>
      </c>
      <c r="L857" s="304">
        <f t="shared" ca="1" si="377"/>
        <v>859.34696540462323</v>
      </c>
      <c r="M857" s="306">
        <f t="shared" ca="1" si="393"/>
        <v>-1.4603779963253645</v>
      </c>
      <c r="N857" s="304">
        <f t="shared" ca="1" si="394"/>
        <v>-83.673495683215023</v>
      </c>
      <c r="P857" s="310">
        <f t="shared" ca="1" si="395"/>
        <v>23</v>
      </c>
      <c r="Q857" s="304">
        <f t="shared" ca="1" si="396"/>
        <v>0</v>
      </c>
      <c r="R857" s="306">
        <f t="shared" ca="1" si="397"/>
        <v>0</v>
      </c>
      <c r="S857" s="307">
        <f t="shared" ca="1" si="398"/>
        <v>8.1379999999999981</v>
      </c>
      <c r="T857" s="304">
        <f t="shared" ca="1" si="378"/>
        <v>79.83377999999999</v>
      </c>
      <c r="U857" s="311">
        <f t="shared" ca="1" si="379"/>
        <v>0</v>
      </c>
      <c r="V857" s="306">
        <f t="shared" ca="1" si="380"/>
        <v>1.2266149328375247</v>
      </c>
      <c r="W857" s="304">
        <f t="shared" ca="1" si="381"/>
        <v>60.282768742450834</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2.3427288476486083</v>
      </c>
      <c r="AH857" s="304">
        <f t="shared" ca="1" si="405"/>
        <v>-7.4075281514937945</v>
      </c>
    </row>
    <row r="858" spans="1:34" x14ac:dyDescent="0.2">
      <c r="A858" s="347">
        <f t="shared" ca="1" si="383"/>
        <v>1E-4</v>
      </c>
      <c r="B858" s="304">
        <f t="shared" ca="1" si="384"/>
        <v>34.514900000000672</v>
      </c>
      <c r="D858" s="306">
        <f t="shared" ca="1" si="385"/>
        <v>-0.81626997365864906</v>
      </c>
      <c r="E858" s="307">
        <f t="shared" ca="1" si="386"/>
        <v>-2.4475458407187789</v>
      </c>
      <c r="F858" s="304">
        <f t="shared" ca="1" si="387"/>
        <v>2.580073121505762</v>
      </c>
      <c r="G858" s="306">
        <f t="shared" ca="1" si="388"/>
        <v>13.440992349021347</v>
      </c>
      <c r="H858" s="307">
        <f t="shared" ca="1" si="389"/>
        <v>-121.23377556350829</v>
      </c>
      <c r="I858" s="304">
        <f t="shared" ca="1" si="390"/>
        <v>121.97659042910468</v>
      </c>
      <c r="J858" s="306">
        <f t="shared" ca="1" si="391"/>
        <v>859.24597237897774</v>
      </c>
      <c r="K858" s="307">
        <f t="shared" ca="1" si="392"/>
        <v>-13.186564554215376</v>
      </c>
      <c r="L858" s="304">
        <f t="shared" ca="1" si="377"/>
        <v>859.34715135051067</v>
      </c>
      <c r="M858" s="306">
        <f t="shared" ca="1" si="393"/>
        <v>-1.4603788825643156</v>
      </c>
      <c r="N858" s="304">
        <f t="shared" ca="1" si="394"/>
        <v>-83.673546460966563</v>
      </c>
      <c r="P858" s="310">
        <f t="shared" ca="1" si="395"/>
        <v>23</v>
      </c>
      <c r="Q858" s="304">
        <f t="shared" ca="1" si="396"/>
        <v>0</v>
      </c>
      <c r="R858" s="306">
        <f t="shared" ca="1" si="397"/>
        <v>0</v>
      </c>
      <c r="S858" s="307">
        <f t="shared" ca="1" si="398"/>
        <v>8.1379999999999981</v>
      </c>
      <c r="T858" s="304">
        <f t="shared" ca="1" si="378"/>
        <v>79.83377999999999</v>
      </c>
      <c r="U858" s="311">
        <f t="shared" ca="1" si="379"/>
        <v>0</v>
      </c>
      <c r="V858" s="306">
        <f t="shared" ca="1" si="380"/>
        <v>1.2266164199091656</v>
      </c>
      <c r="W858" s="304">
        <f t="shared" ca="1" si="381"/>
        <v>60.283073385682094</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2.3426923707433698</v>
      </c>
      <c r="AH858" s="304">
        <f t="shared" ca="1" si="405"/>
        <v>-7.4075655864402616</v>
      </c>
    </row>
    <row r="859" spans="1:34" x14ac:dyDescent="0.2">
      <c r="A859" s="347">
        <f t="shared" ca="1" si="383"/>
        <v>1E-4</v>
      </c>
      <c r="B859" s="304">
        <f t="shared" ca="1" si="384"/>
        <v>34.515000000000676</v>
      </c>
      <c r="D859" s="306">
        <f t="shared" ca="1" si="385"/>
        <v>-0.81626757380969006</v>
      </c>
      <c r="E859" s="307">
        <f t="shared" ca="1" si="386"/>
        <v>-2.4475079106254638</v>
      </c>
      <c r="F859" s="304">
        <f t="shared" ca="1" si="387"/>
        <v>2.5800363804852404</v>
      </c>
      <c r="G859" s="306">
        <f t="shared" ca="1" si="388"/>
        <v>13.440910722263965</v>
      </c>
      <c r="H859" s="307">
        <f t="shared" ca="1" si="389"/>
        <v>-121.23402031429936</v>
      </c>
      <c r="I859" s="304">
        <f t="shared" ca="1" si="390"/>
        <v>121.97682469474199</v>
      </c>
      <c r="J859" s="306">
        <f t="shared" ca="1" si="391"/>
        <v>859.24597237897774</v>
      </c>
      <c r="K859" s="307">
        <f t="shared" ca="1" si="392"/>
        <v>-13.198687944009267</v>
      </c>
      <c r="L859" s="304">
        <f t="shared" ca="1" si="377"/>
        <v>859.3473374677659</v>
      </c>
      <c r="M859" s="306">
        <f t="shared" ca="1" si="393"/>
        <v>-1.4603797687944806</v>
      </c>
      <c r="N859" s="304">
        <f t="shared" ca="1" si="394"/>
        <v>-83.673597238214697</v>
      </c>
      <c r="P859" s="310">
        <f t="shared" ca="1" si="395"/>
        <v>23</v>
      </c>
      <c r="Q859" s="304">
        <f t="shared" ca="1" si="396"/>
        <v>0</v>
      </c>
      <c r="R859" s="306">
        <f t="shared" ca="1" si="397"/>
        <v>0</v>
      </c>
      <c r="S859" s="307">
        <f t="shared" ca="1" si="398"/>
        <v>8.1379999999999981</v>
      </c>
      <c r="T859" s="304">
        <f t="shared" ca="1" si="378"/>
        <v>79.83377999999999</v>
      </c>
      <c r="U859" s="311">
        <f t="shared" ca="1" si="379"/>
        <v>0</v>
      </c>
      <c r="V859" s="306">
        <f t="shared" ca="1" si="380"/>
        <v>1.2266179069856125</v>
      </c>
      <c r="W859" s="304">
        <f t="shared" ca="1" si="381"/>
        <v>60.283378026550267</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2.3426558941113509</v>
      </c>
      <c r="AH859" s="304">
        <f t="shared" ca="1" si="405"/>
        <v>-7.4076030210963513</v>
      </c>
    </row>
    <row r="860" spans="1:34" x14ac:dyDescent="0.2">
      <c r="A860" s="347">
        <f t="shared" ca="1" si="383"/>
        <v>1E-4</v>
      </c>
      <c r="B860" s="304">
        <f t="shared" ca="1" si="384"/>
        <v>34.515100000000679</v>
      </c>
      <c r="D860" s="306">
        <f t="shared" ca="1" si="385"/>
        <v>-0.8162651739268324</v>
      </c>
      <c r="E860" s="307">
        <f t="shared" ca="1" si="386"/>
        <v>-2.4474699808263995</v>
      </c>
      <c r="F860" s="304">
        <f t="shared" ca="1" si="387"/>
        <v>2.5799996397697766</v>
      </c>
      <c r="G860" s="306">
        <f t="shared" ca="1" si="388"/>
        <v>13.440829095746572</v>
      </c>
      <c r="H860" s="307">
        <f t="shared" ca="1" si="389"/>
        <v>-121.23426506129744</v>
      </c>
      <c r="I860" s="304">
        <f t="shared" ca="1" si="390"/>
        <v>121.97705895673165</v>
      </c>
      <c r="J860" s="306">
        <f t="shared" ca="1" si="391"/>
        <v>859.24597237897774</v>
      </c>
      <c r="K860" s="307">
        <f t="shared" ca="1" si="392"/>
        <v>-13.210811358278047</v>
      </c>
      <c r="L860" s="304">
        <f t="shared" ca="1" si="377"/>
        <v>859.34752375638982</v>
      </c>
      <c r="M860" s="306">
        <f t="shared" ca="1" si="393"/>
        <v>-1.4603806550158593</v>
      </c>
      <c r="N860" s="304">
        <f t="shared" ca="1" si="394"/>
        <v>-83.673648014959412</v>
      </c>
      <c r="P860" s="310">
        <f t="shared" ca="1" si="395"/>
        <v>23</v>
      </c>
      <c r="Q860" s="304">
        <f t="shared" ca="1" si="396"/>
        <v>0</v>
      </c>
      <c r="R860" s="306">
        <f t="shared" ca="1" si="397"/>
        <v>0</v>
      </c>
      <c r="S860" s="307">
        <f t="shared" ca="1" si="398"/>
        <v>8.1379999999999981</v>
      </c>
      <c r="T860" s="304">
        <f t="shared" ca="1" si="378"/>
        <v>79.83377999999999</v>
      </c>
      <c r="U860" s="311">
        <f t="shared" ca="1" si="379"/>
        <v>0</v>
      </c>
      <c r="V860" s="306">
        <f t="shared" ca="1" si="380"/>
        <v>1.2266193940668655</v>
      </c>
      <c r="W860" s="304">
        <f t="shared" ca="1" si="381"/>
        <v>60.283682665055302</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2.3426194177525543</v>
      </c>
      <c r="AH860" s="304">
        <f t="shared" ca="1" si="405"/>
        <v>-7.4076404554620643</v>
      </c>
    </row>
    <row r="861" spans="1:34" x14ac:dyDescent="0.2">
      <c r="A861" s="347">
        <f t="shared" ca="1" si="383"/>
        <v>1E-4</v>
      </c>
      <c r="B861" s="304">
        <f t="shared" ca="1" si="384"/>
        <v>34.515200000000682</v>
      </c>
      <c r="D861" s="306">
        <f t="shared" ca="1" si="385"/>
        <v>-0.81626277401007885</v>
      </c>
      <c r="E861" s="307">
        <f t="shared" ca="1" si="386"/>
        <v>-2.4474320513215941</v>
      </c>
      <c r="F861" s="304">
        <f t="shared" ca="1" si="387"/>
        <v>2.5799628993593795</v>
      </c>
      <c r="G861" s="306">
        <f t="shared" ca="1" si="388"/>
        <v>13.440747469469171</v>
      </c>
      <c r="H861" s="307">
        <f t="shared" ca="1" si="389"/>
        <v>-121.23450980450257</v>
      </c>
      <c r="I861" s="304">
        <f t="shared" ca="1" si="390"/>
        <v>121.97729321507373</v>
      </c>
      <c r="J861" s="306">
        <f t="shared" ca="1" si="391"/>
        <v>859.24597237897774</v>
      </c>
      <c r="K861" s="307">
        <f t="shared" ca="1" si="392"/>
        <v>-13.222934797021336</v>
      </c>
      <c r="L861" s="304">
        <f t="shared" ca="1" si="377"/>
        <v>859.34771021638335</v>
      </c>
      <c r="M861" s="306">
        <f t="shared" ca="1" si="393"/>
        <v>-1.460381541228452</v>
      </c>
      <c r="N861" s="304">
        <f t="shared" ca="1" si="394"/>
        <v>-83.673698791200721</v>
      </c>
      <c r="P861" s="310">
        <f t="shared" ca="1" si="395"/>
        <v>23</v>
      </c>
      <c r="Q861" s="304">
        <f t="shared" ca="1" si="396"/>
        <v>0</v>
      </c>
      <c r="R861" s="306">
        <f t="shared" ca="1" si="397"/>
        <v>0</v>
      </c>
      <c r="S861" s="307">
        <f t="shared" ca="1" si="398"/>
        <v>8.1379999999999981</v>
      </c>
      <c r="T861" s="304">
        <f t="shared" ca="1" si="378"/>
        <v>79.83377999999999</v>
      </c>
      <c r="U861" s="311">
        <f t="shared" ca="1" si="379"/>
        <v>0</v>
      </c>
      <c r="V861" s="306">
        <f t="shared" ca="1" si="380"/>
        <v>1.2266208811529249</v>
      </c>
      <c r="W861" s="304">
        <f t="shared" ca="1" si="381"/>
        <v>60.283987301197271</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2.3425829416669846</v>
      </c>
      <c r="AH861" s="304">
        <f t="shared" ca="1" si="405"/>
        <v>-7.4076778895373945</v>
      </c>
    </row>
    <row r="862" spans="1:34" x14ac:dyDescent="0.2">
      <c r="A862" s="347">
        <f t="shared" ca="1" si="383"/>
        <v>1E-4</v>
      </c>
      <c r="B862" s="304">
        <f t="shared" ca="1" si="384"/>
        <v>34.515300000000686</v>
      </c>
      <c r="D862" s="306">
        <f t="shared" ca="1" si="385"/>
        <v>-0.81626037405943053</v>
      </c>
      <c r="E862" s="307">
        <f t="shared" ca="1" si="386"/>
        <v>-2.4473941221110378</v>
      </c>
      <c r="F862" s="304">
        <f t="shared" ca="1" si="387"/>
        <v>2.5799261592540392</v>
      </c>
      <c r="G862" s="306">
        <f t="shared" ca="1" si="388"/>
        <v>13.440665843431765</v>
      </c>
      <c r="H862" s="307">
        <f t="shared" ca="1" si="389"/>
        <v>-121.23475454391478</v>
      </c>
      <c r="I862" s="304">
        <f t="shared" ca="1" si="390"/>
        <v>121.97752746976821</v>
      </c>
      <c r="J862" s="306">
        <f t="shared" ca="1" si="391"/>
        <v>859.24597237897774</v>
      </c>
      <c r="K862" s="307">
        <f t="shared" ca="1" si="392"/>
        <v>-13.235058260238757</v>
      </c>
      <c r="L862" s="304">
        <f t="shared" ca="1" si="377"/>
        <v>859.34789684774751</v>
      </c>
      <c r="M862" s="306">
        <f t="shared" ca="1" si="393"/>
        <v>-1.460382427432259</v>
      </c>
      <c r="N862" s="304">
        <f t="shared" ca="1" si="394"/>
        <v>-83.673749566938653</v>
      </c>
      <c r="P862" s="310">
        <f t="shared" ca="1" si="395"/>
        <v>23</v>
      </c>
      <c r="Q862" s="304">
        <f t="shared" ca="1" si="396"/>
        <v>0</v>
      </c>
      <c r="R862" s="306">
        <f t="shared" ca="1" si="397"/>
        <v>0</v>
      </c>
      <c r="S862" s="307">
        <f t="shared" ca="1" si="398"/>
        <v>8.1379999999999981</v>
      </c>
      <c r="T862" s="304">
        <f t="shared" ca="1" si="378"/>
        <v>79.83377999999999</v>
      </c>
      <c r="U862" s="311">
        <f t="shared" ca="1" si="379"/>
        <v>0</v>
      </c>
      <c r="V862" s="306">
        <f t="shared" ca="1" si="380"/>
        <v>1.2266223682437905</v>
      </c>
      <c r="W862" s="304">
        <f t="shared" ca="1" si="381"/>
        <v>60.28429193497611</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2.3425464658546336</v>
      </c>
      <c r="AH862" s="304">
        <f t="shared" ca="1" si="405"/>
        <v>-7.4077153233223498</v>
      </c>
    </row>
    <row r="863" spans="1:34" x14ac:dyDescent="0.2">
      <c r="A863" s="347">
        <f t="shared" ca="1" si="383"/>
        <v>1E-4</v>
      </c>
      <c r="B863" s="304">
        <f t="shared" ca="1" si="384"/>
        <v>34.515400000000689</v>
      </c>
      <c r="D863" s="306">
        <f t="shared" ca="1" si="385"/>
        <v>-0.81625797407488487</v>
      </c>
      <c r="E863" s="307">
        <f t="shared" ca="1" si="386"/>
        <v>-2.4473561931947376</v>
      </c>
      <c r="F863" s="304">
        <f t="shared" ca="1" si="387"/>
        <v>2.5798894194537629</v>
      </c>
      <c r="G863" s="306">
        <f t="shared" ca="1" si="388"/>
        <v>13.440584217634356</v>
      </c>
      <c r="H863" s="307">
        <f t="shared" ca="1" si="389"/>
        <v>-121.23499927953409</v>
      </c>
      <c r="I863" s="304">
        <f t="shared" ca="1" si="390"/>
        <v>121.97776172081514</v>
      </c>
      <c r="J863" s="306">
        <f t="shared" ca="1" si="391"/>
        <v>859.24597237897774</v>
      </c>
      <c r="K863" s="307">
        <f t="shared" ca="1" si="392"/>
        <v>-13.247181747929929</v>
      </c>
      <c r="L863" s="304">
        <f t="shared" ca="1" si="377"/>
        <v>859.34808365048309</v>
      </c>
      <c r="M863" s="306">
        <f t="shared" ca="1" si="393"/>
        <v>-1.4603833136272799</v>
      </c>
      <c r="N863" s="304">
        <f t="shared" ca="1" si="394"/>
        <v>-83.67380034217318</v>
      </c>
      <c r="P863" s="310">
        <f t="shared" ca="1" si="395"/>
        <v>23</v>
      </c>
      <c r="Q863" s="304">
        <f t="shared" ca="1" si="396"/>
        <v>0</v>
      </c>
      <c r="R863" s="306">
        <f t="shared" ca="1" si="397"/>
        <v>0</v>
      </c>
      <c r="S863" s="307">
        <f t="shared" ca="1" si="398"/>
        <v>8.1379999999999981</v>
      </c>
      <c r="T863" s="304">
        <f t="shared" ca="1" si="378"/>
        <v>79.83377999999999</v>
      </c>
      <c r="U863" s="311">
        <f t="shared" ca="1" si="379"/>
        <v>0</v>
      </c>
      <c r="V863" s="306">
        <f t="shared" ca="1" si="380"/>
        <v>1.2266238553394624</v>
      </c>
      <c r="W863" s="304">
        <f t="shared" ca="1" si="381"/>
        <v>60.284596566391876</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2.3425099903155102</v>
      </c>
      <c r="AH863" s="304">
        <f t="shared" ca="1" si="405"/>
        <v>-7.4077527568169232</v>
      </c>
    </row>
    <row r="864" spans="1:34" x14ac:dyDescent="0.2">
      <c r="A864" s="347">
        <f t="shared" ca="1" si="383"/>
        <v>1E-4</v>
      </c>
      <c r="B864" s="304">
        <f t="shared" ca="1" si="384"/>
        <v>34.515500000000692</v>
      </c>
      <c r="D864" s="306">
        <f t="shared" ca="1" si="385"/>
        <v>-0.81625557405644777</v>
      </c>
      <c r="E864" s="307">
        <f t="shared" ca="1" si="386"/>
        <v>-2.4473182645726874</v>
      </c>
      <c r="F864" s="304">
        <f t="shared" ca="1" si="387"/>
        <v>2.5798526799585462</v>
      </c>
      <c r="G864" s="306">
        <f t="shared" ca="1" si="388"/>
        <v>13.440502592076951</v>
      </c>
      <c r="H864" s="307">
        <f t="shared" ca="1" si="389"/>
        <v>-121.23524401136055</v>
      </c>
      <c r="I864" s="304">
        <f t="shared" ca="1" si="390"/>
        <v>121.97799596821453</v>
      </c>
      <c r="J864" s="306">
        <f t="shared" ca="1" si="391"/>
        <v>859.24597237897774</v>
      </c>
      <c r="K864" s="307">
        <f t="shared" ca="1" si="392"/>
        <v>-13.259305260094473</v>
      </c>
      <c r="L864" s="304">
        <f t="shared" ca="1" si="377"/>
        <v>859.34827062459101</v>
      </c>
      <c r="M864" s="306">
        <f t="shared" ca="1" si="393"/>
        <v>-1.4603841998135154</v>
      </c>
      <c r="N864" s="304">
        <f t="shared" ca="1" si="394"/>
        <v>-83.673851116904345</v>
      </c>
      <c r="P864" s="310">
        <f t="shared" ca="1" si="395"/>
        <v>23</v>
      </c>
      <c r="Q864" s="304">
        <f t="shared" ca="1" si="396"/>
        <v>0</v>
      </c>
      <c r="R864" s="306">
        <f t="shared" ca="1" si="397"/>
        <v>0</v>
      </c>
      <c r="S864" s="307">
        <f t="shared" ca="1" si="398"/>
        <v>8.1379999999999981</v>
      </c>
      <c r="T864" s="304">
        <f t="shared" ca="1" si="378"/>
        <v>79.83377999999999</v>
      </c>
      <c r="U864" s="311">
        <f t="shared" ca="1" si="379"/>
        <v>0</v>
      </c>
      <c r="V864" s="306">
        <f t="shared" ca="1" si="380"/>
        <v>1.2266253424399396</v>
      </c>
      <c r="W864" s="304">
        <f t="shared" ca="1" si="381"/>
        <v>60.284901195444469</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2.3424735150496074</v>
      </c>
      <c r="AH864" s="304">
        <f t="shared" ca="1" si="405"/>
        <v>-7.4077901900211218</v>
      </c>
    </row>
    <row r="865" spans="1:34" x14ac:dyDescent="0.2">
      <c r="A865" s="347">
        <f t="shared" ca="1" si="383"/>
        <v>1E-4</v>
      </c>
      <c r="B865" s="304">
        <f t="shared" ca="1" si="384"/>
        <v>34.515600000000696</v>
      </c>
      <c r="D865" s="306">
        <f t="shared" ca="1" si="385"/>
        <v>-0.8162531740041149</v>
      </c>
      <c r="E865" s="307">
        <f t="shared" ca="1" si="386"/>
        <v>-2.4472803362448996</v>
      </c>
      <c r="F865" s="304">
        <f t="shared" ca="1" si="387"/>
        <v>2.5798159407683992</v>
      </c>
      <c r="G865" s="306">
        <f t="shared" ca="1" si="388"/>
        <v>13.44042096675955</v>
      </c>
      <c r="H865" s="307">
        <f t="shared" ca="1" si="389"/>
        <v>-121.23548873939417</v>
      </c>
      <c r="I865" s="304">
        <f t="shared" ca="1" si="390"/>
        <v>121.97823021196643</v>
      </c>
      <c r="J865" s="306">
        <f t="shared" ca="1" si="391"/>
        <v>859.24597237897774</v>
      </c>
      <c r="K865" s="307">
        <f t="shared" ca="1" si="392"/>
        <v>-13.27142879673201</v>
      </c>
      <c r="L865" s="304">
        <f t="shared" ca="1" si="377"/>
        <v>859.34845777007229</v>
      </c>
      <c r="M865" s="306">
        <f t="shared" ca="1" si="393"/>
        <v>-1.4603850859909655</v>
      </c>
      <c r="N865" s="304">
        <f t="shared" ca="1" si="394"/>
        <v>-83.673901891132132</v>
      </c>
      <c r="P865" s="310">
        <f t="shared" ca="1" si="395"/>
        <v>23</v>
      </c>
      <c r="Q865" s="304">
        <f t="shared" ca="1" si="396"/>
        <v>0</v>
      </c>
      <c r="R865" s="306">
        <f t="shared" ca="1" si="397"/>
        <v>0</v>
      </c>
      <c r="S865" s="307">
        <f t="shared" ca="1" si="398"/>
        <v>8.1379999999999981</v>
      </c>
      <c r="T865" s="304">
        <f t="shared" ca="1" si="378"/>
        <v>79.83377999999999</v>
      </c>
      <c r="U865" s="311">
        <f t="shared" ca="1" si="379"/>
        <v>0</v>
      </c>
      <c r="V865" s="306">
        <f t="shared" ca="1" si="380"/>
        <v>1.2266268295452234</v>
      </c>
      <c r="W865" s="304">
        <f t="shared" ca="1" si="381"/>
        <v>60.285205822133989</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2.3424370400569394</v>
      </c>
      <c r="AH865" s="304">
        <f t="shared" ca="1" si="405"/>
        <v>-7.4078276229349331</v>
      </c>
    </row>
    <row r="866" spans="1:34" x14ac:dyDescent="0.2">
      <c r="A866" s="347">
        <f t="shared" ca="1" si="383"/>
        <v>1E-4</v>
      </c>
      <c r="B866" s="304">
        <f t="shared" ca="1" si="384"/>
        <v>34.515700000000699</v>
      </c>
      <c r="D866" s="306">
        <f t="shared" ca="1" si="385"/>
        <v>-0.81625077391788925</v>
      </c>
      <c r="E866" s="307">
        <f t="shared" ca="1" si="386"/>
        <v>-2.4472424082113617</v>
      </c>
      <c r="F866" s="304">
        <f t="shared" ca="1" si="387"/>
        <v>2.5797792018833121</v>
      </c>
      <c r="G866" s="306">
        <f t="shared" ca="1" si="388"/>
        <v>13.440339341682158</v>
      </c>
      <c r="H866" s="307">
        <f t="shared" ca="1" si="389"/>
        <v>-121.23573346363499</v>
      </c>
      <c r="I866" s="304">
        <f t="shared" ca="1" si="390"/>
        <v>121.97846445207085</v>
      </c>
      <c r="J866" s="306">
        <f t="shared" ca="1" si="391"/>
        <v>859.24597237897774</v>
      </c>
      <c r="K866" s="307">
        <f t="shared" ca="1" si="392"/>
        <v>-13.283552357842161</v>
      </c>
      <c r="L866" s="304">
        <f t="shared" ca="1" si="377"/>
        <v>859.34864508692772</v>
      </c>
      <c r="M866" s="306">
        <f t="shared" ca="1" si="393"/>
        <v>-1.4603859721596302</v>
      </c>
      <c r="N866" s="304">
        <f t="shared" ca="1" si="394"/>
        <v>-83.673952664856543</v>
      </c>
      <c r="P866" s="310">
        <f t="shared" ca="1" si="395"/>
        <v>23</v>
      </c>
      <c r="Q866" s="304">
        <f t="shared" ca="1" si="396"/>
        <v>0</v>
      </c>
      <c r="R866" s="306">
        <f t="shared" ca="1" si="397"/>
        <v>0</v>
      </c>
      <c r="S866" s="307">
        <f t="shared" ca="1" si="398"/>
        <v>8.1379999999999981</v>
      </c>
      <c r="T866" s="304">
        <f t="shared" ca="1" si="378"/>
        <v>79.83377999999999</v>
      </c>
      <c r="U866" s="311">
        <f t="shared" ca="1" si="379"/>
        <v>0</v>
      </c>
      <c r="V866" s="306">
        <f t="shared" ca="1" si="380"/>
        <v>1.2266283166553131</v>
      </c>
      <c r="W866" s="304">
        <f t="shared" ca="1" si="381"/>
        <v>60.285510446460364</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2.3424005653374893</v>
      </c>
      <c r="AH866" s="304">
        <f t="shared" ca="1" si="405"/>
        <v>-7.4078650555583687</v>
      </c>
    </row>
    <row r="867" spans="1:34" x14ac:dyDescent="0.2">
      <c r="A867" s="347">
        <f t="shared" ca="1" si="383"/>
        <v>1E-4</v>
      </c>
      <c r="B867" s="304">
        <f t="shared" ca="1" si="384"/>
        <v>34.515800000000702</v>
      </c>
      <c r="D867" s="306">
        <f t="shared" ca="1" si="385"/>
        <v>-0.8162483737977716</v>
      </c>
      <c r="E867" s="307">
        <f t="shared" ca="1" si="386"/>
        <v>-2.4472044804720818</v>
      </c>
      <c r="F867" s="304">
        <f t="shared" ca="1" si="387"/>
        <v>2.5797424633032922</v>
      </c>
      <c r="G867" s="306">
        <f t="shared" ca="1" si="388"/>
        <v>13.440257716844778</v>
      </c>
      <c r="H867" s="307">
        <f t="shared" ca="1" si="389"/>
        <v>-121.23597818408304</v>
      </c>
      <c r="I867" s="304">
        <f t="shared" ca="1" si="390"/>
        <v>121.97869868852784</v>
      </c>
      <c r="J867" s="306">
        <f t="shared" ca="1" si="391"/>
        <v>859.24597237897774</v>
      </c>
      <c r="K867" s="307">
        <f t="shared" ca="1" si="392"/>
        <v>-13.295675943424547</v>
      </c>
      <c r="L867" s="304">
        <f t="shared" ca="1" si="377"/>
        <v>859.34883257515833</v>
      </c>
      <c r="M867" s="306">
        <f t="shared" ca="1" si="393"/>
        <v>-1.4603868583195094</v>
      </c>
      <c r="N867" s="304">
        <f t="shared" ca="1" si="394"/>
        <v>-83.674003438077605</v>
      </c>
      <c r="P867" s="310">
        <f t="shared" ca="1" si="395"/>
        <v>23</v>
      </c>
      <c r="Q867" s="304">
        <f t="shared" ca="1" si="396"/>
        <v>0</v>
      </c>
      <c r="R867" s="306">
        <f t="shared" ca="1" si="397"/>
        <v>0</v>
      </c>
      <c r="S867" s="307">
        <f t="shared" ca="1" si="398"/>
        <v>8.1379999999999981</v>
      </c>
      <c r="T867" s="304">
        <f t="shared" ca="1" si="378"/>
        <v>79.83377999999999</v>
      </c>
      <c r="U867" s="311">
        <f t="shared" ca="1" si="379"/>
        <v>0</v>
      </c>
      <c r="V867" s="306">
        <f t="shared" ca="1" si="380"/>
        <v>1.2266298037702086</v>
      </c>
      <c r="W867" s="304">
        <f t="shared" ca="1" si="381"/>
        <v>60.285815068423602</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2.342364090891274</v>
      </c>
      <c r="AH867" s="304">
        <f t="shared" ca="1" si="405"/>
        <v>-7.4079024878914206</v>
      </c>
    </row>
    <row r="868" spans="1:34" x14ac:dyDescent="0.2">
      <c r="A868" s="347">
        <f t="shared" ca="1" si="383"/>
        <v>1E-4</v>
      </c>
      <c r="B868" s="304">
        <f t="shared" ca="1" si="384"/>
        <v>34.515900000000705</v>
      </c>
      <c r="D868" s="306">
        <f t="shared" ca="1" si="385"/>
        <v>-0.81624597364376372</v>
      </c>
      <c r="E868" s="307">
        <f t="shared" ca="1" si="386"/>
        <v>-2.4471665530270608</v>
      </c>
      <c r="F868" s="304">
        <f t="shared" ca="1" si="387"/>
        <v>2.5797057250283415</v>
      </c>
      <c r="G868" s="306">
        <f t="shared" ca="1" si="388"/>
        <v>13.440176092247414</v>
      </c>
      <c r="H868" s="307">
        <f t="shared" ca="1" si="389"/>
        <v>-121.23622290073834</v>
      </c>
      <c r="I868" s="304">
        <f t="shared" ca="1" si="390"/>
        <v>121.9789329213374</v>
      </c>
      <c r="J868" s="306">
        <f t="shared" ca="1" si="391"/>
        <v>859.24597237897774</v>
      </c>
      <c r="K868" s="307">
        <f t="shared" ca="1" si="392"/>
        <v>-13.307799553478787</v>
      </c>
      <c r="L868" s="304">
        <f t="shared" ca="1" si="377"/>
        <v>859.34902023476502</v>
      </c>
      <c r="M868" s="306">
        <f t="shared" ca="1" si="393"/>
        <v>-1.4603877444706037</v>
      </c>
      <c r="N868" s="304">
        <f t="shared" ca="1" si="394"/>
        <v>-83.674054210795319</v>
      </c>
      <c r="P868" s="310">
        <f t="shared" ca="1" si="395"/>
        <v>23</v>
      </c>
      <c r="Q868" s="304">
        <f t="shared" ca="1" si="396"/>
        <v>0</v>
      </c>
      <c r="R868" s="306">
        <f t="shared" ca="1" si="397"/>
        <v>0</v>
      </c>
      <c r="S868" s="307">
        <f t="shared" ca="1" si="398"/>
        <v>8.1379999999999981</v>
      </c>
      <c r="T868" s="304">
        <f t="shared" ca="1" si="378"/>
        <v>79.83377999999999</v>
      </c>
      <c r="U868" s="311">
        <f t="shared" ca="1" si="379"/>
        <v>0</v>
      </c>
      <c r="V868" s="306">
        <f t="shared" ca="1" si="380"/>
        <v>1.2266312908899102</v>
      </c>
      <c r="W868" s="304">
        <f t="shared" ca="1" si="381"/>
        <v>60.286119688023739</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2.3423276167182863</v>
      </c>
      <c r="AH868" s="304">
        <f t="shared" ca="1" si="405"/>
        <v>-7.4079399199340887</v>
      </c>
    </row>
    <row r="869" spans="1:34" x14ac:dyDescent="0.2">
      <c r="A869" s="347">
        <f t="shared" ca="1" si="383"/>
        <v>1E-4</v>
      </c>
      <c r="B869" s="304">
        <f t="shared" ca="1" si="384"/>
        <v>34.516000000000709</v>
      </c>
      <c r="D869" s="306">
        <f t="shared" ca="1" si="385"/>
        <v>-0.81624357345586485</v>
      </c>
      <c r="E869" s="307">
        <f t="shared" ca="1" si="386"/>
        <v>-2.4471286258762923</v>
      </c>
      <c r="F869" s="304">
        <f t="shared" ca="1" si="387"/>
        <v>2.5796689870584539</v>
      </c>
      <c r="G869" s="306">
        <f t="shared" ca="1" si="388"/>
        <v>13.440094467890068</v>
      </c>
      <c r="H869" s="307">
        <f t="shared" ca="1" si="389"/>
        <v>-121.23646761360092</v>
      </c>
      <c r="I869" s="304">
        <f t="shared" ca="1" si="390"/>
        <v>121.97916715049956</v>
      </c>
      <c r="J869" s="306">
        <f t="shared" ca="1" si="391"/>
        <v>859.24597237897774</v>
      </c>
      <c r="K869" s="307">
        <f t="shared" ca="1" si="392"/>
        <v>-13.319923188004504</v>
      </c>
      <c r="L869" s="304">
        <f t="shared" ca="1" si="377"/>
        <v>859.3492080657486</v>
      </c>
      <c r="M869" s="306">
        <f t="shared" ca="1" si="393"/>
        <v>-1.460388630612913</v>
      </c>
      <c r="N869" s="304">
        <f t="shared" ca="1" si="394"/>
        <v>-83.674104983009684</v>
      </c>
      <c r="P869" s="310">
        <f t="shared" ca="1" si="395"/>
        <v>23</v>
      </c>
      <c r="Q869" s="304">
        <f t="shared" ca="1" si="396"/>
        <v>0</v>
      </c>
      <c r="R869" s="306">
        <f t="shared" ca="1" si="397"/>
        <v>0</v>
      </c>
      <c r="S869" s="307">
        <f t="shared" ca="1" si="398"/>
        <v>8.1379999999999981</v>
      </c>
      <c r="T869" s="304">
        <f t="shared" ca="1" si="378"/>
        <v>79.83377999999999</v>
      </c>
      <c r="U869" s="311">
        <f t="shared" ca="1" si="379"/>
        <v>0</v>
      </c>
      <c r="V869" s="306">
        <f t="shared" ca="1" si="380"/>
        <v>1.2266327780144177</v>
      </c>
      <c r="W869" s="304">
        <f t="shared" ca="1" si="381"/>
        <v>60.286424305260702</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2.3422911428185271</v>
      </c>
      <c r="AH869" s="304">
        <f t="shared" ca="1" si="405"/>
        <v>-7.4079773516863794</v>
      </c>
    </row>
    <row r="870" spans="1:34" x14ac:dyDescent="0.2">
      <c r="A870" s="347">
        <f t="shared" ca="1" si="383"/>
        <v>1E-4</v>
      </c>
      <c r="B870" s="304">
        <f t="shared" ca="1" si="384"/>
        <v>34.516100000000712</v>
      </c>
      <c r="D870" s="306">
        <f t="shared" ca="1" si="385"/>
        <v>-0.81624117323407541</v>
      </c>
      <c r="E870" s="307">
        <f t="shared" ca="1" si="386"/>
        <v>-2.4470906990197863</v>
      </c>
      <c r="F870" s="304">
        <f t="shared" ca="1" si="387"/>
        <v>2.5796322493936392</v>
      </c>
      <c r="G870" s="306">
        <f t="shared" ca="1" si="388"/>
        <v>13.440012843772745</v>
      </c>
      <c r="H870" s="307">
        <f t="shared" ca="1" si="389"/>
        <v>-121.23671232267083</v>
      </c>
      <c r="I870" s="304">
        <f t="shared" ca="1" si="390"/>
        <v>121.97940137601438</v>
      </c>
      <c r="J870" s="306">
        <f t="shared" ca="1" si="391"/>
        <v>859.24597237897774</v>
      </c>
      <c r="K870" s="307">
        <f t="shared" ca="1" si="392"/>
        <v>-13.332046847001317</v>
      </c>
      <c r="L870" s="304">
        <f t="shared" ca="1" si="377"/>
        <v>859.34939606811008</v>
      </c>
      <c r="M870" s="306">
        <f t="shared" ca="1" si="393"/>
        <v>-1.4603895167464376</v>
      </c>
      <c r="N870" s="304">
        <f t="shared" ca="1" si="394"/>
        <v>-83.674155754720729</v>
      </c>
      <c r="P870" s="310">
        <f t="shared" ca="1" si="395"/>
        <v>23</v>
      </c>
      <c r="Q870" s="304">
        <f t="shared" ca="1" si="396"/>
        <v>0</v>
      </c>
      <c r="R870" s="306">
        <f t="shared" ca="1" si="397"/>
        <v>0</v>
      </c>
      <c r="S870" s="307">
        <f t="shared" ca="1" si="398"/>
        <v>8.1379999999999981</v>
      </c>
      <c r="T870" s="304">
        <f t="shared" ca="1" si="378"/>
        <v>79.83377999999999</v>
      </c>
      <c r="U870" s="311">
        <f t="shared" ca="1" si="379"/>
        <v>0</v>
      </c>
      <c r="V870" s="306">
        <f t="shared" ca="1" si="380"/>
        <v>1.2266342651437305</v>
      </c>
      <c r="W870" s="304">
        <f t="shared" ca="1" si="381"/>
        <v>60.286728920134529</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2.3422546691920001</v>
      </c>
      <c r="AH870" s="304">
        <f t="shared" ca="1" si="405"/>
        <v>-7.4080147831482819</v>
      </c>
    </row>
    <row r="871" spans="1:34" x14ac:dyDescent="0.2">
      <c r="A871" s="347">
        <f t="shared" ca="1" si="383"/>
        <v>1E-4</v>
      </c>
      <c r="B871" s="304">
        <f t="shared" ca="1" si="384"/>
        <v>34.516200000000715</v>
      </c>
      <c r="D871" s="306">
        <f t="shared" ca="1" si="385"/>
        <v>-0.81623877297839631</v>
      </c>
      <c r="E871" s="307">
        <f t="shared" ca="1" si="386"/>
        <v>-2.4470527724575382</v>
      </c>
      <c r="F871" s="304">
        <f t="shared" ca="1" si="387"/>
        <v>2.5795955120338929</v>
      </c>
      <c r="G871" s="306">
        <f t="shared" ca="1" si="388"/>
        <v>13.439931219895447</v>
      </c>
      <c r="H871" s="307">
        <f t="shared" ca="1" si="389"/>
        <v>-121.23695702794807</v>
      </c>
      <c r="I871" s="304">
        <f t="shared" ca="1" si="390"/>
        <v>121.97963559788185</v>
      </c>
      <c r="J871" s="306">
        <f t="shared" ca="1" si="391"/>
        <v>859.24597237897774</v>
      </c>
      <c r="K871" s="307">
        <f t="shared" ca="1" si="392"/>
        <v>-13.344170530468848</v>
      </c>
      <c r="L871" s="304">
        <f t="shared" ca="1" si="377"/>
        <v>859.34958424185038</v>
      </c>
      <c r="M871" s="306">
        <f t="shared" ca="1" si="393"/>
        <v>-1.4603904028711774</v>
      </c>
      <c r="N871" s="304">
        <f t="shared" ca="1" si="394"/>
        <v>-83.67420652592844</v>
      </c>
      <c r="P871" s="310">
        <f t="shared" ca="1" si="395"/>
        <v>23</v>
      </c>
      <c r="Q871" s="304">
        <f t="shared" ca="1" si="396"/>
        <v>0</v>
      </c>
      <c r="R871" s="306">
        <f t="shared" ca="1" si="397"/>
        <v>0</v>
      </c>
      <c r="S871" s="307">
        <f t="shared" ca="1" si="398"/>
        <v>8.1379999999999981</v>
      </c>
      <c r="T871" s="304">
        <f t="shared" ca="1" si="378"/>
        <v>79.83377999999999</v>
      </c>
      <c r="U871" s="311">
        <f t="shared" ca="1" si="379"/>
        <v>0</v>
      </c>
      <c r="V871" s="306">
        <f t="shared" ca="1" si="380"/>
        <v>1.2266357522778495</v>
      </c>
      <c r="W871" s="304">
        <f t="shared" ca="1" si="381"/>
        <v>60.287033532645218</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2.3422181958387052</v>
      </c>
      <c r="AH871" s="304">
        <f t="shared" ca="1" si="405"/>
        <v>-7.4080522143198015</v>
      </c>
    </row>
    <row r="872" spans="1:34" x14ac:dyDescent="0.2">
      <c r="A872" s="347">
        <f t="shared" ca="1" si="383"/>
        <v>1E-4</v>
      </c>
      <c r="B872" s="304">
        <f t="shared" ca="1" si="384"/>
        <v>34.516300000000719</v>
      </c>
      <c r="D872" s="306">
        <f t="shared" ca="1" si="385"/>
        <v>-0.8162363726888292</v>
      </c>
      <c r="E872" s="307">
        <f t="shared" ca="1" si="386"/>
        <v>-2.447014846189548</v>
      </c>
      <c r="F872" s="304">
        <f t="shared" ca="1" si="387"/>
        <v>2.5795587749792159</v>
      </c>
      <c r="G872" s="306">
        <f t="shared" ca="1" si="388"/>
        <v>13.439849596258178</v>
      </c>
      <c r="H872" s="307">
        <f t="shared" ca="1" si="389"/>
        <v>-121.23720172943268</v>
      </c>
      <c r="I872" s="304">
        <f t="shared" ca="1" si="390"/>
        <v>121.97986981610202</v>
      </c>
      <c r="J872" s="306">
        <f t="shared" ca="1" si="391"/>
        <v>859.24597237897774</v>
      </c>
      <c r="K872" s="307">
        <f t="shared" ca="1" si="392"/>
        <v>-13.356294238406717</v>
      </c>
      <c r="L872" s="304">
        <f t="shared" ca="1" si="377"/>
        <v>859.34977258697052</v>
      </c>
      <c r="M872" s="306">
        <f t="shared" ca="1" si="393"/>
        <v>-1.4603912889871327</v>
      </c>
      <c r="N872" s="304">
        <f t="shared" ca="1" si="394"/>
        <v>-83.674257296632845</v>
      </c>
      <c r="P872" s="310">
        <f t="shared" ca="1" si="395"/>
        <v>23</v>
      </c>
      <c r="Q872" s="304">
        <f t="shared" ca="1" si="396"/>
        <v>0</v>
      </c>
      <c r="R872" s="306">
        <f t="shared" ca="1" si="397"/>
        <v>0</v>
      </c>
      <c r="S872" s="307">
        <f t="shared" ca="1" si="398"/>
        <v>8.1379999999999981</v>
      </c>
      <c r="T872" s="304">
        <f t="shared" ca="1" si="378"/>
        <v>79.83377999999999</v>
      </c>
      <c r="U872" s="311">
        <f t="shared" ca="1" si="379"/>
        <v>0</v>
      </c>
      <c r="V872" s="306">
        <f t="shared" ca="1" si="380"/>
        <v>1.2266372394167742</v>
      </c>
      <c r="W872" s="304">
        <f t="shared" ca="1" si="381"/>
        <v>60.287338142792748</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2.3421817227586432</v>
      </c>
      <c r="AH872" s="304">
        <f t="shared" ca="1" si="405"/>
        <v>-7.4080896452009375</v>
      </c>
    </row>
    <row r="873" spans="1:34" x14ac:dyDescent="0.2">
      <c r="A873" s="347">
        <f t="shared" ca="1" si="383"/>
        <v>1E-4</v>
      </c>
      <c r="B873" s="304">
        <f t="shared" ca="1" si="384"/>
        <v>34.516400000000722</v>
      </c>
      <c r="D873" s="306">
        <f t="shared" ca="1" si="385"/>
        <v>-0.81623397236537398</v>
      </c>
      <c r="E873" s="307">
        <f t="shared" ca="1" si="386"/>
        <v>-2.4469769202158167</v>
      </c>
      <c r="F873" s="304">
        <f t="shared" ca="1" si="387"/>
        <v>2.57952203822961</v>
      </c>
      <c r="G873" s="306">
        <f t="shared" ca="1" si="388"/>
        <v>13.439767972860942</v>
      </c>
      <c r="H873" s="307">
        <f t="shared" ca="1" si="389"/>
        <v>-121.23744642712471</v>
      </c>
      <c r="I873" s="304">
        <f t="shared" ca="1" si="390"/>
        <v>121.98010403067491</v>
      </c>
      <c r="J873" s="306">
        <f t="shared" ca="1" si="391"/>
        <v>859.24597237897774</v>
      </c>
      <c r="K873" s="307">
        <f t="shared" ca="1" si="392"/>
        <v>-13.368417970814544</v>
      </c>
      <c r="L873" s="304">
        <f t="shared" ca="1" si="377"/>
        <v>859.34996110347117</v>
      </c>
      <c r="M873" s="306">
        <f t="shared" ca="1" si="393"/>
        <v>-1.4603921750943034</v>
      </c>
      <c r="N873" s="304">
        <f t="shared" ca="1" si="394"/>
        <v>-83.674308066833916</v>
      </c>
      <c r="P873" s="310">
        <f t="shared" ca="1" si="395"/>
        <v>23</v>
      </c>
      <c r="Q873" s="304">
        <f t="shared" ca="1" si="396"/>
        <v>0</v>
      </c>
      <c r="R873" s="306">
        <f t="shared" ca="1" si="397"/>
        <v>0</v>
      </c>
      <c r="S873" s="307">
        <f t="shared" ca="1" si="398"/>
        <v>8.1379999999999981</v>
      </c>
      <c r="T873" s="304">
        <f t="shared" ca="1" si="378"/>
        <v>79.83377999999999</v>
      </c>
      <c r="U873" s="311">
        <f t="shared" ca="1" si="379"/>
        <v>0</v>
      </c>
      <c r="V873" s="306">
        <f t="shared" ca="1" si="380"/>
        <v>1.226638726560505</v>
      </c>
      <c r="W873" s="304">
        <f t="shared" ca="1" si="381"/>
        <v>60.287642750577149</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2.3421452499518152</v>
      </c>
      <c r="AH873" s="304">
        <f t="shared" ca="1" si="405"/>
        <v>-7.4081270757916888</v>
      </c>
    </row>
    <row r="874" spans="1:34" x14ac:dyDescent="0.2">
      <c r="A874" s="347">
        <f t="shared" ca="1" si="383"/>
        <v>1E-4</v>
      </c>
      <c r="B874" s="304">
        <f t="shared" ca="1" si="384"/>
        <v>34.516500000000725</v>
      </c>
      <c r="D874" s="306">
        <f t="shared" ca="1" si="385"/>
        <v>-0.81623157200803276</v>
      </c>
      <c r="E874" s="307">
        <f t="shared" ca="1" si="386"/>
        <v>-2.4469389945363433</v>
      </c>
      <c r="F874" s="304">
        <f t="shared" ca="1" si="387"/>
        <v>2.5794853017850743</v>
      </c>
      <c r="G874" s="306">
        <f t="shared" ca="1" si="388"/>
        <v>13.439686349703742</v>
      </c>
      <c r="H874" s="307">
        <f t="shared" ca="1" si="389"/>
        <v>-121.23769112102416</v>
      </c>
      <c r="I874" s="304">
        <f t="shared" ca="1" si="390"/>
        <v>121.98033824160053</v>
      </c>
      <c r="J874" s="306">
        <f t="shared" ca="1" si="391"/>
        <v>859.24597237897774</v>
      </c>
      <c r="K874" s="307">
        <f t="shared" ca="1" si="392"/>
        <v>-13.380541727691952</v>
      </c>
      <c r="L874" s="304">
        <f t="shared" ca="1" si="377"/>
        <v>859.35014979135337</v>
      </c>
      <c r="M874" s="306">
        <f t="shared" ca="1" si="393"/>
        <v>-1.4603930611926896</v>
      </c>
      <c r="N874" s="304">
        <f t="shared" ca="1" si="394"/>
        <v>-83.674358836531681</v>
      </c>
      <c r="P874" s="310">
        <f t="shared" ca="1" si="395"/>
        <v>23</v>
      </c>
      <c r="Q874" s="304">
        <f t="shared" ca="1" si="396"/>
        <v>0</v>
      </c>
      <c r="R874" s="306">
        <f t="shared" ca="1" si="397"/>
        <v>0</v>
      </c>
      <c r="S874" s="307">
        <f t="shared" ca="1" si="398"/>
        <v>8.1379999999999981</v>
      </c>
      <c r="T874" s="304">
        <f t="shared" ca="1" si="378"/>
        <v>79.83377999999999</v>
      </c>
      <c r="U874" s="311">
        <f t="shared" ca="1" si="379"/>
        <v>0</v>
      </c>
      <c r="V874" s="306">
        <f t="shared" ca="1" si="380"/>
        <v>1.2266402137090413</v>
      </c>
      <c r="W874" s="304">
        <f t="shared" ca="1" si="381"/>
        <v>60.287947355998384</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2.3421087774182174</v>
      </c>
      <c r="AH874" s="304">
        <f t="shared" ca="1" si="405"/>
        <v>-7.4081645060920573</v>
      </c>
    </row>
    <row r="875" spans="1:34" x14ac:dyDescent="0.2">
      <c r="A875" s="347">
        <f t="shared" ca="1" si="383"/>
        <v>1E-4</v>
      </c>
      <c r="B875" s="304">
        <f t="shared" ca="1" si="384"/>
        <v>34.516600000000729</v>
      </c>
      <c r="D875" s="306">
        <f t="shared" ca="1" si="385"/>
        <v>-0.81622917161680675</v>
      </c>
      <c r="E875" s="307">
        <f t="shared" ca="1" si="386"/>
        <v>-2.4469010691511315</v>
      </c>
      <c r="F875" s="304">
        <f t="shared" ca="1" si="387"/>
        <v>2.5794485656456128</v>
      </c>
      <c r="G875" s="306">
        <f t="shared" ca="1" si="388"/>
        <v>13.43960472678658</v>
      </c>
      <c r="H875" s="307">
        <f t="shared" ca="1" si="389"/>
        <v>-121.23793581113107</v>
      </c>
      <c r="I875" s="304">
        <f t="shared" ca="1" si="390"/>
        <v>121.98057244887892</v>
      </c>
      <c r="J875" s="306">
        <f t="shared" ca="1" si="391"/>
        <v>859.24597237897774</v>
      </c>
      <c r="K875" s="307">
        <f t="shared" ca="1" si="392"/>
        <v>-13.39266550903856</v>
      </c>
      <c r="L875" s="304">
        <f t="shared" ca="1" si="377"/>
        <v>859.35033865061814</v>
      </c>
      <c r="M875" s="306">
        <f t="shared" ca="1" si="393"/>
        <v>-1.460393947282292</v>
      </c>
      <c r="N875" s="304">
        <f t="shared" ca="1" si="394"/>
        <v>-83.674409605726169</v>
      </c>
      <c r="P875" s="310">
        <f t="shared" ca="1" si="395"/>
        <v>23</v>
      </c>
      <c r="Q875" s="304">
        <f t="shared" ca="1" si="396"/>
        <v>0</v>
      </c>
      <c r="R875" s="306">
        <f t="shared" ca="1" si="397"/>
        <v>0</v>
      </c>
      <c r="S875" s="307">
        <f t="shared" ca="1" si="398"/>
        <v>8.1379999999999981</v>
      </c>
      <c r="T875" s="304">
        <f t="shared" ca="1" si="378"/>
        <v>79.83377999999999</v>
      </c>
      <c r="U875" s="311">
        <f t="shared" ca="1" si="379"/>
        <v>0</v>
      </c>
      <c r="V875" s="306">
        <f t="shared" ca="1" si="380"/>
        <v>1.2266417008623833</v>
      </c>
      <c r="W875" s="304">
        <f t="shared" ca="1" si="381"/>
        <v>60.288251959056439</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2.3420723051578571</v>
      </c>
      <c r="AH875" s="304">
        <f t="shared" ca="1" si="405"/>
        <v>-7.4082019361020395</v>
      </c>
    </row>
    <row r="876" spans="1:34" x14ac:dyDescent="0.2">
      <c r="A876" s="347">
        <f t="shared" ca="1" si="383"/>
        <v>1E-4</v>
      </c>
      <c r="B876" s="304">
        <f t="shared" ca="1" si="384"/>
        <v>34.516700000000732</v>
      </c>
      <c r="D876" s="306">
        <f t="shared" ca="1" si="385"/>
        <v>-0.81622677119169273</v>
      </c>
      <c r="E876" s="307">
        <f t="shared" ca="1" si="386"/>
        <v>-2.4468631440601829</v>
      </c>
      <c r="F876" s="304">
        <f t="shared" ca="1" si="387"/>
        <v>2.5794118298112263</v>
      </c>
      <c r="G876" s="306">
        <f t="shared" ca="1" si="388"/>
        <v>13.439523104109462</v>
      </c>
      <c r="H876" s="307">
        <f t="shared" ca="1" si="389"/>
        <v>-121.23818049744547</v>
      </c>
      <c r="I876" s="304">
        <f t="shared" ca="1" si="390"/>
        <v>121.98080665251013</v>
      </c>
      <c r="J876" s="306">
        <f t="shared" ca="1" si="391"/>
        <v>859.24597237897774</v>
      </c>
      <c r="K876" s="307">
        <f t="shared" ca="1" si="392"/>
        <v>-13.404789314853989</v>
      </c>
      <c r="L876" s="304">
        <f t="shared" ca="1" si="377"/>
        <v>859.35052768126616</v>
      </c>
      <c r="M876" s="306">
        <f t="shared" ca="1" si="393"/>
        <v>-1.46039483336311</v>
      </c>
      <c r="N876" s="304">
        <f t="shared" ca="1" si="394"/>
        <v>-83.67446037441735</v>
      </c>
      <c r="P876" s="310">
        <f t="shared" ca="1" si="395"/>
        <v>23</v>
      </c>
      <c r="Q876" s="304">
        <f t="shared" ca="1" si="396"/>
        <v>0</v>
      </c>
      <c r="R876" s="306">
        <f t="shared" ca="1" si="397"/>
        <v>0</v>
      </c>
      <c r="S876" s="307">
        <f t="shared" ca="1" si="398"/>
        <v>8.1379999999999981</v>
      </c>
      <c r="T876" s="304">
        <f t="shared" ca="1" si="378"/>
        <v>79.83377999999999</v>
      </c>
      <c r="U876" s="311">
        <f t="shared" ca="1" si="379"/>
        <v>0</v>
      </c>
      <c r="V876" s="306">
        <f t="shared" ca="1" si="380"/>
        <v>1.2266431880205304</v>
      </c>
      <c r="W876" s="304">
        <f t="shared" ca="1" si="381"/>
        <v>60.288556559751328</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2.3420358331707343</v>
      </c>
      <c r="AH876" s="304">
        <f t="shared" ca="1" si="405"/>
        <v>-7.4082393658216334</v>
      </c>
    </row>
    <row r="877" spans="1:34" x14ac:dyDescent="0.2">
      <c r="A877" s="347">
        <f t="shared" ca="1" si="383"/>
        <v>1E-4</v>
      </c>
      <c r="B877" s="304">
        <f t="shared" ca="1" si="384"/>
        <v>34.516800000000735</v>
      </c>
      <c r="D877" s="306">
        <f t="shared" ca="1" si="385"/>
        <v>-0.81622437073269594</v>
      </c>
      <c r="E877" s="307">
        <f t="shared" ca="1" si="386"/>
        <v>-2.4468252192634949</v>
      </c>
      <c r="F877" s="304">
        <f t="shared" ca="1" si="387"/>
        <v>2.5793750942819145</v>
      </c>
      <c r="G877" s="306">
        <f t="shared" ca="1" si="388"/>
        <v>13.439441481672388</v>
      </c>
      <c r="H877" s="307">
        <f t="shared" ca="1" si="389"/>
        <v>-121.23842517996739</v>
      </c>
      <c r="I877" s="304">
        <f t="shared" ca="1" si="390"/>
        <v>121.98104085249416</v>
      </c>
      <c r="J877" s="306">
        <f t="shared" ca="1" si="391"/>
        <v>859.24597237897774</v>
      </c>
      <c r="K877" s="307">
        <f t="shared" ca="1" si="392"/>
        <v>-13.41691314513786</v>
      </c>
      <c r="L877" s="304">
        <f t="shared" ca="1" si="377"/>
        <v>859.35071688329856</v>
      </c>
      <c r="M877" s="306">
        <f t="shared" ca="1" si="393"/>
        <v>-1.4603957194351442</v>
      </c>
      <c r="N877" s="304">
        <f t="shared" ca="1" si="394"/>
        <v>-83.674511142605255</v>
      </c>
      <c r="P877" s="310">
        <f t="shared" ca="1" si="395"/>
        <v>23</v>
      </c>
      <c r="Q877" s="304">
        <f t="shared" ca="1" si="396"/>
        <v>0</v>
      </c>
      <c r="R877" s="306">
        <f t="shared" ca="1" si="397"/>
        <v>0</v>
      </c>
      <c r="S877" s="307">
        <f t="shared" ca="1" si="398"/>
        <v>8.1379999999999981</v>
      </c>
      <c r="T877" s="304">
        <f t="shared" ca="1" si="378"/>
        <v>79.83377999999999</v>
      </c>
      <c r="U877" s="311">
        <f t="shared" ca="1" si="379"/>
        <v>0</v>
      </c>
      <c r="V877" s="306">
        <f t="shared" ca="1" si="380"/>
        <v>1.2266446751834839</v>
      </c>
      <c r="W877" s="304">
        <f t="shared" ca="1" si="381"/>
        <v>60.28886115808308</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2.3419993614568488</v>
      </c>
      <c r="AH877" s="304">
        <f t="shared" ca="1" si="405"/>
        <v>-7.408276795250841</v>
      </c>
    </row>
    <row r="878" spans="1:34" x14ac:dyDescent="0.2">
      <c r="A878" s="347">
        <f t="shared" ca="1" si="383"/>
        <v>1E-4</v>
      </c>
      <c r="B878" s="304">
        <f t="shared" ca="1" si="384"/>
        <v>34.516900000000739</v>
      </c>
      <c r="D878" s="306">
        <f t="shared" ca="1" si="385"/>
        <v>-0.81622197023981524</v>
      </c>
      <c r="E878" s="307">
        <f t="shared" ca="1" si="386"/>
        <v>-2.4467872947610658</v>
      </c>
      <c r="F878" s="304">
        <f t="shared" ca="1" si="387"/>
        <v>2.5793383590576751</v>
      </c>
      <c r="G878" s="306">
        <f t="shared" ca="1" si="388"/>
        <v>13.439359859475363</v>
      </c>
      <c r="H878" s="307">
        <f t="shared" ca="1" si="389"/>
        <v>-121.23866985869687</v>
      </c>
      <c r="I878" s="304">
        <f t="shared" ca="1" si="390"/>
        <v>121.98127504883104</v>
      </c>
      <c r="J878" s="306">
        <f t="shared" ca="1" si="391"/>
        <v>859.24597237897774</v>
      </c>
      <c r="K878" s="307">
        <f t="shared" ca="1" si="392"/>
        <v>-13.429036999889794</v>
      </c>
      <c r="L878" s="304">
        <f t="shared" ca="1" si="377"/>
        <v>859.35090625671614</v>
      </c>
      <c r="M878" s="306">
        <f t="shared" ca="1" si="393"/>
        <v>-1.4603966054983948</v>
      </c>
      <c r="N878" s="304">
        <f t="shared" ca="1" si="394"/>
        <v>-83.674561910289896</v>
      </c>
      <c r="P878" s="310">
        <f t="shared" ca="1" si="395"/>
        <v>23</v>
      </c>
      <c r="Q878" s="304">
        <f t="shared" ca="1" si="396"/>
        <v>0</v>
      </c>
      <c r="R878" s="306">
        <f t="shared" ca="1" si="397"/>
        <v>0</v>
      </c>
      <c r="S878" s="307">
        <f t="shared" ca="1" si="398"/>
        <v>8.1379999999999981</v>
      </c>
      <c r="T878" s="304">
        <f t="shared" ca="1" si="378"/>
        <v>79.83377999999999</v>
      </c>
      <c r="U878" s="311">
        <f t="shared" ca="1" si="379"/>
        <v>0</v>
      </c>
      <c r="V878" s="306">
        <f t="shared" ca="1" si="380"/>
        <v>1.2266461623512426</v>
      </c>
      <c r="W878" s="304">
        <f t="shared" ca="1" si="381"/>
        <v>60.289165754051616</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2.3419628900161964</v>
      </c>
      <c r="AH878" s="304">
        <f t="shared" ca="1" si="405"/>
        <v>-7.4083142243896649</v>
      </c>
    </row>
    <row r="879" spans="1:34" x14ac:dyDescent="0.2">
      <c r="A879" s="347">
        <f t="shared" ca="1" si="383"/>
        <v>1E-4</v>
      </c>
      <c r="B879" s="304">
        <f t="shared" ca="1" si="384"/>
        <v>34.517000000000742</v>
      </c>
      <c r="D879" s="306">
        <f t="shared" ca="1" si="385"/>
        <v>-0.81621956971304943</v>
      </c>
      <c r="E879" s="307">
        <f t="shared" ca="1" si="386"/>
        <v>-2.4467493705529035</v>
      </c>
      <c r="F879" s="304">
        <f t="shared" ca="1" si="387"/>
        <v>2.5793016241385156</v>
      </c>
      <c r="G879" s="306">
        <f t="shared" ca="1" si="388"/>
        <v>13.439278237518392</v>
      </c>
      <c r="H879" s="307">
        <f t="shared" ca="1" si="389"/>
        <v>-121.23891453363392</v>
      </c>
      <c r="I879" s="304">
        <f t="shared" ca="1" si="390"/>
        <v>121.98150924152081</v>
      </c>
      <c r="J879" s="306">
        <f t="shared" ca="1" si="391"/>
        <v>859.24597237897774</v>
      </c>
      <c r="K879" s="307">
        <f t="shared" ca="1" si="392"/>
        <v>-13.441160879109411</v>
      </c>
      <c r="L879" s="304">
        <f t="shared" ca="1" si="377"/>
        <v>859.35109580151993</v>
      </c>
      <c r="M879" s="306">
        <f t="shared" ca="1" si="393"/>
        <v>-1.4603974915528615</v>
      </c>
      <c r="N879" s="304">
        <f t="shared" ca="1" si="394"/>
        <v>-83.674612677471259</v>
      </c>
      <c r="P879" s="310">
        <f t="shared" ca="1" si="395"/>
        <v>23</v>
      </c>
      <c r="Q879" s="304">
        <f t="shared" ca="1" si="396"/>
        <v>0</v>
      </c>
      <c r="R879" s="306">
        <f t="shared" ca="1" si="397"/>
        <v>0</v>
      </c>
      <c r="S879" s="307">
        <f t="shared" ca="1" si="398"/>
        <v>8.1379999999999981</v>
      </c>
      <c r="T879" s="304">
        <f t="shared" ca="1" si="378"/>
        <v>79.83377999999999</v>
      </c>
      <c r="U879" s="311">
        <f t="shared" ca="1" si="379"/>
        <v>0</v>
      </c>
      <c r="V879" s="306">
        <f t="shared" ca="1" si="380"/>
        <v>1.226647649523807</v>
      </c>
      <c r="W879" s="304">
        <f t="shared" ca="1" si="381"/>
        <v>60.289470347657002</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2.3419264188487894</v>
      </c>
      <c r="AH879" s="304">
        <f t="shared" ca="1" si="405"/>
        <v>-7.4083516532380962</v>
      </c>
    </row>
    <row r="880" spans="1:34" x14ac:dyDescent="0.2">
      <c r="A880" s="347">
        <f t="shared" ca="1" si="383"/>
        <v>1E-4</v>
      </c>
      <c r="B880" s="304">
        <f t="shared" ca="1" si="384"/>
        <v>34.517100000000745</v>
      </c>
      <c r="D880" s="306">
        <f t="shared" ca="1" si="385"/>
        <v>-0.81621716915240328</v>
      </c>
      <c r="E880" s="307">
        <f t="shared" ca="1" si="386"/>
        <v>-2.4467114466389992</v>
      </c>
      <c r="F880" s="304">
        <f t="shared" ca="1" si="387"/>
        <v>2.5792648895244294</v>
      </c>
      <c r="G880" s="306">
        <f t="shared" ca="1" si="388"/>
        <v>13.439196615801476</v>
      </c>
      <c r="H880" s="307">
        <f t="shared" ca="1" si="389"/>
        <v>-121.23915920477859</v>
      </c>
      <c r="I880" s="304">
        <f t="shared" ca="1" si="390"/>
        <v>121.98174343056348</v>
      </c>
      <c r="J880" s="306">
        <f t="shared" ca="1" si="391"/>
        <v>859.24597237897774</v>
      </c>
      <c r="K880" s="307">
        <f t="shared" ca="1" si="392"/>
        <v>-13.453284782796331</v>
      </c>
      <c r="L880" s="304">
        <f t="shared" ca="1" si="377"/>
        <v>859.35128551771072</v>
      </c>
      <c r="M880" s="306">
        <f t="shared" ca="1" si="393"/>
        <v>-1.4603983775985447</v>
      </c>
      <c r="N880" s="304">
        <f t="shared" ca="1" si="394"/>
        <v>-83.67466344414936</v>
      </c>
      <c r="P880" s="310">
        <f t="shared" ca="1" si="395"/>
        <v>23</v>
      </c>
      <c r="Q880" s="304">
        <f t="shared" ca="1" si="396"/>
        <v>0</v>
      </c>
      <c r="R880" s="306">
        <f t="shared" ca="1" si="397"/>
        <v>0</v>
      </c>
      <c r="S880" s="307">
        <f t="shared" ca="1" si="398"/>
        <v>8.1379999999999981</v>
      </c>
      <c r="T880" s="304">
        <f t="shared" ca="1" si="378"/>
        <v>79.83377999999999</v>
      </c>
      <c r="U880" s="311">
        <f t="shared" ca="1" si="379"/>
        <v>0</v>
      </c>
      <c r="V880" s="306">
        <f t="shared" ca="1" si="380"/>
        <v>1.2266491367011771</v>
      </c>
      <c r="W880" s="304">
        <f t="shared" ca="1" si="381"/>
        <v>60.289774938899214</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2.3418899479546171</v>
      </c>
      <c r="AH880" s="304">
        <f t="shared" ca="1" si="405"/>
        <v>-7.4083890817961437</v>
      </c>
    </row>
    <row r="881" spans="1:34" x14ac:dyDescent="0.2">
      <c r="A881" s="347">
        <f t="shared" ca="1" si="383"/>
        <v>1E-4</v>
      </c>
      <c r="B881" s="304">
        <f t="shared" ca="1" si="384"/>
        <v>34.517200000000749</v>
      </c>
      <c r="D881" s="306">
        <f t="shared" ca="1" si="385"/>
        <v>-0.81621476855787445</v>
      </c>
      <c r="E881" s="307">
        <f t="shared" ca="1" si="386"/>
        <v>-2.4466735230193581</v>
      </c>
      <c r="F881" s="304">
        <f t="shared" ca="1" si="387"/>
        <v>2.5792281552154206</v>
      </c>
      <c r="G881" s="306">
        <f t="shared" ca="1" si="388"/>
        <v>13.439114994324621</v>
      </c>
      <c r="H881" s="307">
        <f t="shared" ca="1" si="389"/>
        <v>-121.23940387213089</v>
      </c>
      <c r="I881" s="304">
        <f t="shared" ca="1" si="390"/>
        <v>121.98197761595911</v>
      </c>
      <c r="J881" s="306">
        <f t="shared" ca="1" si="391"/>
        <v>859.24597237897774</v>
      </c>
      <c r="K881" s="307">
        <f t="shared" ca="1" si="392"/>
        <v>-13.465408710950177</v>
      </c>
      <c r="L881" s="304">
        <f t="shared" ca="1" si="377"/>
        <v>859.35147540528953</v>
      </c>
      <c r="M881" s="306">
        <f t="shared" ca="1" si="393"/>
        <v>-1.4603992636354446</v>
      </c>
      <c r="N881" s="304">
        <f t="shared" ca="1" si="394"/>
        <v>-83.674714210324211</v>
      </c>
      <c r="P881" s="310">
        <f t="shared" ca="1" si="395"/>
        <v>23</v>
      </c>
      <c r="Q881" s="304">
        <f t="shared" ca="1" si="396"/>
        <v>0</v>
      </c>
      <c r="R881" s="306">
        <f t="shared" ca="1" si="397"/>
        <v>0</v>
      </c>
      <c r="S881" s="307">
        <f t="shared" ca="1" si="398"/>
        <v>8.1379999999999981</v>
      </c>
      <c r="T881" s="304">
        <f t="shared" ca="1" si="378"/>
        <v>79.83377999999999</v>
      </c>
      <c r="U881" s="311">
        <f t="shared" ca="1" si="379"/>
        <v>0</v>
      </c>
      <c r="V881" s="306">
        <f t="shared" ca="1" si="380"/>
        <v>1.2266506238833521</v>
      </c>
      <c r="W881" s="304">
        <f t="shared" ca="1" si="381"/>
        <v>60.290079527778211</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2.3418534773336841</v>
      </c>
      <c r="AH881" s="304">
        <f t="shared" ca="1" si="405"/>
        <v>-7.4084265100638031</v>
      </c>
    </row>
    <row r="882" spans="1:34" x14ac:dyDescent="0.2">
      <c r="A882" s="347">
        <f t="shared" ca="1" si="383"/>
        <v>1E-4</v>
      </c>
      <c r="B882" s="304">
        <f t="shared" ca="1" si="384"/>
        <v>34.517300000000752</v>
      </c>
      <c r="D882" s="306">
        <f t="shared" ca="1" si="385"/>
        <v>-0.81621236792946461</v>
      </c>
      <c r="E882" s="307">
        <f t="shared" ca="1" si="386"/>
        <v>-2.4466355996939839</v>
      </c>
      <c r="F882" s="304">
        <f t="shared" ca="1" si="387"/>
        <v>2.5791914212114935</v>
      </c>
      <c r="G882" s="306">
        <f t="shared" ca="1" si="388"/>
        <v>13.439033373087828</v>
      </c>
      <c r="H882" s="307">
        <f t="shared" ca="1" si="389"/>
        <v>-121.23964853569086</v>
      </c>
      <c r="I882" s="304">
        <f t="shared" ca="1" si="390"/>
        <v>121.98221179770769</v>
      </c>
      <c r="J882" s="306">
        <f t="shared" ca="1" si="391"/>
        <v>859.24597237897774</v>
      </c>
      <c r="K882" s="307">
        <f t="shared" ca="1" si="392"/>
        <v>-13.477532663570567</v>
      </c>
      <c r="L882" s="304">
        <f t="shared" ca="1" si="377"/>
        <v>859.35166546425717</v>
      </c>
      <c r="M882" s="306">
        <f t="shared" ca="1" si="393"/>
        <v>-1.460400149663561</v>
      </c>
      <c r="N882" s="304">
        <f t="shared" ca="1" si="394"/>
        <v>-83.674764975995814</v>
      </c>
      <c r="P882" s="310">
        <f t="shared" ca="1" si="395"/>
        <v>23</v>
      </c>
      <c r="Q882" s="304">
        <f t="shared" ca="1" si="396"/>
        <v>0</v>
      </c>
      <c r="R882" s="306">
        <f t="shared" ca="1" si="397"/>
        <v>0</v>
      </c>
      <c r="S882" s="307">
        <f t="shared" ca="1" si="398"/>
        <v>8.1379999999999981</v>
      </c>
      <c r="T882" s="304">
        <f t="shared" ca="1" si="378"/>
        <v>79.83377999999999</v>
      </c>
      <c r="U882" s="311">
        <f t="shared" ca="1" si="379"/>
        <v>0</v>
      </c>
      <c r="V882" s="306">
        <f t="shared" ca="1" si="380"/>
        <v>1.2266521110703332</v>
      </c>
      <c r="W882" s="304">
        <f t="shared" ca="1" si="381"/>
        <v>60.290384114294056</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2.3418170069859983</v>
      </c>
      <c r="AH882" s="304">
        <f t="shared" ca="1" si="405"/>
        <v>-7.40846393804107</v>
      </c>
    </row>
    <row r="883" spans="1:34" x14ac:dyDescent="0.2">
      <c r="A883" s="347">
        <f t="shared" ca="1" si="383"/>
        <v>1E-4</v>
      </c>
      <c r="B883" s="304">
        <f t="shared" ca="1" si="384"/>
        <v>34.517400000000755</v>
      </c>
      <c r="D883" s="306">
        <f t="shared" ca="1" si="385"/>
        <v>-0.81620996726717587</v>
      </c>
      <c r="E883" s="307">
        <f t="shared" ca="1" si="386"/>
        <v>-2.4465976766628712</v>
      </c>
      <c r="F883" s="304">
        <f t="shared" ca="1" si="387"/>
        <v>2.5791546875126441</v>
      </c>
      <c r="G883" s="306">
        <f t="shared" ca="1" si="388"/>
        <v>13.4389517520911</v>
      </c>
      <c r="H883" s="307">
        <f t="shared" ca="1" si="389"/>
        <v>-121.23989319545852</v>
      </c>
      <c r="I883" s="304">
        <f t="shared" ca="1" si="390"/>
        <v>121.98244597580926</v>
      </c>
      <c r="J883" s="306">
        <f t="shared" ca="1" si="391"/>
        <v>859.24597237897774</v>
      </c>
      <c r="K883" s="307">
        <f t="shared" ca="1" si="392"/>
        <v>-13.489656640657126</v>
      </c>
      <c r="L883" s="304">
        <f t="shared" ca="1" si="377"/>
        <v>859.35185569461464</v>
      </c>
      <c r="M883" s="306">
        <f t="shared" ca="1" si="393"/>
        <v>-1.4604010356828945</v>
      </c>
      <c r="N883" s="304">
        <f t="shared" ca="1" si="394"/>
        <v>-83.674815741164196</v>
      </c>
      <c r="P883" s="310">
        <f t="shared" ca="1" si="395"/>
        <v>23</v>
      </c>
      <c r="Q883" s="304">
        <f t="shared" ca="1" si="396"/>
        <v>0</v>
      </c>
      <c r="R883" s="306">
        <f t="shared" ca="1" si="397"/>
        <v>0</v>
      </c>
      <c r="S883" s="307">
        <f t="shared" ca="1" si="398"/>
        <v>8.1379999999999981</v>
      </c>
      <c r="T883" s="304">
        <f t="shared" ca="1" si="378"/>
        <v>79.83377999999999</v>
      </c>
      <c r="U883" s="311">
        <f t="shared" ca="1" si="379"/>
        <v>0</v>
      </c>
      <c r="V883" s="306">
        <f t="shared" ca="1" si="380"/>
        <v>1.2266535982621194</v>
      </c>
      <c r="W883" s="304">
        <f t="shared" ca="1" si="381"/>
        <v>60.290688698446651</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2.3417805369115472</v>
      </c>
      <c r="AH883" s="304">
        <f t="shared" ca="1" si="405"/>
        <v>-7.4085013657279513</v>
      </c>
    </row>
    <row r="884" spans="1:34" x14ac:dyDescent="0.2">
      <c r="A884" s="347">
        <f t="shared" ca="1" si="383"/>
        <v>1E-4</v>
      </c>
      <c r="B884" s="304">
        <f t="shared" ca="1" si="384"/>
        <v>34.517500000000759</v>
      </c>
      <c r="D884" s="306">
        <f t="shared" ca="1" si="385"/>
        <v>-0.8162075665710059</v>
      </c>
      <c r="E884" s="307">
        <f t="shared" ca="1" si="386"/>
        <v>-2.4465597539260289</v>
      </c>
      <c r="F884" s="304">
        <f t="shared" ca="1" si="387"/>
        <v>2.5791179541188796</v>
      </c>
      <c r="G884" s="306">
        <f t="shared" ca="1" si="388"/>
        <v>13.438870131334443</v>
      </c>
      <c r="H884" s="307">
        <f t="shared" ca="1" si="389"/>
        <v>-121.24013785143391</v>
      </c>
      <c r="I884" s="304">
        <f t="shared" ca="1" si="390"/>
        <v>121.98268015026383</v>
      </c>
      <c r="J884" s="306">
        <f t="shared" ca="1" si="391"/>
        <v>859.24597237897774</v>
      </c>
      <c r="K884" s="307">
        <f t="shared" ca="1" si="392"/>
        <v>-13.50178064220947</v>
      </c>
      <c r="L884" s="304">
        <f t="shared" ca="1" si="377"/>
        <v>859.35204609636287</v>
      </c>
      <c r="M884" s="306">
        <f t="shared" ca="1" si="393"/>
        <v>-1.4604019216934447</v>
      </c>
      <c r="N884" s="304">
        <f t="shared" ca="1" si="394"/>
        <v>-83.674866505829328</v>
      </c>
      <c r="P884" s="310">
        <f t="shared" ca="1" si="395"/>
        <v>23</v>
      </c>
      <c r="Q884" s="304">
        <f t="shared" ca="1" si="396"/>
        <v>0</v>
      </c>
      <c r="R884" s="306">
        <f t="shared" ca="1" si="397"/>
        <v>0</v>
      </c>
      <c r="S884" s="307">
        <f t="shared" ca="1" si="398"/>
        <v>8.1379999999999981</v>
      </c>
      <c r="T884" s="304">
        <f t="shared" ca="1" si="378"/>
        <v>79.83377999999999</v>
      </c>
      <c r="U884" s="311">
        <f t="shared" ca="1" si="379"/>
        <v>0</v>
      </c>
      <c r="V884" s="306">
        <f t="shared" ca="1" si="380"/>
        <v>1.2266550854587113</v>
      </c>
      <c r="W884" s="304">
        <f t="shared" ca="1" si="381"/>
        <v>60.290993280236073</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2.3417440671103451</v>
      </c>
      <c r="AH884" s="304">
        <f t="shared" ca="1" si="405"/>
        <v>-7.4085387931244364</v>
      </c>
    </row>
    <row r="885" spans="1:34" x14ac:dyDescent="0.2">
      <c r="A885" s="347">
        <f t="shared" ca="1" si="383"/>
        <v>1E-4</v>
      </c>
      <c r="B885" s="304">
        <f t="shared" ca="1" si="384"/>
        <v>34.517600000000762</v>
      </c>
      <c r="D885" s="306">
        <f t="shared" ca="1" si="385"/>
        <v>-0.81620516584095881</v>
      </c>
      <c r="E885" s="307">
        <f t="shared" ca="1" si="386"/>
        <v>-2.446521831483448</v>
      </c>
      <c r="F885" s="304">
        <f t="shared" ca="1" si="387"/>
        <v>2.5790812210301932</v>
      </c>
      <c r="G885" s="306">
        <f t="shared" ca="1" si="388"/>
        <v>13.43878851081786</v>
      </c>
      <c r="H885" s="307">
        <f t="shared" ca="1" si="389"/>
        <v>-121.24038250361706</v>
      </c>
      <c r="I885" s="304">
        <f t="shared" ca="1" si="390"/>
        <v>121.98291432107148</v>
      </c>
      <c r="J885" s="306">
        <f t="shared" ca="1" si="391"/>
        <v>859.24597237897774</v>
      </c>
      <c r="K885" s="307">
        <f t="shared" ca="1" si="392"/>
        <v>-13.513904668227223</v>
      </c>
      <c r="L885" s="304">
        <f t="shared" ca="1" si="377"/>
        <v>859.35223666950264</v>
      </c>
      <c r="M885" s="306">
        <f t="shared" ca="1" si="393"/>
        <v>-1.4604028076952122</v>
      </c>
      <c r="N885" s="304">
        <f t="shared" ca="1" si="394"/>
        <v>-83.674917269991241</v>
      </c>
      <c r="P885" s="310">
        <f t="shared" ca="1" si="395"/>
        <v>23</v>
      </c>
      <c r="Q885" s="304">
        <f t="shared" ca="1" si="396"/>
        <v>0</v>
      </c>
      <c r="R885" s="306">
        <f t="shared" ca="1" si="397"/>
        <v>0</v>
      </c>
      <c r="S885" s="307">
        <f t="shared" ca="1" si="398"/>
        <v>8.1379999999999981</v>
      </c>
      <c r="T885" s="304">
        <f t="shared" ca="1" si="378"/>
        <v>79.83377999999999</v>
      </c>
      <c r="U885" s="311">
        <f t="shared" ca="1" si="379"/>
        <v>0</v>
      </c>
      <c r="V885" s="306">
        <f t="shared" ca="1" si="380"/>
        <v>1.2266565726601082</v>
      </c>
      <c r="W885" s="304">
        <f t="shared" ca="1" si="381"/>
        <v>60.291297859662308</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2.3417075975823867</v>
      </c>
      <c r="AH885" s="304">
        <f t="shared" ca="1" si="405"/>
        <v>-7.4085762202305343</v>
      </c>
    </row>
    <row r="886" spans="1:34" x14ac:dyDescent="0.2">
      <c r="A886" s="347">
        <f t="shared" ca="1" si="383"/>
        <v>1E-4</v>
      </c>
      <c r="B886" s="304">
        <f t="shared" ca="1" si="384"/>
        <v>34.517700000000765</v>
      </c>
      <c r="D886" s="306">
        <f t="shared" ca="1" si="385"/>
        <v>-0.81620276507703315</v>
      </c>
      <c r="E886" s="307">
        <f t="shared" ca="1" si="386"/>
        <v>-2.4464839093351323</v>
      </c>
      <c r="F886" s="304">
        <f t="shared" ca="1" si="387"/>
        <v>2.5790444882465882</v>
      </c>
      <c r="G886" s="306">
        <f t="shared" ca="1" si="388"/>
        <v>13.438706890541352</v>
      </c>
      <c r="H886" s="307">
        <f t="shared" ca="1" si="389"/>
        <v>-121.24062715200799</v>
      </c>
      <c r="I886" s="304">
        <f t="shared" ca="1" si="390"/>
        <v>121.98314848823217</v>
      </c>
      <c r="J886" s="306">
        <f t="shared" ca="1" si="391"/>
        <v>859.24597237897774</v>
      </c>
      <c r="K886" s="307">
        <f t="shared" ca="1" si="392"/>
        <v>-13.526028718710004</v>
      </c>
      <c r="L886" s="304">
        <f t="shared" ca="1" si="377"/>
        <v>859.35242741403499</v>
      </c>
      <c r="M886" s="306">
        <f t="shared" ca="1" si="393"/>
        <v>-1.4604036936881968</v>
      </c>
      <c r="N886" s="304">
        <f t="shared" ca="1" si="394"/>
        <v>-83.674968033649932</v>
      </c>
      <c r="P886" s="310">
        <f t="shared" ca="1" si="395"/>
        <v>23</v>
      </c>
      <c r="Q886" s="304">
        <f t="shared" ca="1" si="396"/>
        <v>0</v>
      </c>
      <c r="R886" s="306">
        <f t="shared" ca="1" si="397"/>
        <v>0</v>
      </c>
      <c r="S886" s="307">
        <f t="shared" ca="1" si="398"/>
        <v>8.1379999999999981</v>
      </c>
      <c r="T886" s="304">
        <f t="shared" ca="1" si="378"/>
        <v>79.83377999999999</v>
      </c>
      <c r="U886" s="311">
        <f t="shared" ca="1" si="379"/>
        <v>0</v>
      </c>
      <c r="V886" s="306">
        <f t="shared" ca="1" si="380"/>
        <v>1.2266580598663104</v>
      </c>
      <c r="W886" s="304">
        <f t="shared" ca="1" si="381"/>
        <v>60.291602436725313</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2.3416711283276692</v>
      </c>
      <c r="AH886" s="304">
        <f t="shared" ca="1" si="405"/>
        <v>-7.4086136470462423</v>
      </c>
    </row>
    <row r="887" spans="1:34" x14ac:dyDescent="0.2">
      <c r="A887" s="347">
        <f t="shared" ca="1" si="383"/>
        <v>1E-4</v>
      </c>
      <c r="B887" s="304">
        <f t="shared" ca="1" si="384"/>
        <v>34.517800000000769</v>
      </c>
      <c r="D887" s="306">
        <f t="shared" ca="1" si="385"/>
        <v>-0.81620036427923148</v>
      </c>
      <c r="E887" s="307">
        <f t="shared" ca="1" si="386"/>
        <v>-2.4464459874810842</v>
      </c>
      <c r="F887" s="304">
        <f t="shared" ca="1" si="387"/>
        <v>2.5790077557680684</v>
      </c>
      <c r="G887" s="306">
        <f t="shared" ca="1" si="388"/>
        <v>13.438625270504925</v>
      </c>
      <c r="H887" s="307">
        <f t="shared" ca="1" si="389"/>
        <v>-121.24087179660674</v>
      </c>
      <c r="I887" s="304">
        <f t="shared" ca="1" si="390"/>
        <v>121.983382651746</v>
      </c>
      <c r="J887" s="306">
        <f t="shared" ca="1" si="391"/>
        <v>859.24597237897774</v>
      </c>
      <c r="K887" s="307">
        <f t="shared" ca="1" si="392"/>
        <v>-13.538152793657435</v>
      </c>
      <c r="L887" s="304">
        <f t="shared" ca="1" si="377"/>
        <v>859.35261832996093</v>
      </c>
      <c r="M887" s="306">
        <f t="shared" ca="1" si="393"/>
        <v>-1.4604045796723988</v>
      </c>
      <c r="N887" s="304">
        <f t="shared" ca="1" si="394"/>
        <v>-83.675018796805432</v>
      </c>
      <c r="P887" s="310">
        <f t="shared" ca="1" si="395"/>
        <v>23</v>
      </c>
      <c r="Q887" s="304">
        <f t="shared" ca="1" si="396"/>
        <v>0</v>
      </c>
      <c r="R887" s="306">
        <f t="shared" ca="1" si="397"/>
        <v>0</v>
      </c>
      <c r="S887" s="307">
        <f t="shared" ca="1" si="398"/>
        <v>8.1379999999999981</v>
      </c>
      <c r="T887" s="304">
        <f t="shared" ca="1" si="378"/>
        <v>79.83377999999999</v>
      </c>
      <c r="U887" s="311">
        <f t="shared" ca="1" si="379"/>
        <v>0</v>
      </c>
      <c r="V887" s="306">
        <f t="shared" ca="1" si="380"/>
        <v>1.2266595470773185</v>
      </c>
      <c r="W887" s="304">
        <f t="shared" ca="1" si="381"/>
        <v>60.291907011425145</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2.3416346593462016</v>
      </c>
      <c r="AH887" s="304">
        <f t="shared" ca="1" si="405"/>
        <v>-7.4086510735715567</v>
      </c>
    </row>
    <row r="888" spans="1:34" x14ac:dyDescent="0.2">
      <c r="A888" s="347">
        <f t="shared" ca="1" si="383"/>
        <v>1E-4</v>
      </c>
      <c r="B888" s="304">
        <f t="shared" ca="1" si="384"/>
        <v>34.517900000000772</v>
      </c>
      <c r="D888" s="306">
        <f t="shared" ca="1" si="385"/>
        <v>-0.81619796344755324</v>
      </c>
      <c r="E888" s="307">
        <f t="shared" ca="1" si="386"/>
        <v>-2.4464080659213003</v>
      </c>
      <c r="F888" s="304">
        <f t="shared" ca="1" si="387"/>
        <v>2.5789710235946295</v>
      </c>
      <c r="G888" s="306">
        <f t="shared" ca="1" si="388"/>
        <v>13.43854365070858</v>
      </c>
      <c r="H888" s="307">
        <f t="shared" ca="1" si="389"/>
        <v>-121.24111643741333</v>
      </c>
      <c r="I888" s="304">
        <f t="shared" ca="1" si="390"/>
        <v>121.98361681161292</v>
      </c>
      <c r="J888" s="306">
        <f t="shared" ca="1" si="391"/>
        <v>859.24597237897774</v>
      </c>
      <c r="K888" s="307">
        <f t="shared" ca="1" si="392"/>
        <v>-13.550276893069135</v>
      </c>
      <c r="L888" s="304">
        <f t="shared" ca="1" si="377"/>
        <v>859.35280941728104</v>
      </c>
      <c r="M888" s="306">
        <f t="shared" ca="1" si="393"/>
        <v>-1.4604054656478185</v>
      </c>
      <c r="N888" s="304">
        <f t="shared" ca="1" si="394"/>
        <v>-83.675069559457725</v>
      </c>
      <c r="P888" s="310">
        <f t="shared" ca="1" si="395"/>
        <v>23</v>
      </c>
      <c r="Q888" s="304">
        <f t="shared" ca="1" si="396"/>
        <v>0</v>
      </c>
      <c r="R888" s="306">
        <f t="shared" ca="1" si="397"/>
        <v>0</v>
      </c>
      <c r="S888" s="307">
        <f t="shared" ca="1" si="398"/>
        <v>8.1379999999999981</v>
      </c>
      <c r="T888" s="304">
        <f t="shared" ca="1" si="378"/>
        <v>79.83377999999999</v>
      </c>
      <c r="U888" s="311">
        <f t="shared" ca="1" si="379"/>
        <v>0</v>
      </c>
      <c r="V888" s="306">
        <f t="shared" ca="1" si="380"/>
        <v>1.2266610342931308</v>
      </c>
      <c r="W888" s="304">
        <f t="shared" ca="1" si="381"/>
        <v>60.292211583761684</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2.3415981906379733</v>
      </c>
      <c r="AH888" s="304">
        <f t="shared" ca="1" si="405"/>
        <v>-7.408688499806483</v>
      </c>
    </row>
    <row r="889" spans="1:34" x14ac:dyDescent="0.2">
      <c r="A889" s="347">
        <f t="shared" ca="1" si="383"/>
        <v>1E-4</v>
      </c>
      <c r="B889" s="304">
        <f t="shared" ca="1" si="384"/>
        <v>34.518000000000775</v>
      </c>
      <c r="D889" s="306">
        <f t="shared" ca="1" si="385"/>
        <v>-0.81619556258199677</v>
      </c>
      <c r="E889" s="307">
        <f t="shared" ca="1" si="386"/>
        <v>-2.4463701446557913</v>
      </c>
      <c r="F889" s="304">
        <f t="shared" ca="1" si="387"/>
        <v>2.5789342917262816</v>
      </c>
      <c r="G889" s="306">
        <f t="shared" ca="1" si="388"/>
        <v>13.438462031152321</v>
      </c>
      <c r="H889" s="307">
        <f t="shared" ca="1" si="389"/>
        <v>-121.24136107442779</v>
      </c>
      <c r="I889" s="304">
        <f t="shared" ca="1" si="390"/>
        <v>121.98385096783302</v>
      </c>
      <c r="J889" s="306">
        <f t="shared" ca="1" si="391"/>
        <v>859.24597237897774</v>
      </c>
      <c r="K889" s="307">
        <f t="shared" ca="1" si="392"/>
        <v>-13.562401016944728</v>
      </c>
      <c r="L889" s="304">
        <f t="shared" ca="1" si="377"/>
        <v>859.35300067599655</v>
      </c>
      <c r="M889" s="306">
        <f t="shared" ca="1" si="393"/>
        <v>-1.4604063516144554</v>
      </c>
      <c r="N889" s="304">
        <f t="shared" ca="1" si="394"/>
        <v>-83.675120321606812</v>
      </c>
      <c r="P889" s="310">
        <f t="shared" ca="1" si="395"/>
        <v>23</v>
      </c>
      <c r="Q889" s="304">
        <f t="shared" ca="1" si="396"/>
        <v>0</v>
      </c>
      <c r="R889" s="306">
        <f t="shared" ca="1" si="397"/>
        <v>0</v>
      </c>
      <c r="S889" s="307">
        <f t="shared" ca="1" si="398"/>
        <v>8.1379999999999981</v>
      </c>
      <c r="T889" s="304">
        <f t="shared" ca="1" si="378"/>
        <v>79.83377999999999</v>
      </c>
      <c r="U889" s="311">
        <f t="shared" ca="1" si="379"/>
        <v>0</v>
      </c>
      <c r="V889" s="306">
        <f t="shared" ca="1" si="380"/>
        <v>1.2266625215137492</v>
      </c>
      <c r="W889" s="304">
        <f t="shared" ca="1" si="381"/>
        <v>60.292516153735079</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2.3415617222030036</v>
      </c>
      <c r="AH889" s="304">
        <f t="shared" ca="1" si="405"/>
        <v>-7.408725925751007</v>
      </c>
    </row>
    <row r="890" spans="1:34" x14ac:dyDescent="0.2">
      <c r="A890" s="347">
        <f t="shared" ca="1" si="383"/>
        <v>1E-4</v>
      </c>
      <c r="B890" s="304">
        <f t="shared" ca="1" si="384"/>
        <v>34.518100000000778</v>
      </c>
      <c r="D890" s="306">
        <f t="shared" ca="1" si="385"/>
        <v>-0.81619316168256939</v>
      </c>
      <c r="E890" s="307">
        <f t="shared" ca="1" si="386"/>
        <v>-2.446332223684542</v>
      </c>
      <c r="F890" s="304">
        <f t="shared" ca="1" si="387"/>
        <v>2.5788975601630137</v>
      </c>
      <c r="G890" s="306">
        <f t="shared" ca="1" si="388"/>
        <v>13.438380411836153</v>
      </c>
      <c r="H890" s="307">
        <f t="shared" ca="1" si="389"/>
        <v>-121.24160570765015</v>
      </c>
      <c r="I890" s="304">
        <f t="shared" ca="1" si="390"/>
        <v>121.98408512040629</v>
      </c>
      <c r="J890" s="306">
        <f t="shared" ca="1" si="391"/>
        <v>859.24597237897774</v>
      </c>
      <c r="K890" s="307">
        <f t="shared" ca="1" si="392"/>
        <v>-13.574525165283832</v>
      </c>
      <c r="L890" s="304">
        <f t="shared" ca="1" si="377"/>
        <v>859.35319210610828</v>
      </c>
      <c r="M890" s="306">
        <f t="shared" ca="1" si="393"/>
        <v>-1.4604072375723105</v>
      </c>
      <c r="N890" s="304">
        <f t="shared" ca="1" si="394"/>
        <v>-83.675171083252735</v>
      </c>
      <c r="P890" s="310">
        <f t="shared" ca="1" si="395"/>
        <v>23</v>
      </c>
      <c r="Q890" s="304">
        <f t="shared" ca="1" si="396"/>
        <v>0</v>
      </c>
      <c r="R890" s="306">
        <f t="shared" ca="1" si="397"/>
        <v>0</v>
      </c>
      <c r="S890" s="307">
        <f t="shared" ca="1" si="398"/>
        <v>8.1379999999999981</v>
      </c>
      <c r="T890" s="304">
        <f t="shared" ca="1" si="378"/>
        <v>79.83377999999999</v>
      </c>
      <c r="U890" s="311">
        <f t="shared" ca="1" si="379"/>
        <v>0</v>
      </c>
      <c r="V890" s="306">
        <f t="shared" ca="1" si="380"/>
        <v>1.2266640087391727</v>
      </c>
      <c r="W890" s="304">
        <f t="shared" ca="1" si="381"/>
        <v>60.292820721345208</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2.3415252540412732</v>
      </c>
      <c r="AH890" s="304">
        <f t="shared" ca="1" si="405"/>
        <v>-7.4087633514051481</v>
      </c>
    </row>
    <row r="891" spans="1:34" x14ac:dyDescent="0.2">
      <c r="A891" s="347">
        <f t="shared" ca="1" si="383"/>
        <v>1E-4</v>
      </c>
      <c r="B891" s="304">
        <f t="shared" ca="1" si="384"/>
        <v>34.518200000000782</v>
      </c>
      <c r="D891" s="306">
        <f t="shared" ca="1" si="385"/>
        <v>-0.81619076074926444</v>
      </c>
      <c r="E891" s="307">
        <f t="shared" ca="1" si="386"/>
        <v>-2.4462943030075666</v>
      </c>
      <c r="F891" s="304">
        <f t="shared" ca="1" si="387"/>
        <v>2.578860828904836</v>
      </c>
      <c r="G891" s="306">
        <f t="shared" ca="1" si="388"/>
        <v>13.438298792760078</v>
      </c>
      <c r="H891" s="307">
        <f t="shared" ca="1" si="389"/>
        <v>-121.24185033708045</v>
      </c>
      <c r="I891" s="304">
        <f t="shared" ca="1" si="390"/>
        <v>121.98431926933279</v>
      </c>
      <c r="J891" s="306">
        <f t="shared" ca="1" si="391"/>
        <v>859.24597237897774</v>
      </c>
      <c r="K891" s="307">
        <f t="shared" ca="1" si="392"/>
        <v>-13.586649338086069</v>
      </c>
      <c r="L891" s="304">
        <f t="shared" ca="1" si="377"/>
        <v>859.35338370761713</v>
      </c>
      <c r="M891" s="306">
        <f t="shared" ca="1" si="393"/>
        <v>-1.4604081235213833</v>
      </c>
      <c r="N891" s="304">
        <f t="shared" ca="1" si="394"/>
        <v>-83.675221844395466</v>
      </c>
      <c r="P891" s="310">
        <f t="shared" ca="1" si="395"/>
        <v>23</v>
      </c>
      <c r="Q891" s="304">
        <f t="shared" ca="1" si="396"/>
        <v>0</v>
      </c>
      <c r="R891" s="306">
        <f t="shared" ca="1" si="397"/>
        <v>0</v>
      </c>
      <c r="S891" s="307">
        <f t="shared" ca="1" si="398"/>
        <v>8.1379999999999981</v>
      </c>
      <c r="T891" s="304">
        <f t="shared" ca="1" si="378"/>
        <v>79.83377999999999</v>
      </c>
      <c r="U891" s="311">
        <f t="shared" ca="1" si="379"/>
        <v>0</v>
      </c>
      <c r="V891" s="306">
        <f t="shared" ca="1" si="380"/>
        <v>1.226665495969401</v>
      </c>
      <c r="W891" s="304">
        <f t="shared" ca="1" si="381"/>
        <v>60.293125286592137</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2.3414887861527971</v>
      </c>
      <c r="AH891" s="304">
        <f t="shared" ca="1" si="405"/>
        <v>-7.4088007767688895</v>
      </c>
    </row>
    <row r="892" spans="1:34" x14ac:dyDescent="0.2">
      <c r="A892" s="347">
        <f t="shared" ca="1" si="383"/>
        <v>1E-4</v>
      </c>
      <c r="B892" s="304">
        <f t="shared" ca="1" si="384"/>
        <v>34.518300000000785</v>
      </c>
      <c r="D892" s="306">
        <f t="shared" ca="1" si="385"/>
        <v>-0.81618835978208781</v>
      </c>
      <c r="E892" s="307">
        <f t="shared" ca="1" si="386"/>
        <v>-2.4462563826248562</v>
      </c>
      <c r="F892" s="304">
        <f t="shared" ca="1" si="387"/>
        <v>2.5788240979517432</v>
      </c>
      <c r="G892" s="306">
        <f t="shared" ca="1" si="388"/>
        <v>13.4382171739241</v>
      </c>
      <c r="H892" s="307">
        <f t="shared" ca="1" si="389"/>
        <v>-121.24209496271871</v>
      </c>
      <c r="I892" s="304">
        <f t="shared" ca="1" si="390"/>
        <v>121.98455341461251</v>
      </c>
      <c r="J892" s="306">
        <f t="shared" ca="1" si="391"/>
        <v>859.24597237897774</v>
      </c>
      <c r="K892" s="307">
        <f t="shared" ca="1" si="392"/>
        <v>-13.598773535351059</v>
      </c>
      <c r="L892" s="304">
        <f t="shared" ca="1" si="377"/>
        <v>859.353575480524</v>
      </c>
      <c r="M892" s="306">
        <f t="shared" ca="1" si="393"/>
        <v>-1.460409009461674</v>
      </c>
      <c r="N892" s="304">
        <f t="shared" ca="1" si="394"/>
        <v>-83.675272605035033</v>
      </c>
      <c r="P892" s="310">
        <f t="shared" ca="1" si="395"/>
        <v>23</v>
      </c>
      <c r="Q892" s="304">
        <f t="shared" ca="1" si="396"/>
        <v>0</v>
      </c>
      <c r="R892" s="306">
        <f t="shared" ca="1" si="397"/>
        <v>0</v>
      </c>
      <c r="S892" s="307">
        <f t="shared" ca="1" si="398"/>
        <v>8.1379999999999981</v>
      </c>
      <c r="T892" s="304">
        <f t="shared" ca="1" si="378"/>
        <v>79.83377999999999</v>
      </c>
      <c r="U892" s="311">
        <f t="shared" ca="1" si="379"/>
        <v>0</v>
      </c>
      <c r="V892" s="306">
        <f t="shared" ca="1" si="380"/>
        <v>1.2266669832044348</v>
      </c>
      <c r="W892" s="304">
        <f t="shared" ca="1" si="381"/>
        <v>60.293429849475814</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2.3414523185375682</v>
      </c>
      <c r="AH892" s="304">
        <f t="shared" ca="1" si="405"/>
        <v>-7.4088382018422401</v>
      </c>
    </row>
    <row r="893" spans="1:34" x14ac:dyDescent="0.2">
      <c r="A893" s="347">
        <f t="shared" ca="1" si="383"/>
        <v>1E-4</v>
      </c>
      <c r="B893" s="304">
        <f t="shared" ca="1" si="384"/>
        <v>34.518400000000788</v>
      </c>
      <c r="D893" s="306">
        <f t="shared" ca="1" si="385"/>
        <v>-0.81618595878103917</v>
      </c>
      <c r="E893" s="307">
        <f t="shared" ca="1" si="386"/>
        <v>-2.4462184625364172</v>
      </c>
      <c r="F893" s="304">
        <f t="shared" ca="1" si="387"/>
        <v>2.5787873673037405</v>
      </c>
      <c r="G893" s="306">
        <f t="shared" ca="1" si="388"/>
        <v>13.438135555328222</v>
      </c>
      <c r="H893" s="307">
        <f t="shared" ca="1" si="389"/>
        <v>-121.24233958456496</v>
      </c>
      <c r="I893" s="304">
        <f t="shared" ca="1" si="390"/>
        <v>121.98478755624548</v>
      </c>
      <c r="J893" s="306">
        <f t="shared" ca="1" si="391"/>
        <v>859.24597237897774</v>
      </c>
      <c r="K893" s="307">
        <f t="shared" ca="1" si="392"/>
        <v>-13.610897757078423</v>
      </c>
      <c r="L893" s="304">
        <f t="shared" ca="1" si="377"/>
        <v>859.35376742482993</v>
      </c>
      <c r="M893" s="306">
        <f t="shared" ca="1" si="393"/>
        <v>-1.460409895393183</v>
      </c>
      <c r="N893" s="304">
        <f t="shared" ca="1" si="394"/>
        <v>-83.675323365171437</v>
      </c>
      <c r="P893" s="310">
        <f t="shared" ca="1" si="395"/>
        <v>23</v>
      </c>
      <c r="Q893" s="304">
        <f t="shared" ca="1" si="396"/>
        <v>0</v>
      </c>
      <c r="R893" s="306">
        <f t="shared" ca="1" si="397"/>
        <v>0</v>
      </c>
      <c r="S893" s="307">
        <f t="shared" ca="1" si="398"/>
        <v>8.1379999999999981</v>
      </c>
      <c r="T893" s="304">
        <f t="shared" ca="1" si="378"/>
        <v>79.83377999999999</v>
      </c>
      <c r="U893" s="311">
        <f t="shared" ca="1" si="379"/>
        <v>0</v>
      </c>
      <c r="V893" s="306">
        <f t="shared" ca="1" si="380"/>
        <v>1.2266684704442739</v>
      </c>
      <c r="W893" s="304">
        <f t="shared" ca="1" si="381"/>
        <v>60.293734409996269</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2.3414158511955909</v>
      </c>
      <c r="AH893" s="304">
        <f t="shared" ca="1" si="405"/>
        <v>-7.4088756266251936</v>
      </c>
    </row>
    <row r="894" spans="1:34" x14ac:dyDescent="0.2">
      <c r="A894" s="347">
        <f t="shared" ca="1" si="383"/>
        <v>1E-4</v>
      </c>
      <c r="B894" s="304">
        <f t="shared" ca="1" si="384"/>
        <v>34.518500000000792</v>
      </c>
      <c r="D894" s="306">
        <f t="shared" ca="1" si="385"/>
        <v>-0.81618355774611706</v>
      </c>
      <c r="E894" s="307">
        <f t="shared" ca="1" si="386"/>
        <v>-2.4461805427422467</v>
      </c>
      <c r="F894" s="304">
        <f t="shared" ca="1" si="387"/>
        <v>2.5787506369608253</v>
      </c>
      <c r="G894" s="306">
        <f t="shared" ca="1" si="388"/>
        <v>13.438053936972446</v>
      </c>
      <c r="H894" s="307">
        <f t="shared" ca="1" si="389"/>
        <v>-121.24258420261923</v>
      </c>
      <c r="I894" s="304">
        <f t="shared" ca="1" si="390"/>
        <v>121.98502169423176</v>
      </c>
      <c r="J894" s="306">
        <f t="shared" ca="1" si="391"/>
        <v>859.24597237897774</v>
      </c>
      <c r="K894" s="307">
        <f t="shared" ca="1" si="392"/>
        <v>-13.623022003267781</v>
      </c>
      <c r="L894" s="304">
        <f t="shared" ca="1" si="377"/>
        <v>859.35395954053558</v>
      </c>
      <c r="M894" s="306">
        <f t="shared" ca="1" si="393"/>
        <v>-1.4604107813159102</v>
      </c>
      <c r="N894" s="304">
        <f t="shared" ca="1" si="394"/>
        <v>-83.675374124804677</v>
      </c>
      <c r="P894" s="310">
        <f t="shared" ca="1" si="395"/>
        <v>23</v>
      </c>
      <c r="Q894" s="304">
        <f t="shared" ca="1" si="396"/>
        <v>0</v>
      </c>
      <c r="R894" s="306">
        <f t="shared" ca="1" si="397"/>
        <v>0</v>
      </c>
      <c r="S894" s="307">
        <f t="shared" ca="1" si="398"/>
        <v>8.1379999999999981</v>
      </c>
      <c r="T894" s="304">
        <f t="shared" ca="1" si="378"/>
        <v>79.83377999999999</v>
      </c>
      <c r="U894" s="311">
        <f t="shared" ca="1" si="379"/>
        <v>0</v>
      </c>
      <c r="V894" s="306">
        <f t="shared" ca="1" si="380"/>
        <v>1.2266699576889173</v>
      </c>
      <c r="W894" s="304">
        <f t="shared" ca="1" si="381"/>
        <v>60.294038968153451</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2.3413793841268671</v>
      </c>
      <c r="AH894" s="304">
        <f t="shared" ca="1" si="405"/>
        <v>-7.4089130511177537</v>
      </c>
    </row>
    <row r="895" spans="1:34" x14ac:dyDescent="0.2">
      <c r="A895" s="347">
        <f t="shared" ca="1" si="383"/>
        <v>1E-4</v>
      </c>
      <c r="B895" s="304">
        <f t="shared" ca="1" si="384"/>
        <v>34.518600000000795</v>
      </c>
      <c r="D895" s="306">
        <f t="shared" ca="1" si="385"/>
        <v>-0.8161811566773246</v>
      </c>
      <c r="E895" s="307">
        <f t="shared" ca="1" si="386"/>
        <v>-2.4461426232423511</v>
      </c>
      <c r="F895" s="304">
        <f t="shared" ca="1" si="387"/>
        <v>2.5787139069230043</v>
      </c>
      <c r="G895" s="306">
        <f t="shared" ca="1" si="388"/>
        <v>13.437972318856779</v>
      </c>
      <c r="H895" s="307">
        <f t="shared" ca="1" si="389"/>
        <v>-121.24282881688156</v>
      </c>
      <c r="I895" s="304">
        <f t="shared" ca="1" si="390"/>
        <v>121.98525582857137</v>
      </c>
      <c r="J895" s="306">
        <f t="shared" ca="1" si="391"/>
        <v>859.24597237897774</v>
      </c>
      <c r="K895" s="307">
        <f t="shared" ca="1" si="392"/>
        <v>-13.635146273918757</v>
      </c>
      <c r="L895" s="304">
        <f t="shared" ca="1" si="377"/>
        <v>859.35415182764211</v>
      </c>
      <c r="M895" s="306">
        <f t="shared" ca="1" si="393"/>
        <v>-1.4604116672298557</v>
      </c>
      <c r="N895" s="304">
        <f t="shared" ca="1" si="394"/>
        <v>-83.675424883934767</v>
      </c>
      <c r="P895" s="310">
        <f t="shared" ca="1" si="395"/>
        <v>23</v>
      </c>
      <c r="Q895" s="304">
        <f t="shared" ca="1" si="396"/>
        <v>0</v>
      </c>
      <c r="R895" s="306">
        <f t="shared" ca="1" si="397"/>
        <v>0</v>
      </c>
      <c r="S895" s="307">
        <f t="shared" ca="1" si="398"/>
        <v>8.1379999999999981</v>
      </c>
      <c r="T895" s="304">
        <f t="shared" ca="1" si="378"/>
        <v>79.83377999999999</v>
      </c>
      <c r="U895" s="311">
        <f t="shared" ca="1" si="379"/>
        <v>0</v>
      </c>
      <c r="V895" s="306">
        <f t="shared" ca="1" si="380"/>
        <v>1.2266714449383662</v>
      </c>
      <c r="W895" s="304">
        <f t="shared" ca="1" si="381"/>
        <v>60.29434352394744</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2.3413429173313949</v>
      </c>
      <c r="AH895" s="304">
        <f t="shared" ca="1" si="405"/>
        <v>-7.4089504753199149</v>
      </c>
    </row>
    <row r="896" spans="1:34" x14ac:dyDescent="0.2">
      <c r="A896" s="347">
        <f t="shared" ca="1" si="383"/>
        <v>1E-4</v>
      </c>
      <c r="B896" s="304">
        <f t="shared" ca="1" si="384"/>
        <v>34.518700000000798</v>
      </c>
      <c r="D896" s="306">
        <f t="shared" ca="1" si="385"/>
        <v>-0.8161787555746628</v>
      </c>
      <c r="E896" s="307">
        <f t="shared" ca="1" si="386"/>
        <v>-2.4461047040367196</v>
      </c>
      <c r="F896" s="304">
        <f t="shared" ca="1" si="387"/>
        <v>2.578677177190269</v>
      </c>
      <c r="G896" s="306">
        <f t="shared" ca="1" si="388"/>
        <v>13.437890700981223</v>
      </c>
      <c r="H896" s="307">
        <f t="shared" ca="1" si="389"/>
        <v>-121.24307342735196</v>
      </c>
      <c r="I896" s="304">
        <f t="shared" ca="1" si="390"/>
        <v>121.98548995926433</v>
      </c>
      <c r="J896" s="306">
        <f t="shared" ca="1" si="391"/>
        <v>859.24597237897774</v>
      </c>
      <c r="K896" s="307">
        <f t="shared" ca="1" si="392"/>
        <v>-13.647270569030969</v>
      </c>
      <c r="L896" s="304">
        <f t="shared" ca="1" si="377"/>
        <v>859.35434428615031</v>
      </c>
      <c r="M896" s="306">
        <f t="shared" ca="1" si="393"/>
        <v>-1.4604125531350198</v>
      </c>
      <c r="N896" s="304">
        <f t="shared" ca="1" si="394"/>
        <v>-83.675475642561722</v>
      </c>
      <c r="P896" s="310">
        <f t="shared" ca="1" si="395"/>
        <v>23</v>
      </c>
      <c r="Q896" s="304">
        <f t="shared" ca="1" si="396"/>
        <v>0</v>
      </c>
      <c r="R896" s="306">
        <f t="shared" ca="1" si="397"/>
        <v>0</v>
      </c>
      <c r="S896" s="307">
        <f t="shared" ca="1" si="398"/>
        <v>8.1379999999999981</v>
      </c>
      <c r="T896" s="304">
        <f t="shared" ca="1" si="378"/>
        <v>79.83377999999999</v>
      </c>
      <c r="U896" s="311">
        <f t="shared" ca="1" si="379"/>
        <v>0</v>
      </c>
      <c r="V896" s="306">
        <f t="shared" ca="1" si="380"/>
        <v>1.2266729321926204</v>
      </c>
      <c r="W896" s="304">
        <f t="shared" ca="1" si="381"/>
        <v>60.29464807737817</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2.3413064508091734</v>
      </c>
      <c r="AH896" s="304">
        <f t="shared" ca="1" si="405"/>
        <v>-7.4089878992316853</v>
      </c>
    </row>
    <row r="897" spans="1:34" x14ac:dyDescent="0.2">
      <c r="A897" s="347">
        <f t="shared" ca="1" si="383"/>
        <v>1E-4</v>
      </c>
      <c r="B897" s="304">
        <f t="shared" ca="1" si="384"/>
        <v>34.518800000000802</v>
      </c>
      <c r="D897" s="306">
        <f t="shared" ca="1" si="385"/>
        <v>-0.81617635443813075</v>
      </c>
      <c r="E897" s="307">
        <f t="shared" ca="1" si="386"/>
        <v>-2.4460667851253612</v>
      </c>
      <c r="F897" s="304">
        <f t="shared" ca="1" si="387"/>
        <v>2.5786404477626261</v>
      </c>
      <c r="G897" s="306">
        <f t="shared" ca="1" si="388"/>
        <v>13.43780908334578</v>
      </c>
      <c r="H897" s="307">
        <f t="shared" ca="1" si="389"/>
        <v>-121.24331803403047</v>
      </c>
      <c r="I897" s="304">
        <f t="shared" ca="1" si="390"/>
        <v>121.98572408631064</v>
      </c>
      <c r="J897" s="306">
        <f t="shared" ca="1" si="391"/>
        <v>859.24597237897774</v>
      </c>
      <c r="K897" s="307">
        <f t="shared" ca="1" si="392"/>
        <v>-13.659394888604037</v>
      </c>
      <c r="L897" s="304">
        <f t="shared" ca="1" si="377"/>
        <v>859.35453691606108</v>
      </c>
      <c r="M897" s="306">
        <f t="shared" ca="1" si="393"/>
        <v>-1.4604134390314027</v>
      </c>
      <c r="N897" s="304">
        <f t="shared" ca="1" si="394"/>
        <v>-83.675526400685541</v>
      </c>
      <c r="P897" s="310">
        <f t="shared" ca="1" si="395"/>
        <v>23</v>
      </c>
      <c r="Q897" s="304">
        <f t="shared" ca="1" si="396"/>
        <v>0</v>
      </c>
      <c r="R897" s="306">
        <f t="shared" ca="1" si="397"/>
        <v>0</v>
      </c>
      <c r="S897" s="307">
        <f t="shared" ca="1" si="398"/>
        <v>8.1379999999999981</v>
      </c>
      <c r="T897" s="304">
        <f t="shared" ca="1" si="378"/>
        <v>79.83377999999999</v>
      </c>
      <c r="U897" s="311">
        <f t="shared" ca="1" si="379"/>
        <v>0</v>
      </c>
      <c r="V897" s="306">
        <f t="shared" ca="1" si="380"/>
        <v>1.226674419451679</v>
      </c>
      <c r="W897" s="304">
        <f t="shared" ca="1" si="381"/>
        <v>60.294952628445607</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2.3412699845602081</v>
      </c>
      <c r="AH897" s="304">
        <f t="shared" ca="1" si="405"/>
        <v>-7.4090253228530578</v>
      </c>
    </row>
    <row r="898" spans="1:34" x14ac:dyDescent="0.2">
      <c r="A898" s="347">
        <f t="shared" ca="1" si="383"/>
        <v>1E-4</v>
      </c>
      <c r="B898" s="304">
        <f t="shared" ca="1" si="384"/>
        <v>34.518900000000805</v>
      </c>
      <c r="D898" s="306">
        <f t="shared" ca="1" si="385"/>
        <v>-0.81617395326772824</v>
      </c>
      <c r="E898" s="307">
        <f t="shared" ca="1" si="386"/>
        <v>-2.4460288665082803</v>
      </c>
      <c r="F898" s="304">
        <f t="shared" ca="1" si="387"/>
        <v>2.578603718640081</v>
      </c>
      <c r="G898" s="306">
        <f t="shared" ca="1" si="388"/>
        <v>13.437727465950452</v>
      </c>
      <c r="H898" s="307">
        <f t="shared" ca="1" si="389"/>
        <v>-121.24356263691712</v>
      </c>
      <c r="I898" s="304">
        <f t="shared" ca="1" si="390"/>
        <v>121.98595820971036</v>
      </c>
      <c r="J898" s="306">
        <f t="shared" ca="1" si="391"/>
        <v>859.24597237897774</v>
      </c>
      <c r="K898" s="307">
        <f t="shared" ca="1" si="392"/>
        <v>-13.671519232637584</v>
      </c>
      <c r="L898" s="304">
        <f t="shared" ca="1" si="377"/>
        <v>859.35472971737545</v>
      </c>
      <c r="M898" s="306">
        <f t="shared" ca="1" si="393"/>
        <v>-1.4604143249190042</v>
      </c>
      <c r="N898" s="304">
        <f t="shared" ca="1" si="394"/>
        <v>-83.67557715830624</v>
      </c>
      <c r="P898" s="310">
        <f t="shared" ca="1" si="395"/>
        <v>23</v>
      </c>
      <c r="Q898" s="304">
        <f t="shared" ca="1" si="396"/>
        <v>0</v>
      </c>
      <c r="R898" s="306">
        <f t="shared" ca="1" si="397"/>
        <v>0</v>
      </c>
      <c r="S898" s="307">
        <f t="shared" ca="1" si="398"/>
        <v>8.1379999999999981</v>
      </c>
      <c r="T898" s="304">
        <f t="shared" ca="1" si="378"/>
        <v>79.83377999999999</v>
      </c>
      <c r="U898" s="311">
        <f t="shared" ca="1" si="379"/>
        <v>0</v>
      </c>
      <c r="V898" s="306">
        <f t="shared" ca="1" si="380"/>
        <v>1.2266759067155428</v>
      </c>
      <c r="W898" s="304">
        <f t="shared" ca="1" si="381"/>
        <v>60.295257177149821</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2.3412335185845015</v>
      </c>
      <c r="AH898" s="304">
        <f t="shared" ca="1" si="405"/>
        <v>-7.4090627461840279</v>
      </c>
    </row>
    <row r="899" spans="1:34" x14ac:dyDescent="0.2">
      <c r="A899" s="347">
        <f t="shared" ca="1" si="383"/>
        <v>1E-4</v>
      </c>
      <c r="B899" s="304">
        <f t="shared" ca="1" si="384"/>
        <v>34.519000000000808</v>
      </c>
      <c r="D899" s="306">
        <f t="shared" ca="1" si="385"/>
        <v>-0.81617155206345959</v>
      </c>
      <c r="E899" s="307">
        <f t="shared" ca="1" si="386"/>
        <v>-2.4459909481854671</v>
      </c>
      <c r="F899" s="304">
        <f t="shared" ca="1" si="387"/>
        <v>2.5785669898226256</v>
      </c>
      <c r="G899" s="306">
        <f t="shared" ca="1" si="388"/>
        <v>13.437645848795245</v>
      </c>
      <c r="H899" s="307">
        <f t="shared" ca="1" si="389"/>
        <v>-121.24380723601193</v>
      </c>
      <c r="I899" s="304">
        <f t="shared" ca="1" si="390"/>
        <v>121.98619232946352</v>
      </c>
      <c r="J899" s="306">
        <f t="shared" ca="1" si="391"/>
        <v>859.24597237897774</v>
      </c>
      <c r="K899" s="307">
        <f t="shared" ca="1" si="392"/>
        <v>-13.68364360113123</v>
      </c>
      <c r="L899" s="304">
        <f t="shared" ca="1" si="377"/>
        <v>859.3549226900941</v>
      </c>
      <c r="M899" s="306">
        <f t="shared" ca="1" si="393"/>
        <v>-1.4604152107978248</v>
      </c>
      <c r="N899" s="304">
        <f t="shared" ca="1" si="394"/>
        <v>-83.675627915423817</v>
      </c>
      <c r="P899" s="310">
        <f t="shared" ca="1" si="395"/>
        <v>23</v>
      </c>
      <c r="Q899" s="304">
        <f t="shared" ca="1" si="396"/>
        <v>0</v>
      </c>
      <c r="R899" s="306">
        <f t="shared" ca="1" si="397"/>
        <v>0</v>
      </c>
      <c r="S899" s="307">
        <f t="shared" ca="1" si="398"/>
        <v>8.1379999999999981</v>
      </c>
      <c r="T899" s="304">
        <f t="shared" ca="1" si="378"/>
        <v>79.83377999999999</v>
      </c>
      <c r="U899" s="311">
        <f t="shared" ca="1" si="379"/>
        <v>0</v>
      </c>
      <c r="V899" s="306">
        <f t="shared" ca="1" si="380"/>
        <v>1.2266773939842117</v>
      </c>
      <c r="W899" s="304">
        <f t="shared" ca="1" si="381"/>
        <v>60.295561723490778</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2.3411970528820465</v>
      </c>
      <c r="AH899" s="304">
        <f t="shared" ca="1" si="405"/>
        <v>-7.4091001692246046</v>
      </c>
    </row>
    <row r="900" spans="1:34" x14ac:dyDescent="0.2">
      <c r="A900" s="347">
        <f t="shared" ca="1" si="383"/>
        <v>1E-4</v>
      </c>
      <c r="B900" s="304">
        <f t="shared" ca="1" si="384"/>
        <v>34.519100000000812</v>
      </c>
      <c r="D900" s="306">
        <f t="shared" ca="1" si="385"/>
        <v>-0.81616915082532304</v>
      </c>
      <c r="E900" s="307">
        <f t="shared" ca="1" si="386"/>
        <v>-2.4459530301569261</v>
      </c>
      <c r="F900" s="304">
        <f t="shared" ca="1" si="387"/>
        <v>2.5785302613102639</v>
      </c>
      <c r="G900" s="306">
        <f t="shared" ca="1" si="388"/>
        <v>13.437564231880163</v>
      </c>
      <c r="H900" s="307">
        <f t="shared" ca="1" si="389"/>
        <v>-121.24405183131495</v>
      </c>
      <c r="I900" s="304">
        <f t="shared" ca="1" si="390"/>
        <v>121.98642644557012</v>
      </c>
      <c r="J900" s="306">
        <f t="shared" ca="1" si="391"/>
        <v>859.24597237897774</v>
      </c>
      <c r="K900" s="307">
        <f t="shared" ca="1" si="392"/>
        <v>-13.695767994084596</v>
      </c>
      <c r="L900" s="304">
        <f t="shared" ref="L900:L963" ca="1" si="406">SQRT(pos_x^2+pos_z^2)</f>
        <v>859.35511583421828</v>
      </c>
      <c r="M900" s="306">
        <f t="shared" ca="1" si="393"/>
        <v>-1.4604160966678643</v>
      </c>
      <c r="N900" s="304">
        <f t="shared" ca="1" si="394"/>
        <v>-83.675678672038273</v>
      </c>
      <c r="P900" s="310">
        <f t="shared" ca="1" si="395"/>
        <v>23</v>
      </c>
      <c r="Q900" s="304">
        <f t="shared" ca="1" si="396"/>
        <v>0</v>
      </c>
      <c r="R900" s="306">
        <f t="shared" ca="1" si="397"/>
        <v>0</v>
      </c>
      <c r="S900" s="307">
        <f t="shared" ca="1" si="398"/>
        <v>8.1379999999999981</v>
      </c>
      <c r="T900" s="304">
        <f t="shared" ref="T900:T963" ca="1" si="407">m*g</f>
        <v>79.83377999999999</v>
      </c>
      <c r="U900" s="311">
        <f t="shared" ref="U900:U963" ca="1" si="408">IF(pos_xz&lt;L_rampe,Poids*COS(Beta),0)</f>
        <v>0</v>
      </c>
      <c r="V900" s="306">
        <f t="shared" ref="V900:V963" ca="1" si="409">Rho_moyen*(20000-Alt_rampe-pos_z)/(20000+Alt_rampe+pos_z)</f>
        <v>1.2266788812576854</v>
      </c>
      <c r="W900" s="304">
        <f t="shared" ref="W900:W963" ca="1" si="410">1/2*Rho*Sref*Cx*vit_xz^2</f>
        <v>60.295866267468448</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2.3411605874528485</v>
      </c>
      <c r="AH900" s="304">
        <f t="shared" ca="1" si="405"/>
        <v>-7.4091375919747842</v>
      </c>
    </row>
    <row r="901" spans="1:34" x14ac:dyDescent="0.2">
      <c r="A901" s="347">
        <f t="shared" ref="A901:A964" ca="1" si="412">IF(B900+0.01&lt;=T_ini+ROUNDUP(Temps_fin_propu,0), 0.01, IF(K900&gt;0, 0.1, 0.0001))</f>
        <v>1E-4</v>
      </c>
      <c r="B901" s="304">
        <f t="shared" ref="B901:B964" ca="1" si="413">B900+pas</f>
        <v>34.519200000000815</v>
      </c>
      <c r="D901" s="306">
        <f t="shared" ref="D901:D964" ca="1" si="414">IF(AND(L900&lt;L_rampe,Poussee&lt;Poids*SIN(M900)),0,(-W900+Poussee)/m*COS(M900)-U900/m*SIN(M900))</f>
        <v>-0.81616674955331958</v>
      </c>
      <c r="E901" s="307">
        <f t="shared" ref="E901:E964" ca="1" si="415">IF(AND(L900&lt;L_rampe,Poussee&lt;Poids*SIN(M900)),0,(-W900+Poussee)/m*SIN(M900)+U900/m*COS(M900)-Poids/m)</f>
        <v>-2.4459151124226617</v>
      </c>
      <c r="F901" s="304">
        <f t="shared" ref="F901:F964" ca="1" si="416">SQRT(acc_x^2+acc_z^2)</f>
        <v>2.5784935331030003</v>
      </c>
      <c r="G901" s="306">
        <f t="shared" ref="G901:G964" ca="1" si="417">G900+acc_x*pas</f>
        <v>13.437482615205207</v>
      </c>
      <c r="H901" s="307">
        <f t="shared" ref="H901:H964" ca="1" si="418">H900+acc_z*pas</f>
        <v>-121.2442964228262</v>
      </c>
      <c r="I901" s="304">
        <f t="shared" ref="I901:I964" ca="1" si="419">SQRT(vit_x^2+vit_z^2)</f>
        <v>121.98666055803022</v>
      </c>
      <c r="J901" s="306">
        <f t="shared" ref="J901:J964" ca="1" si="420">J900+0.5*(vit_x+G900)*pas*(K900&gt;=0)</f>
        <v>859.24597237897774</v>
      </c>
      <c r="K901" s="307">
        <f t="shared" ref="K901:K964" ca="1" si="421">K900+0.5*(vit_z+H900)*pas</f>
        <v>-13.707892411497303</v>
      </c>
      <c r="L901" s="304">
        <f t="shared" ca="1" si="406"/>
        <v>859.35530914974868</v>
      </c>
      <c r="M901" s="306">
        <f t="shared" ref="M901:M964" ca="1" si="422">IF(AND(L900&gt;L_rampe,G901&gt;0),ATAN2(G901,H901),$M$4)</f>
        <v>-1.4604169825291231</v>
      </c>
      <c r="N901" s="304">
        <f t="shared" ref="N901:N964" ca="1" si="423">DEGREES(Beta)</f>
        <v>-83.675729428149637</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8.1379999999999981</v>
      </c>
      <c r="T901" s="304">
        <f t="shared" ca="1" si="407"/>
        <v>79.83377999999999</v>
      </c>
      <c r="U901" s="311">
        <f t="shared" ca="1" si="408"/>
        <v>0</v>
      </c>
      <c r="V901" s="306">
        <f t="shared" ca="1" si="409"/>
        <v>1.2266803685359637</v>
      </c>
      <c r="W901" s="304">
        <f t="shared" ca="1" si="410"/>
        <v>60.296170809082874</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2.341124122296911</v>
      </c>
      <c r="AH901" s="304">
        <f t="shared" ref="AH901:AH964" ca="1" si="434">IF(AND(L900&lt;L_rampe,Poussee&lt;Poids*SIN(M900)), g*SIN(M900), (-W900+Poussee)/m)</f>
        <v>-7.4091750144345614</v>
      </c>
    </row>
    <row r="902" spans="1:34" x14ac:dyDescent="0.2">
      <c r="A902" s="347">
        <f t="shared" ca="1" si="412"/>
        <v>1E-4</v>
      </c>
      <c r="B902" s="304">
        <f t="shared" ca="1" si="413"/>
        <v>34.519300000000818</v>
      </c>
      <c r="D902" s="306">
        <f t="shared" ca="1" si="414"/>
        <v>-0.81616434824745032</v>
      </c>
      <c r="E902" s="307">
        <f t="shared" ca="1" si="415"/>
        <v>-2.4458771949826668</v>
      </c>
      <c r="F902" s="304">
        <f t="shared" ca="1" si="416"/>
        <v>2.5784568052008283</v>
      </c>
      <c r="G902" s="306">
        <f t="shared" ca="1" si="417"/>
        <v>13.437400998770382</v>
      </c>
      <c r="H902" s="307">
        <f t="shared" ca="1" si="418"/>
        <v>-121.24454101054569</v>
      </c>
      <c r="I902" s="304">
        <f t="shared" ca="1" si="419"/>
        <v>121.98689466684382</v>
      </c>
      <c r="J902" s="306">
        <f t="shared" ca="1" si="420"/>
        <v>859.24597237897774</v>
      </c>
      <c r="K902" s="307">
        <f t="shared" ca="1" si="421"/>
        <v>-13.720016853368971</v>
      </c>
      <c r="L902" s="304">
        <f t="shared" ca="1" si="406"/>
        <v>859.35550263668631</v>
      </c>
      <c r="M902" s="306">
        <f t="shared" ca="1" si="422"/>
        <v>-1.4604178683816011</v>
      </c>
      <c r="N902" s="304">
        <f t="shared" ca="1" si="423"/>
        <v>-83.675780183757894</v>
      </c>
      <c r="P902" s="310">
        <f t="shared" ca="1" si="424"/>
        <v>23</v>
      </c>
      <c r="Q902" s="304">
        <f t="shared" ca="1" si="425"/>
        <v>0</v>
      </c>
      <c r="R902" s="306">
        <f t="shared" ca="1" si="426"/>
        <v>0</v>
      </c>
      <c r="S902" s="307">
        <f t="shared" ca="1" si="427"/>
        <v>8.1379999999999981</v>
      </c>
      <c r="T902" s="304">
        <f t="shared" ca="1" si="407"/>
        <v>79.83377999999999</v>
      </c>
      <c r="U902" s="311">
        <f t="shared" ca="1" si="408"/>
        <v>0</v>
      </c>
      <c r="V902" s="306">
        <f t="shared" ca="1" si="409"/>
        <v>1.2266818558190467</v>
      </c>
      <c r="W902" s="304">
        <f t="shared" ca="1" si="410"/>
        <v>60.296475348333985</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2.3410876574142305</v>
      </c>
      <c r="AH902" s="304">
        <f t="shared" ca="1" si="434"/>
        <v>-7.4092124366039434</v>
      </c>
    </row>
    <row r="903" spans="1:34" x14ac:dyDescent="0.2">
      <c r="A903" s="347">
        <f t="shared" ca="1" si="412"/>
        <v>1E-4</v>
      </c>
      <c r="B903" s="304">
        <f t="shared" ca="1" si="413"/>
        <v>34.519400000000822</v>
      </c>
      <c r="D903" s="306">
        <f t="shared" ca="1" si="414"/>
        <v>-0.81616194690771571</v>
      </c>
      <c r="E903" s="307">
        <f t="shared" ca="1" si="415"/>
        <v>-2.4458392778369538</v>
      </c>
      <c r="F903" s="304">
        <f t="shared" ca="1" si="416"/>
        <v>2.5784200776037611</v>
      </c>
      <c r="G903" s="306">
        <f t="shared" ca="1" si="417"/>
        <v>13.437319382575691</v>
      </c>
      <c r="H903" s="307">
        <f t="shared" ca="1" si="418"/>
        <v>-121.24478559447347</v>
      </c>
      <c r="I903" s="304">
        <f t="shared" ca="1" si="419"/>
        <v>121.98712877201098</v>
      </c>
      <c r="J903" s="306">
        <f t="shared" ca="1" si="420"/>
        <v>859.24597237897774</v>
      </c>
      <c r="K903" s="307">
        <f t="shared" ca="1" si="421"/>
        <v>-13.732141319699222</v>
      </c>
      <c r="L903" s="304">
        <f t="shared" ca="1" si="406"/>
        <v>859.35569629503198</v>
      </c>
      <c r="M903" s="306">
        <f t="shared" ca="1" si="422"/>
        <v>-1.4604187542252987</v>
      </c>
      <c r="N903" s="304">
        <f t="shared" ca="1" si="423"/>
        <v>-83.675830938863072</v>
      </c>
      <c r="P903" s="310">
        <f t="shared" ca="1" si="424"/>
        <v>23</v>
      </c>
      <c r="Q903" s="304">
        <f t="shared" ca="1" si="425"/>
        <v>0</v>
      </c>
      <c r="R903" s="306">
        <f t="shared" ca="1" si="426"/>
        <v>0</v>
      </c>
      <c r="S903" s="307">
        <f t="shared" ca="1" si="427"/>
        <v>8.1379999999999981</v>
      </c>
      <c r="T903" s="304">
        <f t="shared" ca="1" si="407"/>
        <v>79.83377999999999</v>
      </c>
      <c r="U903" s="311">
        <f t="shared" ca="1" si="408"/>
        <v>0</v>
      </c>
      <c r="V903" s="306">
        <f t="shared" ca="1" si="409"/>
        <v>1.2266833431069351</v>
      </c>
      <c r="W903" s="304">
        <f t="shared" ca="1" si="410"/>
        <v>60.296779885221888</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2.3410511928048123</v>
      </c>
      <c r="AH903" s="304">
        <f t="shared" ca="1" si="434"/>
        <v>-7.4092498584829194</v>
      </c>
    </row>
    <row r="904" spans="1:34" x14ac:dyDescent="0.2">
      <c r="A904" s="347">
        <f t="shared" ca="1" si="412"/>
        <v>1E-4</v>
      </c>
      <c r="B904" s="304">
        <f t="shared" ca="1" si="413"/>
        <v>34.519500000000825</v>
      </c>
      <c r="D904" s="306">
        <f t="shared" ca="1" si="414"/>
        <v>-0.81615954553411751</v>
      </c>
      <c r="E904" s="307">
        <f t="shared" ca="1" si="415"/>
        <v>-2.4458013609855058</v>
      </c>
      <c r="F904" s="304">
        <f t="shared" ca="1" si="416"/>
        <v>2.5783833503117819</v>
      </c>
      <c r="G904" s="306">
        <f t="shared" ca="1" si="417"/>
        <v>13.437237766621138</v>
      </c>
      <c r="H904" s="307">
        <f t="shared" ca="1" si="418"/>
        <v>-121.24503017460957</v>
      </c>
      <c r="I904" s="304">
        <f t="shared" ca="1" si="419"/>
        <v>121.98736287353168</v>
      </c>
      <c r="J904" s="306">
        <f t="shared" ca="1" si="420"/>
        <v>859.24597237897774</v>
      </c>
      <c r="K904" s="307">
        <f t="shared" ca="1" si="421"/>
        <v>-13.744265810487676</v>
      </c>
      <c r="L904" s="304">
        <f t="shared" ca="1" si="406"/>
        <v>859.35589012478658</v>
      </c>
      <c r="M904" s="306">
        <f t="shared" ca="1" si="422"/>
        <v>-1.4604196400602156</v>
      </c>
      <c r="N904" s="304">
        <f t="shared" ca="1" si="423"/>
        <v>-83.675881693465158</v>
      </c>
      <c r="P904" s="310">
        <f t="shared" ca="1" si="424"/>
        <v>23</v>
      </c>
      <c r="Q904" s="304">
        <f t="shared" ca="1" si="425"/>
        <v>0</v>
      </c>
      <c r="R904" s="306">
        <f t="shared" ca="1" si="426"/>
        <v>0</v>
      </c>
      <c r="S904" s="307">
        <f t="shared" ca="1" si="427"/>
        <v>8.1379999999999981</v>
      </c>
      <c r="T904" s="304">
        <f t="shared" ca="1" si="407"/>
        <v>79.83377999999999</v>
      </c>
      <c r="U904" s="311">
        <f t="shared" ca="1" si="408"/>
        <v>0</v>
      </c>
      <c r="V904" s="306">
        <f t="shared" ca="1" si="409"/>
        <v>1.2266848303996278</v>
      </c>
      <c r="W904" s="304">
        <f t="shared" ca="1" si="410"/>
        <v>60.297084419746454</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2.3410147284686502</v>
      </c>
      <c r="AH904" s="304">
        <f t="shared" ca="1" si="434"/>
        <v>-7.4092872800715046</v>
      </c>
    </row>
    <row r="905" spans="1:34" x14ac:dyDescent="0.2">
      <c r="A905" s="347">
        <f t="shared" ca="1" si="412"/>
        <v>1E-4</v>
      </c>
      <c r="B905" s="304">
        <f t="shared" ca="1" si="413"/>
        <v>34.519600000000828</v>
      </c>
      <c r="D905" s="306">
        <f t="shared" ca="1" si="414"/>
        <v>-0.81615714412665563</v>
      </c>
      <c r="E905" s="307">
        <f t="shared" ca="1" si="415"/>
        <v>-2.4457634444283416</v>
      </c>
      <c r="F905" s="304">
        <f t="shared" ca="1" si="416"/>
        <v>2.5783466233249097</v>
      </c>
      <c r="G905" s="306">
        <f t="shared" ca="1" si="417"/>
        <v>13.437156150906725</v>
      </c>
      <c r="H905" s="307">
        <f t="shared" ca="1" si="418"/>
        <v>-121.24527475095401</v>
      </c>
      <c r="I905" s="304">
        <f t="shared" ca="1" si="419"/>
        <v>121.98759697140598</v>
      </c>
      <c r="J905" s="306">
        <f t="shared" ca="1" si="420"/>
        <v>859.24597237897774</v>
      </c>
      <c r="K905" s="307">
        <f t="shared" ca="1" si="421"/>
        <v>-13.756390325733953</v>
      </c>
      <c r="L905" s="304">
        <f t="shared" ca="1" si="406"/>
        <v>859.35608412595116</v>
      </c>
      <c r="M905" s="306">
        <f t="shared" ca="1" si="422"/>
        <v>-1.4604205258863525</v>
      </c>
      <c r="N905" s="304">
        <f t="shared" ca="1" si="423"/>
        <v>-83.675932447564193</v>
      </c>
      <c r="P905" s="310">
        <f t="shared" ca="1" si="424"/>
        <v>23</v>
      </c>
      <c r="Q905" s="304">
        <f t="shared" ca="1" si="425"/>
        <v>0</v>
      </c>
      <c r="R905" s="306">
        <f t="shared" ca="1" si="426"/>
        <v>0</v>
      </c>
      <c r="S905" s="307">
        <f t="shared" ca="1" si="427"/>
        <v>8.1379999999999981</v>
      </c>
      <c r="T905" s="304">
        <f t="shared" ca="1" si="407"/>
        <v>79.83377999999999</v>
      </c>
      <c r="U905" s="311">
        <f t="shared" ca="1" si="408"/>
        <v>0</v>
      </c>
      <c r="V905" s="306">
        <f t="shared" ca="1" si="409"/>
        <v>1.226686317697125</v>
      </c>
      <c r="W905" s="304">
        <f t="shared" ca="1" si="410"/>
        <v>60.297388951907735</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2.3409782644057531</v>
      </c>
      <c r="AH905" s="304">
        <f t="shared" ca="1" si="434"/>
        <v>-7.4093247013696812</v>
      </c>
    </row>
    <row r="906" spans="1:34" x14ac:dyDescent="0.2">
      <c r="A906" s="347">
        <f t="shared" ca="1" si="412"/>
        <v>1E-4</v>
      </c>
      <c r="B906" s="304">
        <f t="shared" ca="1" si="413"/>
        <v>34.519700000000832</v>
      </c>
      <c r="D906" s="306">
        <f t="shared" ca="1" si="414"/>
        <v>-0.81615474268532939</v>
      </c>
      <c r="E906" s="307">
        <f t="shared" ca="1" si="415"/>
        <v>-2.4457255281654513</v>
      </c>
      <c r="F906" s="304">
        <f t="shared" ca="1" si="416"/>
        <v>2.5783098966431348</v>
      </c>
      <c r="G906" s="306">
        <f t="shared" ca="1" si="417"/>
        <v>13.437074535432457</v>
      </c>
      <c r="H906" s="307">
        <f t="shared" ca="1" si="418"/>
        <v>-121.24551932350683</v>
      </c>
      <c r="I906" s="304">
        <f t="shared" ca="1" si="419"/>
        <v>121.9878310656339</v>
      </c>
      <c r="J906" s="306">
        <f t="shared" ca="1" si="420"/>
        <v>859.24597237897774</v>
      </c>
      <c r="K906" s="307">
        <f t="shared" ca="1" si="421"/>
        <v>-13.768514865437677</v>
      </c>
      <c r="L906" s="304">
        <f t="shared" ca="1" si="406"/>
        <v>859.3562782985266</v>
      </c>
      <c r="M906" s="306">
        <f t="shared" ca="1" si="422"/>
        <v>-1.4604214117037091</v>
      </c>
      <c r="N906" s="304">
        <f t="shared" ca="1" si="423"/>
        <v>-83.675983201160136</v>
      </c>
      <c r="P906" s="310">
        <f t="shared" ca="1" si="424"/>
        <v>23</v>
      </c>
      <c r="Q906" s="304">
        <f t="shared" ca="1" si="425"/>
        <v>0</v>
      </c>
      <c r="R906" s="306">
        <f t="shared" ca="1" si="426"/>
        <v>0</v>
      </c>
      <c r="S906" s="307">
        <f t="shared" ca="1" si="427"/>
        <v>8.1379999999999981</v>
      </c>
      <c r="T906" s="304">
        <f t="shared" ca="1" si="407"/>
        <v>79.83377999999999</v>
      </c>
      <c r="U906" s="311">
        <f t="shared" ca="1" si="408"/>
        <v>0</v>
      </c>
      <c r="V906" s="306">
        <f t="shared" ca="1" si="409"/>
        <v>1.2266878049994276</v>
      </c>
      <c r="W906" s="304">
        <f t="shared" ca="1" si="410"/>
        <v>60.297693481705764</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2.3409418006161182</v>
      </c>
      <c r="AH906" s="304">
        <f t="shared" ca="1" si="434"/>
        <v>-7.4093621223774573</v>
      </c>
    </row>
    <row r="907" spans="1:34" x14ac:dyDescent="0.2">
      <c r="A907" s="347">
        <f t="shared" ca="1" si="412"/>
        <v>1E-4</v>
      </c>
      <c r="B907" s="304">
        <f t="shared" ca="1" si="413"/>
        <v>34.519800000000835</v>
      </c>
      <c r="D907" s="306">
        <f t="shared" ca="1" si="414"/>
        <v>-0.81615234121014257</v>
      </c>
      <c r="E907" s="307">
        <f t="shared" ca="1" si="415"/>
        <v>-2.4456876121968341</v>
      </c>
      <c r="F907" s="304">
        <f t="shared" ca="1" si="416"/>
        <v>2.5782731702664572</v>
      </c>
      <c r="G907" s="306">
        <f t="shared" ca="1" si="417"/>
        <v>13.436992920198335</v>
      </c>
      <c r="H907" s="307">
        <f t="shared" ca="1" si="418"/>
        <v>-121.24576389226804</v>
      </c>
      <c r="I907" s="304">
        <f t="shared" ca="1" si="419"/>
        <v>121.98806515621547</v>
      </c>
      <c r="J907" s="306">
        <f t="shared" ca="1" si="420"/>
        <v>859.24597237897774</v>
      </c>
      <c r="K907" s="307">
        <f t="shared" ca="1" si="421"/>
        <v>-13.780639429598466</v>
      </c>
      <c r="L907" s="304">
        <f t="shared" ca="1" si="406"/>
        <v>859.35647264251384</v>
      </c>
      <c r="M907" s="306">
        <f t="shared" ca="1" si="422"/>
        <v>-1.4604222975122856</v>
      </c>
      <c r="N907" s="304">
        <f t="shared" ca="1" si="423"/>
        <v>-83.676033954253029</v>
      </c>
      <c r="P907" s="310">
        <f t="shared" ca="1" si="424"/>
        <v>23</v>
      </c>
      <c r="Q907" s="304">
        <f t="shared" ca="1" si="425"/>
        <v>0</v>
      </c>
      <c r="R907" s="306">
        <f t="shared" ca="1" si="426"/>
        <v>0</v>
      </c>
      <c r="S907" s="307">
        <f t="shared" ca="1" si="427"/>
        <v>8.1379999999999981</v>
      </c>
      <c r="T907" s="304">
        <f t="shared" ca="1" si="407"/>
        <v>79.83377999999999</v>
      </c>
      <c r="U907" s="311">
        <f t="shared" ca="1" si="408"/>
        <v>0</v>
      </c>
      <c r="V907" s="306">
        <f t="shared" ca="1" si="409"/>
        <v>1.2266892923065342</v>
      </c>
      <c r="W907" s="304">
        <f t="shared" ca="1" si="410"/>
        <v>60.297998009140471</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2.3409053370997439</v>
      </c>
      <c r="AH907" s="304">
        <f t="shared" ca="1" si="434"/>
        <v>-7.4093995430948363</v>
      </c>
    </row>
    <row r="908" spans="1:34" x14ac:dyDescent="0.2">
      <c r="A908" s="347">
        <f t="shared" ca="1" si="412"/>
        <v>1E-4</v>
      </c>
      <c r="B908" s="304">
        <f t="shared" ca="1" si="413"/>
        <v>34.519900000000838</v>
      </c>
      <c r="D908" s="306">
        <f t="shared" ca="1" si="414"/>
        <v>-0.81614993970109428</v>
      </c>
      <c r="E908" s="307">
        <f t="shared" ca="1" si="415"/>
        <v>-2.4456496965224979</v>
      </c>
      <c r="F908" s="304">
        <f t="shared" ca="1" si="416"/>
        <v>2.5782364441948853</v>
      </c>
      <c r="G908" s="306">
        <f t="shared" ca="1" si="417"/>
        <v>13.436911305204365</v>
      </c>
      <c r="H908" s="307">
        <f t="shared" ca="1" si="418"/>
        <v>-121.24600845723769</v>
      </c>
      <c r="I908" s="304">
        <f t="shared" ca="1" si="419"/>
        <v>121.98829924315071</v>
      </c>
      <c r="J908" s="306">
        <f t="shared" ca="1" si="420"/>
        <v>859.24597237897774</v>
      </c>
      <c r="K908" s="307">
        <f t="shared" ca="1" si="421"/>
        <v>-13.792764018215941</v>
      </c>
      <c r="L908" s="304">
        <f t="shared" ca="1" si="406"/>
        <v>859.35666715791365</v>
      </c>
      <c r="M908" s="306">
        <f t="shared" ca="1" si="422"/>
        <v>-1.4604231833120822</v>
      </c>
      <c r="N908" s="304">
        <f t="shared" ca="1" si="423"/>
        <v>-83.676084706842872</v>
      </c>
      <c r="P908" s="310">
        <f t="shared" ca="1" si="424"/>
        <v>23</v>
      </c>
      <c r="Q908" s="304">
        <f t="shared" ca="1" si="425"/>
        <v>0</v>
      </c>
      <c r="R908" s="306">
        <f t="shared" ca="1" si="426"/>
        <v>0</v>
      </c>
      <c r="S908" s="307">
        <f t="shared" ca="1" si="427"/>
        <v>8.1379999999999981</v>
      </c>
      <c r="T908" s="304">
        <f t="shared" ca="1" si="407"/>
        <v>79.83377999999999</v>
      </c>
      <c r="U908" s="311">
        <f t="shared" ca="1" si="408"/>
        <v>0</v>
      </c>
      <c r="V908" s="306">
        <f t="shared" ca="1" si="409"/>
        <v>1.2266907796184459</v>
      </c>
      <c r="W908" s="304">
        <f t="shared" ca="1" si="410"/>
        <v>60.298302534211878</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2.3408688738566354</v>
      </c>
      <c r="AH908" s="304">
        <f t="shared" ca="1" si="434"/>
        <v>-7.4094369635218094</v>
      </c>
    </row>
    <row r="909" spans="1:34" x14ac:dyDescent="0.2">
      <c r="A909" s="347">
        <f t="shared" ca="1" si="412"/>
        <v>1E-4</v>
      </c>
      <c r="B909" s="304">
        <f t="shared" ca="1" si="413"/>
        <v>34.520000000000842</v>
      </c>
      <c r="D909" s="306">
        <f t="shared" ca="1" si="414"/>
        <v>-0.81614753815818508</v>
      </c>
      <c r="E909" s="307">
        <f t="shared" ca="1" si="415"/>
        <v>-2.4456117811424383</v>
      </c>
      <c r="F909" s="304">
        <f t="shared" ca="1" si="416"/>
        <v>2.5781997184284147</v>
      </c>
      <c r="G909" s="306">
        <f t="shared" ca="1" si="417"/>
        <v>13.43682969045055</v>
      </c>
      <c r="H909" s="307">
        <f t="shared" ca="1" si="418"/>
        <v>-121.24625301841581</v>
      </c>
      <c r="I909" s="304">
        <f t="shared" ca="1" si="419"/>
        <v>121.98853332643966</v>
      </c>
      <c r="J909" s="306">
        <f t="shared" ca="1" si="420"/>
        <v>859.24597237897774</v>
      </c>
      <c r="K909" s="307">
        <f t="shared" ca="1" si="421"/>
        <v>-13.804888631289723</v>
      </c>
      <c r="L909" s="304">
        <f t="shared" ca="1" si="406"/>
        <v>859.35686184472706</v>
      </c>
      <c r="M909" s="306">
        <f t="shared" ca="1" si="422"/>
        <v>-1.460424069103099</v>
      </c>
      <c r="N909" s="304">
        <f t="shared" ca="1" si="423"/>
        <v>-83.676135458929664</v>
      </c>
      <c r="P909" s="310">
        <f t="shared" ca="1" si="424"/>
        <v>23</v>
      </c>
      <c r="Q909" s="304">
        <f t="shared" ca="1" si="425"/>
        <v>0</v>
      </c>
      <c r="R909" s="306">
        <f t="shared" ca="1" si="426"/>
        <v>0</v>
      </c>
      <c r="S909" s="307">
        <f t="shared" ca="1" si="427"/>
        <v>8.1379999999999981</v>
      </c>
      <c r="T909" s="304">
        <f t="shared" ca="1" si="407"/>
        <v>79.83377999999999</v>
      </c>
      <c r="U909" s="311">
        <f t="shared" ca="1" si="408"/>
        <v>0</v>
      </c>
      <c r="V909" s="306">
        <f t="shared" ca="1" si="409"/>
        <v>1.2266922669351616</v>
      </c>
      <c r="W909" s="304">
        <f t="shared" ca="1" si="410"/>
        <v>60.298607056919998</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2.3408324108867919</v>
      </c>
      <c r="AH909" s="304">
        <f t="shared" ca="1" si="434"/>
        <v>-7.4094743836583792</v>
      </c>
    </row>
    <row r="910" spans="1:34" x14ac:dyDescent="0.2">
      <c r="A910" s="347">
        <f t="shared" ca="1" si="412"/>
        <v>1E-4</v>
      </c>
      <c r="B910" s="304">
        <f t="shared" ca="1" si="413"/>
        <v>34.520100000000845</v>
      </c>
      <c r="D910" s="306">
        <f t="shared" ca="1" si="414"/>
        <v>-0.81614513658141685</v>
      </c>
      <c r="E910" s="307">
        <f t="shared" ca="1" si="415"/>
        <v>-2.4455738660566553</v>
      </c>
      <c r="F910" s="304">
        <f t="shared" ca="1" si="416"/>
        <v>2.5781629929670458</v>
      </c>
      <c r="G910" s="306">
        <f t="shared" ca="1" si="417"/>
        <v>13.436748075936892</v>
      </c>
      <c r="H910" s="307">
        <f t="shared" ca="1" si="418"/>
        <v>-121.24649757580242</v>
      </c>
      <c r="I910" s="304">
        <f t="shared" ca="1" si="419"/>
        <v>121.98876740608233</v>
      </c>
      <c r="J910" s="306">
        <f t="shared" ca="1" si="420"/>
        <v>859.24597237897774</v>
      </c>
      <c r="K910" s="307">
        <f t="shared" ca="1" si="421"/>
        <v>-13.817013268819434</v>
      </c>
      <c r="L910" s="304">
        <f t="shared" ca="1" si="406"/>
        <v>859.35705670295499</v>
      </c>
      <c r="M910" s="306">
        <f t="shared" ca="1" si="422"/>
        <v>-1.4604249548853363</v>
      </c>
      <c r="N910" s="304">
        <f t="shared" ca="1" si="423"/>
        <v>-83.676186210513421</v>
      </c>
      <c r="P910" s="310">
        <f t="shared" ca="1" si="424"/>
        <v>23</v>
      </c>
      <c r="Q910" s="304">
        <f t="shared" ca="1" si="425"/>
        <v>0</v>
      </c>
      <c r="R910" s="306">
        <f t="shared" ca="1" si="426"/>
        <v>0</v>
      </c>
      <c r="S910" s="307">
        <f t="shared" ca="1" si="427"/>
        <v>8.1379999999999981</v>
      </c>
      <c r="T910" s="304">
        <f t="shared" ca="1" si="407"/>
        <v>79.83377999999999</v>
      </c>
      <c r="U910" s="311">
        <f t="shared" ca="1" si="408"/>
        <v>0</v>
      </c>
      <c r="V910" s="306">
        <f t="shared" ca="1" si="409"/>
        <v>1.2266937542566825</v>
      </c>
      <c r="W910" s="304">
        <f t="shared" ca="1" si="410"/>
        <v>60.298911577264818</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2.3407959481902125</v>
      </c>
      <c r="AH910" s="304">
        <f t="shared" ca="1" si="434"/>
        <v>-7.4095118035045484</v>
      </c>
    </row>
    <row r="911" spans="1:34" x14ac:dyDescent="0.2">
      <c r="A911" s="347">
        <f t="shared" ca="1" si="412"/>
        <v>1E-4</v>
      </c>
      <c r="B911" s="304">
        <f t="shared" ca="1" si="413"/>
        <v>34.520200000000848</v>
      </c>
      <c r="D911" s="306">
        <f t="shared" ca="1" si="414"/>
        <v>-0.81614273497078782</v>
      </c>
      <c r="E911" s="307">
        <f t="shared" ca="1" si="415"/>
        <v>-2.4455359512651507</v>
      </c>
      <c r="F911" s="304">
        <f t="shared" ca="1" si="416"/>
        <v>2.5781262678107799</v>
      </c>
      <c r="G911" s="306">
        <f t="shared" ca="1" si="417"/>
        <v>13.436666461663394</v>
      </c>
      <c r="H911" s="307">
        <f t="shared" ca="1" si="418"/>
        <v>-121.24674212939755</v>
      </c>
      <c r="I911" s="304">
        <f t="shared" ca="1" si="419"/>
        <v>121.98900148207878</v>
      </c>
      <c r="J911" s="306">
        <f t="shared" ca="1" si="420"/>
        <v>859.24597237897774</v>
      </c>
      <c r="K911" s="307">
        <f t="shared" ca="1" si="421"/>
        <v>-13.829137930804693</v>
      </c>
      <c r="L911" s="304">
        <f t="shared" ca="1" si="406"/>
        <v>859.35725173259823</v>
      </c>
      <c r="M911" s="306">
        <f t="shared" ca="1" si="422"/>
        <v>-1.460425840658794</v>
      </c>
      <c r="N911" s="304">
        <f t="shared" ca="1" si="423"/>
        <v>-83.676236961594157</v>
      </c>
      <c r="P911" s="310">
        <f t="shared" ca="1" si="424"/>
        <v>23</v>
      </c>
      <c r="Q911" s="304">
        <f t="shared" ca="1" si="425"/>
        <v>0</v>
      </c>
      <c r="R911" s="306">
        <f t="shared" ca="1" si="426"/>
        <v>0</v>
      </c>
      <c r="S911" s="307">
        <f t="shared" ca="1" si="427"/>
        <v>8.1379999999999981</v>
      </c>
      <c r="T911" s="304">
        <f t="shared" ca="1" si="407"/>
        <v>79.83377999999999</v>
      </c>
      <c r="U911" s="311">
        <f t="shared" ca="1" si="408"/>
        <v>0</v>
      </c>
      <c r="V911" s="306">
        <f t="shared" ca="1" si="409"/>
        <v>1.2266952415830075</v>
      </c>
      <c r="W911" s="304">
        <f t="shared" ca="1" si="410"/>
        <v>60.299216095246329</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2.340759485766899</v>
      </c>
      <c r="AH911" s="304">
        <f t="shared" ca="1" si="434"/>
        <v>-7.4095492230603135</v>
      </c>
    </row>
    <row r="912" spans="1:34" x14ac:dyDescent="0.2">
      <c r="A912" s="347">
        <f t="shared" ca="1" si="412"/>
        <v>1E-4</v>
      </c>
      <c r="B912" s="304">
        <f t="shared" ca="1" si="413"/>
        <v>34.520300000000852</v>
      </c>
      <c r="D912" s="306">
        <f t="shared" ca="1" si="414"/>
        <v>-0.81614033332630131</v>
      </c>
      <c r="E912" s="307">
        <f t="shared" ca="1" si="415"/>
        <v>-2.4454980367679235</v>
      </c>
      <c r="F912" s="304">
        <f t="shared" ca="1" si="416"/>
        <v>2.5780895429596185</v>
      </c>
      <c r="G912" s="306">
        <f t="shared" ca="1" si="417"/>
        <v>13.436584847630062</v>
      </c>
      <c r="H912" s="307">
        <f t="shared" ca="1" si="418"/>
        <v>-121.24698667920123</v>
      </c>
      <c r="I912" s="304">
        <f t="shared" ca="1" si="419"/>
        <v>121.98923555442899</v>
      </c>
      <c r="J912" s="306">
        <f t="shared" ca="1" si="420"/>
        <v>859.24597237897774</v>
      </c>
      <c r="K912" s="307">
        <f t="shared" ca="1" si="421"/>
        <v>-13.841262617245123</v>
      </c>
      <c r="L912" s="304">
        <f t="shared" ca="1" si="406"/>
        <v>859.3574469336578</v>
      </c>
      <c r="M912" s="306">
        <f t="shared" ca="1" si="422"/>
        <v>-1.4604267264234723</v>
      </c>
      <c r="N912" s="304">
        <f t="shared" ca="1" si="423"/>
        <v>-83.67628771217187</v>
      </c>
      <c r="P912" s="310">
        <f t="shared" ca="1" si="424"/>
        <v>23</v>
      </c>
      <c r="Q912" s="304">
        <f t="shared" ca="1" si="425"/>
        <v>0</v>
      </c>
      <c r="R912" s="306">
        <f t="shared" ca="1" si="426"/>
        <v>0</v>
      </c>
      <c r="S912" s="307">
        <f t="shared" ca="1" si="427"/>
        <v>8.1379999999999981</v>
      </c>
      <c r="T912" s="304">
        <f t="shared" ca="1" si="407"/>
        <v>79.83377999999999</v>
      </c>
      <c r="U912" s="311">
        <f t="shared" ca="1" si="408"/>
        <v>0</v>
      </c>
      <c r="V912" s="306">
        <f t="shared" ca="1" si="409"/>
        <v>1.2266967289141373</v>
      </c>
      <c r="W912" s="304">
        <f t="shared" ca="1" si="410"/>
        <v>60.299520610864512</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2.3407230236168539</v>
      </c>
      <c r="AH912" s="304">
        <f t="shared" ca="1" si="434"/>
        <v>-7.4095866423256753</v>
      </c>
    </row>
    <row r="913" spans="1:34" x14ac:dyDescent="0.2">
      <c r="A913" s="347">
        <f t="shared" ca="1" si="412"/>
        <v>1E-4</v>
      </c>
      <c r="B913" s="304">
        <f t="shared" ca="1" si="413"/>
        <v>34.520400000000855</v>
      </c>
      <c r="D913" s="306">
        <f t="shared" ca="1" si="414"/>
        <v>-0.81613793164795723</v>
      </c>
      <c r="E913" s="307">
        <f t="shared" ca="1" si="415"/>
        <v>-2.4454601225649801</v>
      </c>
      <c r="F913" s="304">
        <f t="shared" ca="1" si="416"/>
        <v>2.5780528184135663</v>
      </c>
      <c r="G913" s="306">
        <f t="shared" ca="1" si="417"/>
        <v>13.436503233836897</v>
      </c>
      <c r="H913" s="307">
        <f t="shared" ca="1" si="418"/>
        <v>-121.24723122521348</v>
      </c>
      <c r="I913" s="304">
        <f t="shared" ca="1" si="419"/>
        <v>121.98946962313302</v>
      </c>
      <c r="J913" s="306">
        <f t="shared" ca="1" si="420"/>
        <v>859.24597237897774</v>
      </c>
      <c r="K913" s="307">
        <f t="shared" ca="1" si="421"/>
        <v>-13.853387328140343</v>
      </c>
      <c r="L913" s="304">
        <f t="shared" ca="1" si="406"/>
        <v>859.35764230613461</v>
      </c>
      <c r="M913" s="306">
        <f t="shared" ca="1" si="422"/>
        <v>-1.4604276121793713</v>
      </c>
      <c r="N913" s="304">
        <f t="shared" ca="1" si="423"/>
        <v>-83.676338462246562</v>
      </c>
      <c r="P913" s="310">
        <f t="shared" ca="1" si="424"/>
        <v>23</v>
      </c>
      <c r="Q913" s="304">
        <f t="shared" ca="1" si="425"/>
        <v>0</v>
      </c>
      <c r="R913" s="306">
        <f t="shared" ca="1" si="426"/>
        <v>0</v>
      </c>
      <c r="S913" s="307">
        <f t="shared" ca="1" si="427"/>
        <v>8.1379999999999981</v>
      </c>
      <c r="T913" s="304">
        <f t="shared" ca="1" si="407"/>
        <v>79.83377999999999</v>
      </c>
      <c r="U913" s="311">
        <f t="shared" ca="1" si="408"/>
        <v>0</v>
      </c>
      <c r="V913" s="306">
        <f t="shared" ca="1" si="409"/>
        <v>1.2266982162500712</v>
      </c>
      <c r="W913" s="304">
        <f t="shared" ca="1" si="410"/>
        <v>60.299825124119373</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2.3406865617400783</v>
      </c>
      <c r="AH913" s="304">
        <f t="shared" ca="1" si="434"/>
        <v>-7.4096240613006294</v>
      </c>
    </row>
    <row r="914" spans="1:34" x14ac:dyDescent="0.2">
      <c r="A914" s="347">
        <f t="shared" ca="1" si="412"/>
        <v>1E-4</v>
      </c>
      <c r="B914" s="304">
        <f t="shared" ca="1" si="413"/>
        <v>34.520500000000858</v>
      </c>
      <c r="D914" s="306">
        <f t="shared" ca="1" si="414"/>
        <v>-0.81613552993575589</v>
      </c>
      <c r="E914" s="307">
        <f t="shared" ca="1" si="415"/>
        <v>-2.4454222086563151</v>
      </c>
      <c r="F914" s="304">
        <f t="shared" ca="1" si="416"/>
        <v>2.5780160941726193</v>
      </c>
      <c r="G914" s="306">
        <f t="shared" ca="1" si="417"/>
        <v>13.436421620283904</v>
      </c>
      <c r="H914" s="307">
        <f t="shared" ca="1" si="418"/>
        <v>-121.24747576743435</v>
      </c>
      <c r="I914" s="304">
        <f t="shared" ca="1" si="419"/>
        <v>121.98970368819089</v>
      </c>
      <c r="J914" s="306">
        <f t="shared" ca="1" si="420"/>
        <v>859.24597237897774</v>
      </c>
      <c r="K914" s="307">
        <f t="shared" ca="1" si="421"/>
        <v>-13.865512063489975</v>
      </c>
      <c r="L914" s="304">
        <f t="shared" ca="1" si="406"/>
        <v>859.35783785002957</v>
      </c>
      <c r="M914" s="306">
        <f t="shared" ca="1" si="422"/>
        <v>-1.4604284979264912</v>
      </c>
      <c r="N914" s="304">
        <f t="shared" ca="1" si="423"/>
        <v>-83.676389211818247</v>
      </c>
      <c r="P914" s="310">
        <f t="shared" ca="1" si="424"/>
        <v>23</v>
      </c>
      <c r="Q914" s="304">
        <f t="shared" ca="1" si="425"/>
        <v>0</v>
      </c>
      <c r="R914" s="306">
        <f t="shared" ca="1" si="426"/>
        <v>0</v>
      </c>
      <c r="S914" s="307">
        <f t="shared" ca="1" si="427"/>
        <v>8.1379999999999981</v>
      </c>
      <c r="T914" s="304">
        <f t="shared" ca="1" si="407"/>
        <v>79.83377999999999</v>
      </c>
      <c r="U914" s="311">
        <f t="shared" ca="1" si="408"/>
        <v>0</v>
      </c>
      <c r="V914" s="306">
        <f t="shared" ca="1" si="409"/>
        <v>1.2266997035908098</v>
      </c>
      <c r="W914" s="304">
        <f t="shared" ca="1" si="410"/>
        <v>60.300129635010933</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2.3406501001365703</v>
      </c>
      <c r="AH914" s="304">
        <f t="shared" ca="1" si="434"/>
        <v>-7.4096614799851794</v>
      </c>
    </row>
    <row r="915" spans="1:34" x14ac:dyDescent="0.2">
      <c r="A915" s="347">
        <f t="shared" ca="1" si="412"/>
        <v>1E-4</v>
      </c>
      <c r="B915" s="304">
        <f t="shared" ca="1" si="413"/>
        <v>34.520600000000861</v>
      </c>
      <c r="D915" s="306">
        <f t="shared" ca="1" si="414"/>
        <v>-0.81613312818969908</v>
      </c>
      <c r="E915" s="307">
        <f t="shared" ca="1" si="415"/>
        <v>-2.4453842950419284</v>
      </c>
      <c r="F915" s="304">
        <f t="shared" ca="1" si="416"/>
        <v>2.5779793702367777</v>
      </c>
      <c r="G915" s="306">
        <f t="shared" ca="1" si="417"/>
        <v>13.436340006971085</v>
      </c>
      <c r="H915" s="307">
        <f t="shared" ca="1" si="418"/>
        <v>-121.24772030586385</v>
      </c>
      <c r="I915" s="304">
        <f t="shared" ca="1" si="419"/>
        <v>121.98993774960262</v>
      </c>
      <c r="J915" s="306">
        <f t="shared" ca="1" si="420"/>
        <v>859.24597237897774</v>
      </c>
      <c r="K915" s="307">
        <f t="shared" ca="1" si="421"/>
        <v>-13.87763682329364</v>
      </c>
      <c r="L915" s="304">
        <f t="shared" ca="1" si="406"/>
        <v>859.35803356534359</v>
      </c>
      <c r="M915" s="306">
        <f t="shared" ca="1" si="422"/>
        <v>-1.4604293836648319</v>
      </c>
      <c r="N915" s="304">
        <f t="shared" ca="1" si="423"/>
        <v>-83.676439960886924</v>
      </c>
      <c r="P915" s="310">
        <f t="shared" ca="1" si="424"/>
        <v>23</v>
      </c>
      <c r="Q915" s="304">
        <f t="shared" ca="1" si="425"/>
        <v>0</v>
      </c>
      <c r="R915" s="306">
        <f t="shared" ca="1" si="426"/>
        <v>0</v>
      </c>
      <c r="S915" s="307">
        <f t="shared" ca="1" si="427"/>
        <v>8.1379999999999981</v>
      </c>
      <c r="T915" s="304">
        <f t="shared" ca="1" si="407"/>
        <v>79.83377999999999</v>
      </c>
      <c r="U915" s="311">
        <f t="shared" ca="1" si="408"/>
        <v>0</v>
      </c>
      <c r="V915" s="306">
        <f t="shared" ca="1" si="409"/>
        <v>1.2267011909363528</v>
      </c>
      <c r="W915" s="304">
        <f t="shared" ca="1" si="410"/>
        <v>60.300434143539135</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2.3406136388063334</v>
      </c>
      <c r="AH915" s="304">
        <f t="shared" ca="1" si="434"/>
        <v>-7.4096988983793253</v>
      </c>
    </row>
    <row r="916" spans="1:34" x14ac:dyDescent="0.2">
      <c r="A916" s="347">
        <f t="shared" ca="1" si="412"/>
        <v>1E-4</v>
      </c>
      <c r="B916" s="304">
        <f t="shared" ca="1" si="413"/>
        <v>34.520700000000865</v>
      </c>
      <c r="D916" s="306">
        <f t="shared" ca="1" si="414"/>
        <v>-0.8161307264097879</v>
      </c>
      <c r="E916" s="307">
        <f t="shared" ca="1" si="415"/>
        <v>-2.4453463817218273</v>
      </c>
      <c r="F916" s="304">
        <f t="shared" ca="1" si="416"/>
        <v>2.5779426466060489</v>
      </c>
      <c r="G916" s="306">
        <f t="shared" ca="1" si="417"/>
        <v>13.436258393898443</v>
      </c>
      <c r="H916" s="307">
        <f t="shared" ca="1" si="418"/>
        <v>-121.24796484050202</v>
      </c>
      <c r="I916" s="304">
        <f t="shared" ca="1" si="419"/>
        <v>121.99017180736824</v>
      </c>
      <c r="J916" s="306">
        <f t="shared" ca="1" si="420"/>
        <v>859.24597237897774</v>
      </c>
      <c r="K916" s="307">
        <f t="shared" ca="1" si="421"/>
        <v>-13.889761607550959</v>
      </c>
      <c r="L916" s="304">
        <f t="shared" ca="1" si="406"/>
        <v>859.35822945207758</v>
      </c>
      <c r="M916" s="306">
        <f t="shared" ca="1" si="422"/>
        <v>-1.460430269394394</v>
      </c>
      <c r="N916" s="304">
        <f t="shared" ca="1" si="423"/>
        <v>-83.676490709452622</v>
      </c>
      <c r="P916" s="310">
        <f t="shared" ca="1" si="424"/>
        <v>23</v>
      </c>
      <c r="Q916" s="304">
        <f t="shared" ca="1" si="425"/>
        <v>0</v>
      </c>
      <c r="R916" s="306">
        <f t="shared" ca="1" si="426"/>
        <v>0</v>
      </c>
      <c r="S916" s="307">
        <f t="shared" ca="1" si="427"/>
        <v>8.1379999999999981</v>
      </c>
      <c r="T916" s="304">
        <f t="shared" ca="1" si="407"/>
        <v>79.83377999999999</v>
      </c>
      <c r="U916" s="311">
        <f t="shared" ca="1" si="408"/>
        <v>0</v>
      </c>
      <c r="V916" s="306">
        <f t="shared" ca="1" si="409"/>
        <v>1.2267026782866999</v>
      </c>
      <c r="W916" s="304">
        <f t="shared" ca="1" si="410"/>
        <v>60.300738649704023</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2.3405771777493687</v>
      </c>
      <c r="AH916" s="304">
        <f t="shared" ca="1" si="434"/>
        <v>-7.4097363164830607</v>
      </c>
    </row>
    <row r="917" spans="1:34" x14ac:dyDescent="0.2">
      <c r="A917" s="347">
        <f t="shared" ca="1" si="412"/>
        <v>1E-4</v>
      </c>
      <c r="B917" s="304">
        <f t="shared" ca="1" si="413"/>
        <v>34.520800000000868</v>
      </c>
      <c r="D917" s="306">
        <f t="shared" ca="1" si="414"/>
        <v>-0.81612832459602003</v>
      </c>
      <c r="E917" s="307">
        <f t="shared" ca="1" si="415"/>
        <v>-2.4453084686960045</v>
      </c>
      <c r="F917" s="304">
        <f t="shared" ca="1" si="416"/>
        <v>2.5779059232804258</v>
      </c>
      <c r="G917" s="306">
        <f t="shared" ca="1" si="417"/>
        <v>13.436176781065983</v>
      </c>
      <c r="H917" s="307">
        <f t="shared" ca="1" si="418"/>
        <v>-121.24820937134889</v>
      </c>
      <c r="I917" s="304">
        <f t="shared" ca="1" si="419"/>
        <v>121.99040586148779</v>
      </c>
      <c r="J917" s="306">
        <f t="shared" ca="1" si="420"/>
        <v>859.24597237897774</v>
      </c>
      <c r="K917" s="307">
        <f t="shared" ca="1" si="421"/>
        <v>-13.901886416261551</v>
      </c>
      <c r="L917" s="304">
        <f t="shared" ca="1" si="406"/>
        <v>859.35842551023234</v>
      </c>
      <c r="M917" s="306">
        <f t="shared" ca="1" si="422"/>
        <v>-1.4604311551151772</v>
      </c>
      <c r="N917" s="304">
        <f t="shared" ca="1" si="423"/>
        <v>-83.676541457515327</v>
      </c>
      <c r="P917" s="310">
        <f t="shared" ca="1" si="424"/>
        <v>23</v>
      </c>
      <c r="Q917" s="304">
        <f t="shared" ca="1" si="425"/>
        <v>0</v>
      </c>
      <c r="R917" s="306">
        <f t="shared" ca="1" si="426"/>
        <v>0</v>
      </c>
      <c r="S917" s="307">
        <f t="shared" ca="1" si="427"/>
        <v>8.1379999999999981</v>
      </c>
      <c r="T917" s="304">
        <f t="shared" ca="1" si="407"/>
        <v>79.83377999999999</v>
      </c>
      <c r="U917" s="311">
        <f t="shared" ca="1" si="408"/>
        <v>0</v>
      </c>
      <c r="V917" s="306">
        <f t="shared" ca="1" si="409"/>
        <v>1.2267041656418514</v>
      </c>
      <c r="W917" s="304">
        <f t="shared" ca="1" si="410"/>
        <v>60.301043153505574</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2.3405407169656751</v>
      </c>
      <c r="AH917" s="304">
        <f t="shared" ca="1" si="434"/>
        <v>-7.4097737342963921</v>
      </c>
    </row>
    <row r="918" spans="1:34" x14ac:dyDescent="0.2">
      <c r="A918" s="347">
        <f t="shared" ca="1" si="412"/>
        <v>1E-4</v>
      </c>
      <c r="B918" s="304">
        <f t="shared" ca="1" si="413"/>
        <v>34.520900000000871</v>
      </c>
      <c r="D918" s="306">
        <f t="shared" ca="1" si="414"/>
        <v>-0.8161259227483999</v>
      </c>
      <c r="E918" s="307">
        <f t="shared" ca="1" si="415"/>
        <v>-2.4452705559644654</v>
      </c>
      <c r="F918" s="304">
        <f t="shared" ca="1" si="416"/>
        <v>2.5778692002599146</v>
      </c>
      <c r="G918" s="306">
        <f t="shared" ca="1" si="417"/>
        <v>13.436095168473708</v>
      </c>
      <c r="H918" s="307">
        <f t="shared" ca="1" si="418"/>
        <v>-121.24845389840449</v>
      </c>
      <c r="I918" s="304">
        <f t="shared" ca="1" si="419"/>
        <v>121.99063991196128</v>
      </c>
      <c r="J918" s="306">
        <f t="shared" ca="1" si="420"/>
        <v>859.24597237897774</v>
      </c>
      <c r="K918" s="307">
        <f t="shared" ca="1" si="421"/>
        <v>-13.914011249425039</v>
      </c>
      <c r="L918" s="304">
        <f t="shared" ca="1" si="406"/>
        <v>859.358621739809</v>
      </c>
      <c r="M918" s="306">
        <f t="shared" ca="1" si="422"/>
        <v>-1.4604320408271818</v>
      </c>
      <c r="N918" s="304">
        <f t="shared" ca="1" si="423"/>
        <v>-83.676592205075053</v>
      </c>
      <c r="P918" s="310">
        <f t="shared" ca="1" si="424"/>
        <v>23</v>
      </c>
      <c r="Q918" s="304">
        <f t="shared" ca="1" si="425"/>
        <v>0</v>
      </c>
      <c r="R918" s="306">
        <f t="shared" ca="1" si="426"/>
        <v>0</v>
      </c>
      <c r="S918" s="307">
        <f t="shared" ca="1" si="427"/>
        <v>8.1379999999999981</v>
      </c>
      <c r="T918" s="304">
        <f t="shared" ca="1" si="407"/>
        <v>79.83377999999999</v>
      </c>
      <c r="U918" s="311">
        <f t="shared" ca="1" si="408"/>
        <v>0</v>
      </c>
      <c r="V918" s="306">
        <f t="shared" ca="1" si="409"/>
        <v>1.2267056530018072</v>
      </c>
      <c r="W918" s="304">
        <f t="shared" ca="1" si="410"/>
        <v>60.301347654943783</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2.3405042564552545</v>
      </c>
      <c r="AH918" s="304">
        <f t="shared" ca="1" si="434"/>
        <v>-7.4098111518193157</v>
      </c>
    </row>
    <row r="919" spans="1:34" x14ac:dyDescent="0.2">
      <c r="A919" s="347">
        <f t="shared" ca="1" si="412"/>
        <v>1E-4</v>
      </c>
      <c r="B919" s="304">
        <f t="shared" ca="1" si="413"/>
        <v>34.521000000000875</v>
      </c>
      <c r="D919" s="306">
        <f t="shared" ca="1" si="414"/>
        <v>-0.81612352086692597</v>
      </c>
      <c r="E919" s="307">
        <f t="shared" ca="1" si="415"/>
        <v>-2.4452326435272091</v>
      </c>
      <c r="F919" s="304">
        <f t="shared" ca="1" si="416"/>
        <v>2.5778324775445149</v>
      </c>
      <c r="G919" s="306">
        <f t="shared" ca="1" si="417"/>
        <v>13.436013556121621</v>
      </c>
      <c r="H919" s="307">
        <f t="shared" ca="1" si="418"/>
        <v>-121.24869842166885</v>
      </c>
      <c r="I919" s="304">
        <f t="shared" ca="1" si="419"/>
        <v>121.99087395878875</v>
      </c>
      <c r="J919" s="306">
        <f t="shared" ca="1" si="420"/>
        <v>859.24597237897774</v>
      </c>
      <c r="K919" s="307">
        <f t="shared" ca="1" si="421"/>
        <v>-13.926136107041042</v>
      </c>
      <c r="L919" s="304">
        <f t="shared" ca="1" si="406"/>
        <v>859.35881814080824</v>
      </c>
      <c r="M919" s="306">
        <f t="shared" ca="1" si="422"/>
        <v>-1.4604329265304081</v>
      </c>
      <c r="N919" s="304">
        <f t="shared" ca="1" si="423"/>
        <v>-83.676642952131814</v>
      </c>
      <c r="P919" s="310">
        <f t="shared" ca="1" si="424"/>
        <v>23</v>
      </c>
      <c r="Q919" s="304">
        <f t="shared" ca="1" si="425"/>
        <v>0</v>
      </c>
      <c r="R919" s="306">
        <f t="shared" ca="1" si="426"/>
        <v>0</v>
      </c>
      <c r="S919" s="307">
        <f t="shared" ca="1" si="427"/>
        <v>8.1379999999999981</v>
      </c>
      <c r="T919" s="304">
        <f t="shared" ca="1" si="407"/>
        <v>79.83377999999999</v>
      </c>
      <c r="U919" s="311">
        <f t="shared" ca="1" si="408"/>
        <v>0</v>
      </c>
      <c r="V919" s="306">
        <f t="shared" ca="1" si="409"/>
        <v>1.2267071403665677</v>
      </c>
      <c r="W919" s="304">
        <f t="shared" ca="1" si="410"/>
        <v>60.301652154018676</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2.340467796218106</v>
      </c>
      <c r="AH919" s="304">
        <f t="shared" ca="1" si="434"/>
        <v>-7.4098485690518308</v>
      </c>
    </row>
    <row r="920" spans="1:34" x14ac:dyDescent="0.2">
      <c r="A920" s="347">
        <f t="shared" ca="1" si="412"/>
        <v>1E-4</v>
      </c>
      <c r="B920" s="304">
        <f t="shared" ca="1" si="413"/>
        <v>34.521100000000878</v>
      </c>
      <c r="D920" s="306">
        <f t="shared" ca="1" si="414"/>
        <v>-0.81612111895159867</v>
      </c>
      <c r="E920" s="307">
        <f t="shared" ca="1" si="415"/>
        <v>-2.4451947313842322</v>
      </c>
      <c r="F920" s="304">
        <f t="shared" ca="1" si="416"/>
        <v>2.5777957551342223</v>
      </c>
      <c r="G920" s="306">
        <f t="shared" ca="1" si="417"/>
        <v>13.435931944009726</v>
      </c>
      <c r="H920" s="307">
        <f t="shared" ca="1" si="418"/>
        <v>-121.24894294114199</v>
      </c>
      <c r="I920" s="304">
        <f t="shared" ca="1" si="419"/>
        <v>121.99110800197023</v>
      </c>
      <c r="J920" s="306">
        <f t="shared" ca="1" si="420"/>
        <v>859.24597237897774</v>
      </c>
      <c r="K920" s="307">
        <f t="shared" ca="1" si="421"/>
        <v>-13.938260989109184</v>
      </c>
      <c r="L920" s="304">
        <f t="shared" ca="1" si="406"/>
        <v>859.3590147132312</v>
      </c>
      <c r="M920" s="306">
        <f t="shared" ca="1" si="422"/>
        <v>-1.4604338122248559</v>
      </c>
      <c r="N920" s="304">
        <f t="shared" ca="1" si="423"/>
        <v>-83.676693698685611</v>
      </c>
      <c r="P920" s="310">
        <f t="shared" ca="1" si="424"/>
        <v>23</v>
      </c>
      <c r="Q920" s="304">
        <f t="shared" ca="1" si="425"/>
        <v>0</v>
      </c>
      <c r="R920" s="306">
        <f t="shared" ca="1" si="426"/>
        <v>0</v>
      </c>
      <c r="S920" s="307">
        <f t="shared" ca="1" si="427"/>
        <v>8.1379999999999981</v>
      </c>
      <c r="T920" s="304">
        <f t="shared" ca="1" si="407"/>
        <v>79.83377999999999</v>
      </c>
      <c r="U920" s="311">
        <f t="shared" ca="1" si="408"/>
        <v>0</v>
      </c>
      <c r="V920" s="306">
        <f t="shared" ca="1" si="409"/>
        <v>1.2267086277361321</v>
      </c>
      <c r="W920" s="304">
        <f t="shared" ca="1" si="410"/>
        <v>60.301956650730212</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2.3404313362542313</v>
      </c>
      <c r="AH920" s="304">
        <f t="shared" ca="1" si="434"/>
        <v>-7.4098859859939408</v>
      </c>
    </row>
    <row r="921" spans="1:34" x14ac:dyDescent="0.2">
      <c r="A921" s="347">
        <f t="shared" ca="1" si="412"/>
        <v>1E-4</v>
      </c>
      <c r="B921" s="304">
        <f t="shared" ca="1" si="413"/>
        <v>34.521200000000881</v>
      </c>
      <c r="D921" s="306">
        <f t="shared" ca="1" si="414"/>
        <v>-0.81611871700242111</v>
      </c>
      <c r="E921" s="307">
        <f t="shared" ca="1" si="415"/>
        <v>-2.4451568195355398</v>
      </c>
      <c r="F921" s="304">
        <f t="shared" ca="1" si="416"/>
        <v>2.5777590330290443</v>
      </c>
      <c r="G921" s="306">
        <f t="shared" ca="1" si="417"/>
        <v>13.435850332138026</v>
      </c>
      <c r="H921" s="307">
        <f t="shared" ca="1" si="418"/>
        <v>-121.24918745682395</v>
      </c>
      <c r="I921" s="304">
        <f t="shared" ca="1" si="419"/>
        <v>121.99134204150575</v>
      </c>
      <c r="J921" s="306">
        <f t="shared" ca="1" si="420"/>
        <v>859.24597237897774</v>
      </c>
      <c r="K921" s="307">
        <f t="shared" ca="1" si="421"/>
        <v>-13.950385895629083</v>
      </c>
      <c r="L921" s="304">
        <f t="shared" ca="1" si="406"/>
        <v>859.35921145707857</v>
      </c>
      <c r="M921" s="306">
        <f t="shared" ca="1" si="422"/>
        <v>-1.4604346979105254</v>
      </c>
      <c r="N921" s="304">
        <f t="shared" ca="1" si="423"/>
        <v>-83.676744444736457</v>
      </c>
      <c r="P921" s="310">
        <f t="shared" ca="1" si="424"/>
        <v>23</v>
      </c>
      <c r="Q921" s="304">
        <f t="shared" ca="1" si="425"/>
        <v>0</v>
      </c>
      <c r="R921" s="306">
        <f t="shared" ca="1" si="426"/>
        <v>0</v>
      </c>
      <c r="S921" s="307">
        <f t="shared" ca="1" si="427"/>
        <v>8.1379999999999981</v>
      </c>
      <c r="T921" s="304">
        <f t="shared" ca="1" si="407"/>
        <v>79.83377999999999</v>
      </c>
      <c r="U921" s="311">
        <f t="shared" ca="1" si="408"/>
        <v>0</v>
      </c>
      <c r="V921" s="306">
        <f t="shared" ca="1" si="409"/>
        <v>1.2267101151105007</v>
      </c>
      <c r="W921" s="304">
        <f t="shared" ca="1" si="410"/>
        <v>60.30226114507839</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2.3403948765636313</v>
      </c>
      <c r="AH921" s="304">
        <f t="shared" ca="1" si="434"/>
        <v>-7.4099234026456413</v>
      </c>
    </row>
    <row r="922" spans="1:34" x14ac:dyDescent="0.2">
      <c r="A922" s="347">
        <f t="shared" ca="1" si="412"/>
        <v>1E-4</v>
      </c>
      <c r="B922" s="304">
        <f t="shared" ca="1" si="413"/>
        <v>34.521300000000885</v>
      </c>
      <c r="D922" s="306">
        <f t="shared" ca="1" si="414"/>
        <v>-0.81611631501939297</v>
      </c>
      <c r="E922" s="307">
        <f t="shared" ca="1" si="415"/>
        <v>-2.4451189079811328</v>
      </c>
      <c r="F922" s="304">
        <f t="shared" ca="1" si="416"/>
        <v>2.5777223112289809</v>
      </c>
      <c r="G922" s="306">
        <f t="shared" ca="1" si="417"/>
        <v>13.435768720506523</v>
      </c>
      <c r="H922" s="307">
        <f t="shared" ca="1" si="418"/>
        <v>-121.24943196871475</v>
      </c>
      <c r="I922" s="304">
        <f t="shared" ca="1" si="419"/>
        <v>121.99157607739531</v>
      </c>
      <c r="J922" s="306">
        <f t="shared" ca="1" si="420"/>
        <v>859.24597237897774</v>
      </c>
      <c r="K922" s="307">
        <f t="shared" ca="1" si="421"/>
        <v>-13.96251082660036</v>
      </c>
      <c r="L922" s="304">
        <f t="shared" ca="1" si="406"/>
        <v>859.35940837235148</v>
      </c>
      <c r="M922" s="306">
        <f t="shared" ca="1" si="422"/>
        <v>-1.4604355835874168</v>
      </c>
      <c r="N922" s="304">
        <f t="shared" ca="1" si="423"/>
        <v>-83.676795190284338</v>
      </c>
      <c r="P922" s="310">
        <f t="shared" ca="1" si="424"/>
        <v>23</v>
      </c>
      <c r="Q922" s="304">
        <f t="shared" ca="1" si="425"/>
        <v>0</v>
      </c>
      <c r="R922" s="306">
        <f t="shared" ca="1" si="426"/>
        <v>0</v>
      </c>
      <c r="S922" s="307">
        <f t="shared" ca="1" si="427"/>
        <v>8.1379999999999981</v>
      </c>
      <c r="T922" s="304">
        <f t="shared" ca="1" si="407"/>
        <v>79.83377999999999</v>
      </c>
      <c r="U922" s="311">
        <f t="shared" ca="1" si="408"/>
        <v>0</v>
      </c>
      <c r="V922" s="306">
        <f t="shared" ca="1" si="409"/>
        <v>1.2267116024896734</v>
      </c>
      <c r="W922" s="304">
        <f t="shared" ca="1" si="410"/>
        <v>60.302565637063218</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2.3403584171463097</v>
      </c>
      <c r="AH922" s="304">
        <f t="shared" ca="1" si="434"/>
        <v>-7.4099608190069306</v>
      </c>
    </row>
    <row r="923" spans="1:34" x14ac:dyDescent="0.2">
      <c r="A923" s="347">
        <f t="shared" ca="1" si="412"/>
        <v>1E-4</v>
      </c>
      <c r="B923" s="304">
        <f t="shared" ca="1" si="413"/>
        <v>34.521400000000888</v>
      </c>
      <c r="D923" s="306">
        <f t="shared" ca="1" si="414"/>
        <v>-0.81611391300251501</v>
      </c>
      <c r="E923" s="307">
        <f t="shared" ca="1" si="415"/>
        <v>-2.4450809967210096</v>
      </c>
      <c r="F923" s="304">
        <f t="shared" ca="1" si="416"/>
        <v>2.5776855897340316</v>
      </c>
      <c r="G923" s="306">
        <f t="shared" ca="1" si="417"/>
        <v>13.435687109115223</v>
      </c>
      <c r="H923" s="307">
        <f t="shared" ca="1" si="418"/>
        <v>-121.24967647681441</v>
      </c>
      <c r="I923" s="304">
        <f t="shared" ca="1" si="419"/>
        <v>121.99181010963895</v>
      </c>
      <c r="J923" s="306">
        <f t="shared" ca="1" si="420"/>
        <v>859.24597237897774</v>
      </c>
      <c r="K923" s="307">
        <f t="shared" ca="1" si="421"/>
        <v>-13.974635782022636</v>
      </c>
      <c r="L923" s="304">
        <f t="shared" ca="1" si="406"/>
        <v>859.35960545905061</v>
      </c>
      <c r="M923" s="306">
        <f t="shared" ca="1" si="422"/>
        <v>-1.4604364692555303</v>
      </c>
      <c r="N923" s="304">
        <f t="shared" ca="1" si="423"/>
        <v>-83.676845935329297</v>
      </c>
      <c r="P923" s="310">
        <f t="shared" ca="1" si="424"/>
        <v>23</v>
      </c>
      <c r="Q923" s="304">
        <f t="shared" ca="1" si="425"/>
        <v>0</v>
      </c>
      <c r="R923" s="306">
        <f t="shared" ca="1" si="426"/>
        <v>0</v>
      </c>
      <c r="S923" s="307">
        <f t="shared" ca="1" si="427"/>
        <v>8.1379999999999981</v>
      </c>
      <c r="T923" s="304">
        <f t="shared" ca="1" si="407"/>
        <v>79.83377999999999</v>
      </c>
      <c r="U923" s="311">
        <f t="shared" ca="1" si="408"/>
        <v>0</v>
      </c>
      <c r="V923" s="306">
        <f t="shared" ca="1" si="409"/>
        <v>1.2267130898736502</v>
      </c>
      <c r="W923" s="304">
        <f t="shared" ca="1" si="410"/>
        <v>60.302870126684674</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2.3403219580022654</v>
      </c>
      <c r="AH923" s="304">
        <f t="shared" ca="1" si="434"/>
        <v>-7.4099982350778113</v>
      </c>
    </row>
    <row r="924" spans="1:34" x14ac:dyDescent="0.2">
      <c r="A924" s="347">
        <f t="shared" ca="1" si="412"/>
        <v>1E-4</v>
      </c>
      <c r="B924" s="304">
        <f t="shared" ca="1" si="413"/>
        <v>34.521500000000891</v>
      </c>
      <c r="D924" s="306">
        <f t="shared" ca="1" si="414"/>
        <v>-0.8161115109517868</v>
      </c>
      <c r="E924" s="307">
        <f t="shared" ca="1" si="415"/>
        <v>-2.4450430857551728</v>
      </c>
      <c r="F924" s="304">
        <f t="shared" ca="1" si="416"/>
        <v>2.5776488685441983</v>
      </c>
      <c r="G924" s="306">
        <f t="shared" ca="1" si="417"/>
        <v>13.435605497964128</v>
      </c>
      <c r="H924" s="307">
        <f t="shared" ca="1" si="418"/>
        <v>-121.24992098112298</v>
      </c>
      <c r="I924" s="304">
        <f t="shared" ca="1" si="419"/>
        <v>121.99204413823671</v>
      </c>
      <c r="J924" s="306">
        <f t="shared" ca="1" si="420"/>
        <v>859.24597237897774</v>
      </c>
      <c r="K924" s="307">
        <f t="shared" ca="1" si="421"/>
        <v>-13.986760761895534</v>
      </c>
      <c r="L924" s="304">
        <f t="shared" ca="1" si="406"/>
        <v>859.35980271717699</v>
      </c>
      <c r="M924" s="306">
        <f t="shared" ca="1" si="422"/>
        <v>-1.4604373549148659</v>
      </c>
      <c r="N924" s="304">
        <f t="shared" ca="1" si="423"/>
        <v>-83.676896679871319</v>
      </c>
      <c r="P924" s="310">
        <f t="shared" ca="1" si="424"/>
        <v>23</v>
      </c>
      <c r="Q924" s="304">
        <f t="shared" ca="1" si="425"/>
        <v>0</v>
      </c>
      <c r="R924" s="306">
        <f t="shared" ca="1" si="426"/>
        <v>0</v>
      </c>
      <c r="S924" s="307">
        <f t="shared" ca="1" si="427"/>
        <v>8.1379999999999981</v>
      </c>
      <c r="T924" s="304">
        <f t="shared" ca="1" si="407"/>
        <v>79.83377999999999</v>
      </c>
      <c r="U924" s="311">
        <f t="shared" ca="1" si="408"/>
        <v>0</v>
      </c>
      <c r="V924" s="306">
        <f t="shared" ca="1" si="409"/>
        <v>1.226714577262431</v>
      </c>
      <c r="W924" s="304">
        <f t="shared" ca="1" si="410"/>
        <v>60.303174613942765</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2.3402854991314976</v>
      </c>
      <c r="AH924" s="304">
        <f t="shared" ca="1" si="434"/>
        <v>-7.4100356508582808</v>
      </c>
    </row>
    <row r="925" spans="1:34" x14ac:dyDescent="0.2">
      <c r="A925" s="347">
        <f t="shared" ca="1" si="412"/>
        <v>1E-4</v>
      </c>
      <c r="B925" s="304">
        <f t="shared" ca="1" si="413"/>
        <v>34.521600000000895</v>
      </c>
      <c r="D925" s="306">
        <f t="shared" ca="1" si="414"/>
        <v>-0.81610910886721011</v>
      </c>
      <c r="E925" s="307">
        <f t="shared" ca="1" si="415"/>
        <v>-2.4450051750836215</v>
      </c>
      <c r="F925" s="304">
        <f t="shared" ca="1" si="416"/>
        <v>2.5776121476594809</v>
      </c>
      <c r="G925" s="306">
        <f t="shared" ca="1" si="417"/>
        <v>13.435523887053241</v>
      </c>
      <c r="H925" s="307">
        <f t="shared" ca="1" si="418"/>
        <v>-121.25016548164049</v>
      </c>
      <c r="I925" s="304">
        <f t="shared" ca="1" si="419"/>
        <v>121.9922781631886</v>
      </c>
      <c r="J925" s="306">
        <f t="shared" ca="1" si="420"/>
        <v>859.24597237897774</v>
      </c>
      <c r="K925" s="307">
        <f t="shared" ca="1" si="421"/>
        <v>-13.998885766218672</v>
      </c>
      <c r="L925" s="304">
        <f t="shared" ca="1" si="406"/>
        <v>859.36000014673164</v>
      </c>
      <c r="M925" s="306">
        <f t="shared" ca="1" si="422"/>
        <v>-1.4604382405654239</v>
      </c>
      <c r="N925" s="304">
        <f t="shared" ca="1" si="423"/>
        <v>-83.676947423910406</v>
      </c>
      <c r="P925" s="310">
        <f t="shared" ca="1" si="424"/>
        <v>23</v>
      </c>
      <c r="Q925" s="304">
        <f t="shared" ca="1" si="425"/>
        <v>0</v>
      </c>
      <c r="R925" s="306">
        <f t="shared" ca="1" si="426"/>
        <v>0</v>
      </c>
      <c r="S925" s="307">
        <f t="shared" ca="1" si="427"/>
        <v>8.1379999999999981</v>
      </c>
      <c r="T925" s="304">
        <f t="shared" ca="1" si="407"/>
        <v>79.83377999999999</v>
      </c>
      <c r="U925" s="311">
        <f t="shared" ca="1" si="408"/>
        <v>0</v>
      </c>
      <c r="V925" s="306">
        <f t="shared" ca="1" si="409"/>
        <v>1.226716064656016</v>
      </c>
      <c r="W925" s="304">
        <f t="shared" ca="1" si="410"/>
        <v>60.303479098837485</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2.3402490405340117</v>
      </c>
      <c r="AH925" s="304">
        <f t="shared" ca="1" si="434"/>
        <v>-7.410073066348339</v>
      </c>
    </row>
    <row r="926" spans="1:34" x14ac:dyDescent="0.2">
      <c r="A926" s="347">
        <f t="shared" ca="1" si="412"/>
        <v>1E-4</v>
      </c>
      <c r="B926" s="304">
        <f t="shared" ca="1" si="413"/>
        <v>34.521700000000898</v>
      </c>
      <c r="D926" s="306">
        <f t="shared" ca="1" si="414"/>
        <v>-0.81610670674878505</v>
      </c>
      <c r="E926" s="307">
        <f t="shared" ca="1" si="415"/>
        <v>-2.4449672647063574</v>
      </c>
      <c r="F926" s="304">
        <f t="shared" ca="1" si="416"/>
        <v>2.5775754270798816</v>
      </c>
      <c r="G926" s="306">
        <f t="shared" ca="1" si="417"/>
        <v>13.435442276382567</v>
      </c>
      <c r="H926" s="307">
        <f t="shared" ca="1" si="418"/>
        <v>-121.25040997836696</v>
      </c>
      <c r="I926" s="304">
        <f t="shared" ca="1" si="419"/>
        <v>121.99251218449466</v>
      </c>
      <c r="J926" s="306">
        <f t="shared" ca="1" si="420"/>
        <v>859.24597237897774</v>
      </c>
      <c r="K926" s="307">
        <f t="shared" ca="1" si="421"/>
        <v>-14.011010794991673</v>
      </c>
      <c r="L926" s="304">
        <f t="shared" ca="1" si="406"/>
        <v>859.36019774771535</v>
      </c>
      <c r="M926" s="306">
        <f t="shared" ca="1" si="422"/>
        <v>-1.4604391262072043</v>
      </c>
      <c r="N926" s="304">
        <f t="shared" ca="1" si="423"/>
        <v>-83.676998167446584</v>
      </c>
      <c r="P926" s="310">
        <f t="shared" ca="1" si="424"/>
        <v>23</v>
      </c>
      <c r="Q926" s="304">
        <f t="shared" ca="1" si="425"/>
        <v>0</v>
      </c>
      <c r="R926" s="306">
        <f t="shared" ca="1" si="426"/>
        <v>0</v>
      </c>
      <c r="S926" s="307">
        <f t="shared" ca="1" si="427"/>
        <v>8.1379999999999981</v>
      </c>
      <c r="T926" s="304">
        <f t="shared" ca="1" si="407"/>
        <v>79.83377999999999</v>
      </c>
      <c r="U926" s="311">
        <f t="shared" ca="1" si="408"/>
        <v>0</v>
      </c>
      <c r="V926" s="306">
        <f t="shared" ca="1" si="409"/>
        <v>1.2267175520544051</v>
      </c>
      <c r="W926" s="304">
        <f t="shared" ca="1" si="410"/>
        <v>60.303783581368847</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2.3402125822098032</v>
      </c>
      <c r="AH926" s="304">
        <f t="shared" ca="1" si="434"/>
        <v>-7.410110481547985</v>
      </c>
    </row>
    <row r="927" spans="1:34" x14ac:dyDescent="0.2">
      <c r="A927" s="347">
        <f t="shared" ca="1" si="412"/>
        <v>1E-4</v>
      </c>
      <c r="B927" s="304">
        <f t="shared" ca="1" si="413"/>
        <v>34.521800000000901</v>
      </c>
      <c r="D927" s="306">
        <f t="shared" ca="1" si="414"/>
        <v>-0.81610430459651351</v>
      </c>
      <c r="E927" s="307">
        <f t="shared" ca="1" si="415"/>
        <v>-2.4449293546233788</v>
      </c>
      <c r="F927" s="304">
        <f t="shared" ca="1" si="416"/>
        <v>2.5775387068053992</v>
      </c>
      <c r="G927" s="306">
        <f t="shared" ca="1" si="417"/>
        <v>13.435360665952107</v>
      </c>
      <c r="H927" s="307">
        <f t="shared" ca="1" si="418"/>
        <v>-121.25065447130243</v>
      </c>
      <c r="I927" s="304">
        <f t="shared" ca="1" si="419"/>
        <v>121.99274620215492</v>
      </c>
      <c r="J927" s="306">
        <f t="shared" ca="1" si="420"/>
        <v>859.24597237897774</v>
      </c>
      <c r="K927" s="307">
        <f t="shared" ca="1" si="421"/>
        <v>-14.023135848214157</v>
      </c>
      <c r="L927" s="304">
        <f t="shared" ca="1" si="406"/>
        <v>859.36039552012892</v>
      </c>
      <c r="M927" s="306">
        <f t="shared" ca="1" si="422"/>
        <v>-1.4604400118402072</v>
      </c>
      <c r="N927" s="304">
        <f t="shared" ca="1" si="423"/>
        <v>-83.677048910479854</v>
      </c>
      <c r="P927" s="310">
        <f t="shared" ca="1" si="424"/>
        <v>23</v>
      </c>
      <c r="Q927" s="304">
        <f t="shared" ca="1" si="425"/>
        <v>0</v>
      </c>
      <c r="R927" s="306">
        <f t="shared" ca="1" si="426"/>
        <v>0</v>
      </c>
      <c r="S927" s="307">
        <f t="shared" ca="1" si="427"/>
        <v>8.1379999999999981</v>
      </c>
      <c r="T927" s="304">
        <f t="shared" ca="1" si="407"/>
        <v>79.83377999999999</v>
      </c>
      <c r="U927" s="311">
        <f t="shared" ca="1" si="408"/>
        <v>0</v>
      </c>
      <c r="V927" s="306">
        <f t="shared" ca="1" si="409"/>
        <v>1.2267190394575982</v>
      </c>
      <c r="W927" s="304">
        <f t="shared" ca="1" si="410"/>
        <v>60.304088061536817</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2.3401761241588739</v>
      </c>
      <c r="AH927" s="304">
        <f t="shared" ca="1" si="434"/>
        <v>-7.4101478964572207</v>
      </c>
    </row>
    <row r="928" spans="1:34" x14ac:dyDescent="0.2">
      <c r="A928" s="347">
        <f t="shared" ca="1" si="412"/>
        <v>1E-4</v>
      </c>
      <c r="B928" s="304">
        <f t="shared" ca="1" si="413"/>
        <v>34.521900000000905</v>
      </c>
      <c r="D928" s="306">
        <f t="shared" ca="1" si="414"/>
        <v>-0.81610190241039537</v>
      </c>
      <c r="E928" s="307">
        <f t="shared" ca="1" si="415"/>
        <v>-2.4448914448346883</v>
      </c>
      <c r="F928" s="304">
        <f t="shared" ca="1" si="416"/>
        <v>2.5775019868360367</v>
      </c>
      <c r="G928" s="306">
        <f t="shared" ca="1" si="417"/>
        <v>13.435279055761866</v>
      </c>
      <c r="H928" s="307">
        <f t="shared" ca="1" si="418"/>
        <v>-121.2508989604469</v>
      </c>
      <c r="I928" s="304">
        <f t="shared" ca="1" si="419"/>
        <v>121.99298021616939</v>
      </c>
      <c r="J928" s="306">
        <f t="shared" ca="1" si="420"/>
        <v>859.24597237897774</v>
      </c>
      <c r="K928" s="307">
        <f t="shared" ca="1" si="421"/>
        <v>-14.035260925885744</v>
      </c>
      <c r="L928" s="304">
        <f t="shared" ca="1" si="406"/>
        <v>859.36059346397349</v>
      </c>
      <c r="M928" s="306">
        <f t="shared" ca="1" si="422"/>
        <v>-1.4604408974644327</v>
      </c>
      <c r="N928" s="304">
        <f t="shared" ca="1" si="423"/>
        <v>-83.677099653010202</v>
      </c>
      <c r="P928" s="310">
        <f t="shared" ca="1" si="424"/>
        <v>23</v>
      </c>
      <c r="Q928" s="304">
        <f t="shared" ca="1" si="425"/>
        <v>0</v>
      </c>
      <c r="R928" s="306">
        <f t="shared" ca="1" si="426"/>
        <v>0</v>
      </c>
      <c r="S928" s="307">
        <f t="shared" ca="1" si="427"/>
        <v>8.1379999999999981</v>
      </c>
      <c r="T928" s="304">
        <f t="shared" ca="1" si="407"/>
        <v>79.83377999999999</v>
      </c>
      <c r="U928" s="311">
        <f t="shared" ca="1" si="408"/>
        <v>0</v>
      </c>
      <c r="V928" s="306">
        <f t="shared" ca="1" si="409"/>
        <v>1.2267205268655952</v>
      </c>
      <c r="W928" s="304">
        <f t="shared" ca="1" si="410"/>
        <v>60.304392539341414</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2.3401396663812291</v>
      </c>
      <c r="AH928" s="304">
        <f t="shared" ca="1" si="434"/>
        <v>-7.4101853110760425</v>
      </c>
    </row>
    <row r="929" spans="1:34" x14ac:dyDescent="0.2">
      <c r="A929" s="347">
        <f t="shared" ca="1" si="412"/>
        <v>1E-4</v>
      </c>
      <c r="B929" s="304">
        <f t="shared" ca="1" si="413"/>
        <v>34.522000000000908</v>
      </c>
      <c r="D929" s="306">
        <f t="shared" ca="1" si="414"/>
        <v>-0.81609950019043243</v>
      </c>
      <c r="E929" s="307">
        <f t="shared" ca="1" si="415"/>
        <v>-2.4448535353402852</v>
      </c>
      <c r="F929" s="304">
        <f t="shared" ca="1" si="416"/>
        <v>2.5774652671717933</v>
      </c>
      <c r="G929" s="306">
        <f t="shared" ca="1" si="417"/>
        <v>13.435197445811847</v>
      </c>
      <c r="H929" s="307">
        <f t="shared" ca="1" si="418"/>
        <v>-121.25114344580044</v>
      </c>
      <c r="I929" s="304">
        <f t="shared" ca="1" si="419"/>
        <v>121.99321422653811</v>
      </c>
      <c r="J929" s="306">
        <f t="shared" ca="1" si="420"/>
        <v>859.24597237897774</v>
      </c>
      <c r="K929" s="307">
        <f t="shared" ca="1" si="421"/>
        <v>-14.047386028006056</v>
      </c>
      <c r="L929" s="304">
        <f t="shared" ca="1" si="406"/>
        <v>859.36079157924974</v>
      </c>
      <c r="M929" s="306">
        <f t="shared" ca="1" si="422"/>
        <v>-1.4604417830798813</v>
      </c>
      <c r="N929" s="304">
        <f t="shared" ca="1" si="423"/>
        <v>-83.677150395037685</v>
      </c>
      <c r="P929" s="310">
        <f t="shared" ca="1" si="424"/>
        <v>23</v>
      </c>
      <c r="Q929" s="304">
        <f t="shared" ca="1" si="425"/>
        <v>0</v>
      </c>
      <c r="R929" s="306">
        <f t="shared" ca="1" si="426"/>
        <v>0</v>
      </c>
      <c r="S929" s="307">
        <f t="shared" ca="1" si="427"/>
        <v>8.1379999999999981</v>
      </c>
      <c r="T929" s="304">
        <f t="shared" ca="1" si="407"/>
        <v>79.83377999999999</v>
      </c>
      <c r="U929" s="311">
        <f t="shared" ca="1" si="408"/>
        <v>0</v>
      </c>
      <c r="V929" s="306">
        <f t="shared" ca="1" si="409"/>
        <v>1.2267220142783966</v>
      </c>
      <c r="W929" s="304">
        <f t="shared" ca="1" si="410"/>
        <v>60.304697014782654</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2.3401032088768652</v>
      </c>
      <c r="AH929" s="304">
        <f t="shared" ca="1" si="434"/>
        <v>-7.4102227254044521</v>
      </c>
    </row>
    <row r="930" spans="1:34" x14ac:dyDescent="0.2">
      <c r="A930" s="347">
        <f t="shared" ca="1" si="412"/>
        <v>1E-4</v>
      </c>
      <c r="B930" s="304">
        <f t="shared" ca="1" si="413"/>
        <v>34.522100000000911</v>
      </c>
      <c r="D930" s="306">
        <f t="shared" ca="1" si="414"/>
        <v>-0.81609709793662333</v>
      </c>
      <c r="E930" s="307">
        <f t="shared" ca="1" si="415"/>
        <v>-2.4448156261401666</v>
      </c>
      <c r="F930" s="304">
        <f t="shared" ca="1" si="416"/>
        <v>2.5774285478126671</v>
      </c>
      <c r="G930" s="306">
        <f t="shared" ca="1" si="417"/>
        <v>13.435115836102053</v>
      </c>
      <c r="H930" s="307">
        <f t="shared" ca="1" si="418"/>
        <v>-121.25138792736306</v>
      </c>
      <c r="I930" s="304">
        <f t="shared" ca="1" si="419"/>
        <v>121.99344823326113</v>
      </c>
      <c r="J930" s="306">
        <f t="shared" ca="1" si="420"/>
        <v>859.24597237897774</v>
      </c>
      <c r="K930" s="307">
        <f t="shared" ca="1" si="421"/>
        <v>-14.059511154574714</v>
      </c>
      <c r="L930" s="304">
        <f t="shared" ca="1" si="406"/>
        <v>859.3609898659588</v>
      </c>
      <c r="M930" s="306">
        <f t="shared" ca="1" si="422"/>
        <v>-1.4604426686865526</v>
      </c>
      <c r="N930" s="304">
        <f t="shared" ca="1" si="423"/>
        <v>-83.67720113656226</v>
      </c>
      <c r="P930" s="310">
        <f t="shared" ca="1" si="424"/>
        <v>23</v>
      </c>
      <c r="Q930" s="304">
        <f t="shared" ca="1" si="425"/>
        <v>0</v>
      </c>
      <c r="R930" s="306">
        <f t="shared" ca="1" si="426"/>
        <v>0</v>
      </c>
      <c r="S930" s="307">
        <f t="shared" ca="1" si="427"/>
        <v>8.1379999999999981</v>
      </c>
      <c r="T930" s="304">
        <f t="shared" ca="1" si="407"/>
        <v>79.83377999999999</v>
      </c>
      <c r="U930" s="311">
        <f t="shared" ca="1" si="408"/>
        <v>0</v>
      </c>
      <c r="V930" s="306">
        <f t="shared" ca="1" si="409"/>
        <v>1.2267235016960014</v>
      </c>
      <c r="W930" s="304">
        <f t="shared" ca="1" si="410"/>
        <v>60.305001487860508</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2.3400667516457823</v>
      </c>
      <c r="AH930" s="304">
        <f t="shared" ca="1" si="434"/>
        <v>-7.4102601394424514</v>
      </c>
    </row>
    <row r="931" spans="1:34" x14ac:dyDescent="0.2">
      <c r="A931" s="347">
        <f t="shared" ca="1" si="412"/>
        <v>1E-4</v>
      </c>
      <c r="B931" s="304">
        <f t="shared" ca="1" si="413"/>
        <v>34.522200000000915</v>
      </c>
      <c r="D931" s="306">
        <f t="shared" ca="1" si="414"/>
        <v>-0.81609469564897119</v>
      </c>
      <c r="E931" s="307">
        <f t="shared" ca="1" si="415"/>
        <v>-2.444777717234337</v>
      </c>
      <c r="F931" s="304">
        <f t="shared" ca="1" si="416"/>
        <v>2.5773918287586626</v>
      </c>
      <c r="G931" s="306">
        <f t="shared" ca="1" si="417"/>
        <v>13.435034226632489</v>
      </c>
      <c r="H931" s="307">
        <f t="shared" ca="1" si="418"/>
        <v>-121.25163240513479</v>
      </c>
      <c r="I931" s="304">
        <f t="shared" ca="1" si="419"/>
        <v>121.99368223633844</v>
      </c>
      <c r="J931" s="306">
        <f t="shared" ca="1" si="420"/>
        <v>859.24597237897774</v>
      </c>
      <c r="K931" s="307">
        <f t="shared" ca="1" si="421"/>
        <v>-14.071636305591339</v>
      </c>
      <c r="L931" s="304">
        <f t="shared" ca="1" si="406"/>
        <v>859.36118832410148</v>
      </c>
      <c r="M931" s="306">
        <f t="shared" ca="1" si="422"/>
        <v>-1.4604435542844469</v>
      </c>
      <c r="N931" s="304">
        <f t="shared" ca="1" si="423"/>
        <v>-83.677251877583942</v>
      </c>
      <c r="P931" s="310">
        <f t="shared" ca="1" si="424"/>
        <v>23</v>
      </c>
      <c r="Q931" s="304">
        <f t="shared" ca="1" si="425"/>
        <v>0</v>
      </c>
      <c r="R931" s="306">
        <f t="shared" ca="1" si="426"/>
        <v>0</v>
      </c>
      <c r="S931" s="307">
        <f t="shared" ca="1" si="427"/>
        <v>8.1379999999999981</v>
      </c>
      <c r="T931" s="304">
        <f t="shared" ca="1" si="407"/>
        <v>79.83377999999999</v>
      </c>
      <c r="U931" s="311">
        <f t="shared" ca="1" si="408"/>
        <v>0</v>
      </c>
      <c r="V931" s="306">
        <f t="shared" ca="1" si="409"/>
        <v>1.2267249891184102</v>
      </c>
      <c r="W931" s="304">
        <f t="shared" ca="1" si="410"/>
        <v>60.305305958574941</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2.3400302946879821</v>
      </c>
      <c r="AH931" s="304">
        <f t="shared" ca="1" si="434"/>
        <v>-7.4102975531900368</v>
      </c>
    </row>
    <row r="932" spans="1:34" x14ac:dyDescent="0.2">
      <c r="A932" s="347">
        <f t="shared" ca="1" si="412"/>
        <v>1E-4</v>
      </c>
      <c r="B932" s="304">
        <f t="shared" ca="1" si="413"/>
        <v>34.522300000000918</v>
      </c>
      <c r="D932" s="306">
        <f t="shared" ca="1" si="414"/>
        <v>-0.81609229332747568</v>
      </c>
      <c r="E932" s="307">
        <f t="shared" ca="1" si="415"/>
        <v>-2.4447398086227992</v>
      </c>
      <c r="F932" s="304">
        <f t="shared" ca="1" si="416"/>
        <v>2.5773551100097829</v>
      </c>
      <c r="G932" s="306">
        <f t="shared" ca="1" si="417"/>
        <v>13.434952617403155</v>
      </c>
      <c r="H932" s="307">
        <f t="shared" ca="1" si="418"/>
        <v>-121.25187687911564</v>
      </c>
      <c r="I932" s="304">
        <f t="shared" ca="1" si="419"/>
        <v>121.99391623577009</v>
      </c>
      <c r="J932" s="306">
        <f t="shared" ca="1" si="420"/>
        <v>859.24597237897774</v>
      </c>
      <c r="K932" s="307">
        <f t="shared" ca="1" si="421"/>
        <v>-14.083761481055552</v>
      </c>
      <c r="L932" s="304">
        <f t="shared" ca="1" si="406"/>
        <v>859.36138695367868</v>
      </c>
      <c r="M932" s="306">
        <f t="shared" ca="1" si="422"/>
        <v>-1.4604444398735645</v>
      </c>
      <c r="N932" s="304">
        <f t="shared" ca="1" si="423"/>
        <v>-83.677302618102772</v>
      </c>
      <c r="P932" s="310">
        <f t="shared" ca="1" si="424"/>
        <v>23</v>
      </c>
      <c r="Q932" s="304">
        <f t="shared" ca="1" si="425"/>
        <v>0</v>
      </c>
      <c r="R932" s="306">
        <f t="shared" ca="1" si="426"/>
        <v>0</v>
      </c>
      <c r="S932" s="307">
        <f t="shared" ca="1" si="427"/>
        <v>8.1379999999999981</v>
      </c>
      <c r="T932" s="304">
        <f t="shared" ca="1" si="407"/>
        <v>79.83377999999999</v>
      </c>
      <c r="U932" s="311">
        <f t="shared" ca="1" si="408"/>
        <v>0</v>
      </c>
      <c r="V932" s="306">
        <f t="shared" ca="1" si="409"/>
        <v>1.2267264765456229</v>
      </c>
      <c r="W932" s="304">
        <f t="shared" ca="1" si="410"/>
        <v>60.305610426925988</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2.3399938380034717</v>
      </c>
      <c r="AH932" s="304">
        <f t="shared" ca="1" si="434"/>
        <v>-7.4103349666472047</v>
      </c>
    </row>
    <row r="933" spans="1:34" x14ac:dyDescent="0.2">
      <c r="A933" s="347">
        <f t="shared" ca="1" si="412"/>
        <v>1E-4</v>
      </c>
      <c r="B933" s="304">
        <f t="shared" ca="1" si="413"/>
        <v>34.522400000000921</v>
      </c>
      <c r="D933" s="306">
        <f t="shared" ca="1" si="414"/>
        <v>-0.81608989097213758</v>
      </c>
      <c r="E933" s="307">
        <f t="shared" ca="1" si="415"/>
        <v>-2.4447019003055495</v>
      </c>
      <c r="F933" s="304">
        <f t="shared" ca="1" si="416"/>
        <v>2.5773183915660245</v>
      </c>
      <c r="G933" s="306">
        <f t="shared" ca="1" si="417"/>
        <v>13.434871008414058</v>
      </c>
      <c r="H933" s="307">
        <f t="shared" ca="1" si="418"/>
        <v>-121.25212134930567</v>
      </c>
      <c r="I933" s="304">
        <f t="shared" ca="1" si="419"/>
        <v>121.99415023155608</v>
      </c>
      <c r="J933" s="306">
        <f t="shared" ca="1" si="420"/>
        <v>859.24597237897774</v>
      </c>
      <c r="K933" s="307">
        <f t="shared" ca="1" si="421"/>
        <v>-14.095886680966974</v>
      </c>
      <c r="L933" s="304">
        <f t="shared" ca="1" si="406"/>
        <v>859.3615857546913</v>
      </c>
      <c r="M933" s="306">
        <f t="shared" ca="1" si="422"/>
        <v>-1.4604453254539056</v>
      </c>
      <c r="N933" s="304">
        <f t="shared" ca="1" si="423"/>
        <v>-83.677353358118737</v>
      </c>
      <c r="P933" s="310">
        <f t="shared" ca="1" si="424"/>
        <v>23</v>
      </c>
      <c r="Q933" s="304">
        <f t="shared" ca="1" si="425"/>
        <v>0</v>
      </c>
      <c r="R933" s="306">
        <f t="shared" ca="1" si="426"/>
        <v>0</v>
      </c>
      <c r="S933" s="307">
        <f t="shared" ca="1" si="427"/>
        <v>8.1379999999999981</v>
      </c>
      <c r="T933" s="304">
        <f t="shared" ca="1" si="407"/>
        <v>79.83377999999999</v>
      </c>
      <c r="U933" s="311">
        <f t="shared" ca="1" si="408"/>
        <v>0</v>
      </c>
      <c r="V933" s="306">
        <f t="shared" ca="1" si="409"/>
        <v>1.2267279639776394</v>
      </c>
      <c r="W933" s="304">
        <f t="shared" ca="1" si="410"/>
        <v>60.305914892913641</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2.339957381592245</v>
      </c>
      <c r="AH933" s="304">
        <f t="shared" ca="1" si="434"/>
        <v>-7.4103723798139596</v>
      </c>
    </row>
    <row r="934" spans="1:34" x14ac:dyDescent="0.2">
      <c r="A934" s="347">
        <f t="shared" ca="1" si="412"/>
        <v>1E-4</v>
      </c>
      <c r="B934" s="304">
        <f t="shared" ca="1" si="413"/>
        <v>34.522500000000925</v>
      </c>
      <c r="D934" s="306">
        <f t="shared" ca="1" si="414"/>
        <v>-0.81608748858295665</v>
      </c>
      <c r="E934" s="307">
        <f t="shared" ca="1" si="415"/>
        <v>-2.4446639922825897</v>
      </c>
      <c r="F934" s="304">
        <f t="shared" ca="1" si="416"/>
        <v>2.57728167342739</v>
      </c>
      <c r="G934" s="306">
        <f t="shared" ca="1" si="417"/>
        <v>13.434789399665199</v>
      </c>
      <c r="H934" s="307">
        <f t="shared" ca="1" si="418"/>
        <v>-121.25236581570489</v>
      </c>
      <c r="I934" s="304">
        <f t="shared" ca="1" si="419"/>
        <v>121.99438422369644</v>
      </c>
      <c r="J934" s="306">
        <f t="shared" ca="1" si="420"/>
        <v>859.24597237897774</v>
      </c>
      <c r="K934" s="307">
        <f t="shared" ca="1" si="421"/>
        <v>-14.108011905325224</v>
      </c>
      <c r="L934" s="304">
        <f t="shared" ca="1" si="406"/>
        <v>859.36178472714028</v>
      </c>
      <c r="M934" s="306">
        <f t="shared" ca="1" si="422"/>
        <v>-1.4604462110254699</v>
      </c>
      <c r="N934" s="304">
        <f t="shared" ca="1" si="423"/>
        <v>-83.677404097631822</v>
      </c>
      <c r="P934" s="310">
        <f t="shared" ca="1" si="424"/>
        <v>23</v>
      </c>
      <c r="Q934" s="304">
        <f t="shared" ca="1" si="425"/>
        <v>0</v>
      </c>
      <c r="R934" s="306">
        <f t="shared" ca="1" si="426"/>
        <v>0</v>
      </c>
      <c r="S934" s="307">
        <f t="shared" ca="1" si="427"/>
        <v>8.1379999999999981</v>
      </c>
      <c r="T934" s="304">
        <f t="shared" ca="1" si="407"/>
        <v>79.83377999999999</v>
      </c>
      <c r="U934" s="311">
        <f t="shared" ca="1" si="408"/>
        <v>0</v>
      </c>
      <c r="V934" s="306">
        <f t="shared" ca="1" si="409"/>
        <v>1.2267294514144598</v>
      </c>
      <c r="W934" s="304">
        <f t="shared" ca="1" si="410"/>
        <v>60.306219356537866</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2.3399209254543036</v>
      </c>
      <c r="AH934" s="304">
        <f t="shared" ca="1" si="434"/>
        <v>-7.4104097926902996</v>
      </c>
    </row>
    <row r="935" spans="1:34" x14ac:dyDescent="0.2">
      <c r="A935" s="347">
        <f t="shared" ca="1" si="412"/>
        <v>1E-4</v>
      </c>
      <c r="B935" s="304">
        <f t="shared" ca="1" si="413"/>
        <v>34.522600000000928</v>
      </c>
      <c r="D935" s="306">
        <f t="shared" ca="1" si="414"/>
        <v>-0.81608508615993591</v>
      </c>
      <c r="E935" s="307">
        <f t="shared" ca="1" si="415"/>
        <v>-2.4446260845539234</v>
      </c>
      <c r="F935" s="304">
        <f t="shared" ca="1" si="416"/>
        <v>2.577244955593883</v>
      </c>
      <c r="G935" s="306">
        <f t="shared" ca="1" si="417"/>
        <v>13.434707791156583</v>
      </c>
      <c r="H935" s="307">
        <f t="shared" ca="1" si="418"/>
        <v>-121.25261027831334</v>
      </c>
      <c r="I935" s="304">
        <f t="shared" ca="1" si="419"/>
        <v>121.99461821219124</v>
      </c>
      <c r="J935" s="306">
        <f t="shared" ca="1" si="420"/>
        <v>859.24597237897774</v>
      </c>
      <c r="K935" s="307">
        <f t="shared" ca="1" si="421"/>
        <v>-14.120137154129925</v>
      </c>
      <c r="L935" s="304">
        <f t="shared" ca="1" si="406"/>
        <v>859.3619838710265</v>
      </c>
      <c r="M935" s="306">
        <f t="shared" ca="1" si="422"/>
        <v>-1.4604470965882579</v>
      </c>
      <c r="N935" s="304">
        <f t="shared" ca="1" si="423"/>
        <v>-83.67745483664207</v>
      </c>
      <c r="P935" s="310">
        <f t="shared" ca="1" si="424"/>
        <v>23</v>
      </c>
      <c r="Q935" s="304">
        <f t="shared" ca="1" si="425"/>
        <v>0</v>
      </c>
      <c r="R935" s="306">
        <f t="shared" ca="1" si="426"/>
        <v>0</v>
      </c>
      <c r="S935" s="307">
        <f t="shared" ca="1" si="427"/>
        <v>8.1379999999999981</v>
      </c>
      <c r="T935" s="304">
        <f t="shared" ca="1" si="407"/>
        <v>79.83377999999999</v>
      </c>
      <c r="U935" s="311">
        <f t="shared" ca="1" si="408"/>
        <v>0</v>
      </c>
      <c r="V935" s="306">
        <f t="shared" ca="1" si="409"/>
        <v>1.2267309388560836</v>
      </c>
      <c r="W935" s="304">
        <f t="shared" ca="1" si="410"/>
        <v>60.306523817798698</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2.3398844695896539</v>
      </c>
      <c r="AH935" s="304">
        <f t="shared" ca="1" si="434"/>
        <v>-7.4104472052762205</v>
      </c>
    </row>
    <row r="936" spans="1:34" x14ac:dyDescent="0.2">
      <c r="A936" s="347">
        <f t="shared" ca="1" si="412"/>
        <v>1E-4</v>
      </c>
      <c r="B936" s="304">
        <f t="shared" ca="1" si="413"/>
        <v>34.522700000000931</v>
      </c>
      <c r="D936" s="306">
        <f t="shared" ca="1" si="414"/>
        <v>-0.81608268370307413</v>
      </c>
      <c r="E936" s="307">
        <f t="shared" ca="1" si="415"/>
        <v>-2.444588177119547</v>
      </c>
      <c r="F936" s="304">
        <f t="shared" ca="1" si="416"/>
        <v>2.5772082380655004</v>
      </c>
      <c r="G936" s="306">
        <f t="shared" ca="1" si="417"/>
        <v>13.434626182888213</v>
      </c>
      <c r="H936" s="307">
        <f t="shared" ca="1" si="418"/>
        <v>-121.25285473713106</v>
      </c>
      <c r="I936" s="304">
        <f t="shared" ca="1" si="419"/>
        <v>121.99485219704047</v>
      </c>
      <c r="J936" s="306">
        <f t="shared" ca="1" si="420"/>
        <v>859.24597237897774</v>
      </c>
      <c r="K936" s="307">
        <f t="shared" ca="1" si="421"/>
        <v>-14.132262427380697</v>
      </c>
      <c r="L936" s="304">
        <f t="shared" ca="1" si="406"/>
        <v>859.36218318635088</v>
      </c>
      <c r="M936" s="306">
        <f t="shared" ca="1" si="422"/>
        <v>-1.4604479821422696</v>
      </c>
      <c r="N936" s="304">
        <f t="shared" ca="1" si="423"/>
        <v>-83.677505575149468</v>
      </c>
      <c r="P936" s="310">
        <f t="shared" ca="1" si="424"/>
        <v>23</v>
      </c>
      <c r="Q936" s="304">
        <f t="shared" ca="1" si="425"/>
        <v>0</v>
      </c>
      <c r="R936" s="306">
        <f t="shared" ca="1" si="426"/>
        <v>0</v>
      </c>
      <c r="S936" s="307">
        <f t="shared" ca="1" si="427"/>
        <v>8.1379999999999981</v>
      </c>
      <c r="T936" s="304">
        <f t="shared" ca="1" si="407"/>
        <v>79.83377999999999</v>
      </c>
      <c r="U936" s="311">
        <f t="shared" ca="1" si="408"/>
        <v>0</v>
      </c>
      <c r="V936" s="306">
        <f t="shared" ca="1" si="409"/>
        <v>1.2267324263025114</v>
      </c>
      <c r="W936" s="304">
        <f t="shared" ca="1" si="410"/>
        <v>60.30682827669613</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2.3398480139982896</v>
      </c>
      <c r="AH936" s="304">
        <f t="shared" ca="1" si="434"/>
        <v>-7.4104846175717265</v>
      </c>
    </row>
    <row r="937" spans="1:34" x14ac:dyDescent="0.2">
      <c r="A937" s="347">
        <f t="shared" ca="1" si="412"/>
        <v>1E-4</v>
      </c>
      <c r="B937" s="304">
        <f t="shared" ca="1" si="413"/>
        <v>34.522800000000935</v>
      </c>
      <c r="D937" s="306">
        <f t="shared" ca="1" si="414"/>
        <v>-0.81608028121237319</v>
      </c>
      <c r="E937" s="307">
        <f t="shared" ca="1" si="415"/>
        <v>-2.4445502699794606</v>
      </c>
      <c r="F937" s="304">
        <f t="shared" ca="1" si="416"/>
        <v>2.577171520842243</v>
      </c>
      <c r="G937" s="306">
        <f t="shared" ca="1" si="417"/>
        <v>13.434544574860091</v>
      </c>
      <c r="H937" s="307">
        <f t="shared" ca="1" si="418"/>
        <v>-121.25309919215806</v>
      </c>
      <c r="I937" s="304">
        <f t="shared" ca="1" si="419"/>
        <v>121.99508617824418</v>
      </c>
      <c r="J937" s="306">
        <f t="shared" ca="1" si="420"/>
        <v>859.24597237897774</v>
      </c>
      <c r="K937" s="307">
        <f t="shared" ca="1" si="421"/>
        <v>-14.144387725077161</v>
      </c>
      <c r="L937" s="304">
        <f t="shared" ca="1" si="406"/>
        <v>859.36238267311444</v>
      </c>
      <c r="M937" s="306">
        <f t="shared" ca="1" si="422"/>
        <v>-1.4604488676875051</v>
      </c>
      <c r="N937" s="304">
        <f t="shared" ca="1" si="423"/>
        <v>-83.677556313154028</v>
      </c>
      <c r="P937" s="310">
        <f t="shared" ca="1" si="424"/>
        <v>23</v>
      </c>
      <c r="Q937" s="304">
        <f t="shared" ca="1" si="425"/>
        <v>0</v>
      </c>
      <c r="R937" s="306">
        <f t="shared" ca="1" si="426"/>
        <v>0</v>
      </c>
      <c r="S937" s="307">
        <f t="shared" ca="1" si="427"/>
        <v>8.1379999999999981</v>
      </c>
      <c r="T937" s="304">
        <f t="shared" ca="1" si="407"/>
        <v>79.83377999999999</v>
      </c>
      <c r="U937" s="311">
        <f t="shared" ca="1" si="408"/>
        <v>0</v>
      </c>
      <c r="V937" s="306">
        <f t="shared" ca="1" si="409"/>
        <v>1.226733913753743</v>
      </c>
      <c r="W937" s="304">
        <f t="shared" ca="1" si="410"/>
        <v>60.307132733230141</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2.3398115586802124</v>
      </c>
      <c r="AH937" s="304">
        <f t="shared" ca="1" si="434"/>
        <v>-7.4105220295768177</v>
      </c>
    </row>
    <row r="938" spans="1:34" x14ac:dyDescent="0.2">
      <c r="A938" s="347">
        <f t="shared" ca="1" si="412"/>
        <v>1E-4</v>
      </c>
      <c r="B938" s="304">
        <f t="shared" ca="1" si="413"/>
        <v>34.522900000000938</v>
      </c>
      <c r="D938" s="306">
        <f t="shared" ca="1" si="414"/>
        <v>-0.8160778786878331</v>
      </c>
      <c r="E938" s="307">
        <f t="shared" ca="1" si="415"/>
        <v>-2.4445123631336649</v>
      </c>
      <c r="F938" s="304">
        <f t="shared" ca="1" si="416"/>
        <v>2.5771348039241118</v>
      </c>
      <c r="G938" s="306">
        <f t="shared" ca="1" si="417"/>
        <v>13.434462967072221</v>
      </c>
      <c r="H938" s="307">
        <f t="shared" ca="1" si="418"/>
        <v>-121.25334364339437</v>
      </c>
      <c r="I938" s="304">
        <f t="shared" ca="1" si="419"/>
        <v>121.99532015580237</v>
      </c>
      <c r="J938" s="306">
        <f t="shared" ca="1" si="420"/>
        <v>859.24597237897774</v>
      </c>
      <c r="K938" s="307">
        <f t="shared" ca="1" si="421"/>
        <v>-14.156513047218938</v>
      </c>
      <c r="L938" s="304">
        <f t="shared" ca="1" si="406"/>
        <v>859.36258233131787</v>
      </c>
      <c r="M938" s="306">
        <f t="shared" ca="1" si="422"/>
        <v>-1.4604497532239649</v>
      </c>
      <c r="N938" s="304">
        <f t="shared" ca="1" si="423"/>
        <v>-83.67760705065578</v>
      </c>
      <c r="P938" s="310">
        <f t="shared" ca="1" si="424"/>
        <v>23</v>
      </c>
      <c r="Q938" s="304">
        <f t="shared" ca="1" si="425"/>
        <v>0</v>
      </c>
      <c r="R938" s="306">
        <f t="shared" ca="1" si="426"/>
        <v>0</v>
      </c>
      <c r="S938" s="307">
        <f t="shared" ca="1" si="427"/>
        <v>8.1379999999999981</v>
      </c>
      <c r="T938" s="304">
        <f t="shared" ca="1" si="407"/>
        <v>79.83377999999999</v>
      </c>
      <c r="U938" s="311">
        <f t="shared" ca="1" si="408"/>
        <v>0</v>
      </c>
      <c r="V938" s="306">
        <f t="shared" ca="1" si="409"/>
        <v>1.226735401209778</v>
      </c>
      <c r="W938" s="304">
        <f t="shared" ca="1" si="410"/>
        <v>60.307437187400723</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2.3397751036354268</v>
      </c>
      <c r="AH938" s="304">
        <f t="shared" ca="1" si="434"/>
        <v>-7.4105594412914915</v>
      </c>
    </row>
    <row r="939" spans="1:34" x14ac:dyDescent="0.2">
      <c r="A939" s="347">
        <f t="shared" ca="1" si="412"/>
        <v>1E-4</v>
      </c>
      <c r="B939" s="304">
        <f t="shared" ca="1" si="413"/>
        <v>34.523000000000941</v>
      </c>
      <c r="D939" s="306">
        <f t="shared" ca="1" si="414"/>
        <v>-0.81607547612945341</v>
      </c>
      <c r="E939" s="307">
        <f t="shared" ca="1" si="415"/>
        <v>-2.4444744565821654</v>
      </c>
      <c r="F939" s="304">
        <f t="shared" ca="1" si="416"/>
        <v>2.5770980873111111</v>
      </c>
      <c r="G939" s="306">
        <f t="shared" ca="1" si="417"/>
        <v>13.434381359524608</v>
      </c>
      <c r="H939" s="307">
        <f t="shared" ca="1" si="418"/>
        <v>-121.25358809084003</v>
      </c>
      <c r="I939" s="304">
        <f t="shared" ca="1" si="419"/>
        <v>121.99555412971509</v>
      </c>
      <c r="J939" s="306">
        <f t="shared" ca="1" si="420"/>
        <v>859.24597237897774</v>
      </c>
      <c r="K939" s="307">
        <f t="shared" ca="1" si="421"/>
        <v>-14.168638393805651</v>
      </c>
      <c r="L939" s="304">
        <f t="shared" ca="1" si="406"/>
        <v>859.36278216096218</v>
      </c>
      <c r="M939" s="306">
        <f t="shared" ca="1" si="422"/>
        <v>-1.4604506387516483</v>
      </c>
      <c r="N939" s="304">
        <f t="shared" ca="1" si="423"/>
        <v>-83.677657787654681</v>
      </c>
      <c r="P939" s="310">
        <f t="shared" ca="1" si="424"/>
        <v>23</v>
      </c>
      <c r="Q939" s="304">
        <f t="shared" ca="1" si="425"/>
        <v>0</v>
      </c>
      <c r="R939" s="306">
        <f t="shared" ca="1" si="426"/>
        <v>0</v>
      </c>
      <c r="S939" s="307">
        <f t="shared" ca="1" si="427"/>
        <v>8.1379999999999981</v>
      </c>
      <c r="T939" s="304">
        <f t="shared" ca="1" si="407"/>
        <v>79.83377999999999</v>
      </c>
      <c r="U939" s="311">
        <f t="shared" ca="1" si="408"/>
        <v>0</v>
      </c>
      <c r="V939" s="306">
        <f t="shared" ca="1" si="409"/>
        <v>1.2267368886706167</v>
      </c>
      <c r="W939" s="304">
        <f t="shared" ca="1" si="410"/>
        <v>60.307741639207876</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2.3397386488639356</v>
      </c>
      <c r="AH939" s="304">
        <f t="shared" ca="1" si="434"/>
        <v>-7.4105968527157451</v>
      </c>
    </row>
    <row r="940" spans="1:34" x14ac:dyDescent="0.2">
      <c r="A940" s="347">
        <f t="shared" ca="1" si="412"/>
        <v>1E-4</v>
      </c>
      <c r="B940" s="304">
        <f t="shared" ca="1" si="413"/>
        <v>34.523100000000944</v>
      </c>
      <c r="D940" s="306">
        <f t="shared" ca="1" si="414"/>
        <v>-0.81607307353723968</v>
      </c>
      <c r="E940" s="307">
        <f t="shared" ca="1" si="415"/>
        <v>-2.4444365503249577</v>
      </c>
      <c r="F940" s="304">
        <f t="shared" ca="1" si="416"/>
        <v>2.5770613710032393</v>
      </c>
      <c r="G940" s="306">
        <f t="shared" ca="1" si="417"/>
        <v>13.434299752217253</v>
      </c>
      <c r="H940" s="307">
        <f t="shared" ca="1" si="418"/>
        <v>-121.25383253449506</v>
      </c>
      <c r="I940" s="304">
        <f t="shared" ca="1" si="419"/>
        <v>121.99578809998236</v>
      </c>
      <c r="J940" s="306">
        <f t="shared" ca="1" si="420"/>
        <v>859.24597237897774</v>
      </c>
      <c r="K940" s="307">
        <f t="shared" ca="1" si="421"/>
        <v>-14.180763764836918</v>
      </c>
      <c r="L940" s="304">
        <f t="shared" ca="1" si="406"/>
        <v>859.3629821620483</v>
      </c>
      <c r="M940" s="306">
        <f t="shared" ca="1" si="422"/>
        <v>-1.4604515242705562</v>
      </c>
      <c r="N940" s="304">
        <f t="shared" ca="1" si="423"/>
        <v>-83.677708524150788</v>
      </c>
      <c r="P940" s="310">
        <f t="shared" ca="1" si="424"/>
        <v>23</v>
      </c>
      <c r="Q940" s="304">
        <f t="shared" ca="1" si="425"/>
        <v>0</v>
      </c>
      <c r="R940" s="306">
        <f t="shared" ca="1" si="426"/>
        <v>0</v>
      </c>
      <c r="S940" s="307">
        <f t="shared" ca="1" si="427"/>
        <v>8.1379999999999981</v>
      </c>
      <c r="T940" s="304">
        <f t="shared" ca="1" si="407"/>
        <v>79.83377999999999</v>
      </c>
      <c r="U940" s="311">
        <f t="shared" ca="1" si="408"/>
        <v>0</v>
      </c>
      <c r="V940" s="306">
        <f t="shared" ca="1" si="409"/>
        <v>1.2267383761362589</v>
      </c>
      <c r="W940" s="304">
        <f t="shared" ca="1" si="410"/>
        <v>60.308046088651622</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2.3397021943657323</v>
      </c>
      <c r="AH940" s="304">
        <f t="shared" ca="1" si="434"/>
        <v>-7.4106342638495812</v>
      </c>
    </row>
    <row r="941" spans="1:34" x14ac:dyDescent="0.2">
      <c r="A941" s="347">
        <f t="shared" ca="1" si="412"/>
        <v>1E-4</v>
      </c>
      <c r="B941" s="304">
        <f t="shared" ca="1" si="413"/>
        <v>34.523200000000948</v>
      </c>
      <c r="D941" s="306">
        <f t="shared" ca="1" si="414"/>
        <v>-0.8160706709111869</v>
      </c>
      <c r="E941" s="307">
        <f t="shared" ca="1" si="415"/>
        <v>-2.4443986443620433</v>
      </c>
      <c r="F941" s="304">
        <f t="shared" ca="1" si="416"/>
        <v>2.5770246550004972</v>
      </c>
      <c r="G941" s="306">
        <f t="shared" ca="1" si="417"/>
        <v>13.434218145150162</v>
      </c>
      <c r="H941" s="307">
        <f t="shared" ca="1" si="418"/>
        <v>-121.25407697435949</v>
      </c>
      <c r="I941" s="304">
        <f t="shared" ca="1" si="419"/>
        <v>121.9960220666042</v>
      </c>
      <c r="J941" s="306">
        <f t="shared" ca="1" si="420"/>
        <v>859.24597237897774</v>
      </c>
      <c r="K941" s="307">
        <f t="shared" ca="1" si="421"/>
        <v>-14.19288916031236</v>
      </c>
      <c r="L941" s="304">
        <f t="shared" ca="1" si="406"/>
        <v>859.36318233457723</v>
      </c>
      <c r="M941" s="306">
        <f t="shared" ca="1" si="422"/>
        <v>-1.4604524097806886</v>
      </c>
      <c r="N941" s="304">
        <f t="shared" ca="1" si="423"/>
        <v>-83.677759260144086</v>
      </c>
      <c r="P941" s="310">
        <f t="shared" ca="1" si="424"/>
        <v>23</v>
      </c>
      <c r="Q941" s="304">
        <f t="shared" ca="1" si="425"/>
        <v>0</v>
      </c>
      <c r="R941" s="306">
        <f t="shared" ca="1" si="426"/>
        <v>0</v>
      </c>
      <c r="S941" s="307">
        <f t="shared" ca="1" si="427"/>
        <v>8.1379999999999981</v>
      </c>
      <c r="T941" s="304">
        <f t="shared" ca="1" si="407"/>
        <v>79.83377999999999</v>
      </c>
      <c r="U941" s="311">
        <f t="shared" ca="1" si="408"/>
        <v>0</v>
      </c>
      <c r="V941" s="306">
        <f t="shared" ca="1" si="409"/>
        <v>1.2267398636067046</v>
      </c>
      <c r="W941" s="304">
        <f t="shared" ca="1" si="410"/>
        <v>60.308350535731911</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2.3396657401408207</v>
      </c>
      <c r="AH941" s="304">
        <f t="shared" ca="1" si="434"/>
        <v>-7.4106716746929999</v>
      </c>
    </row>
    <row r="942" spans="1:34" x14ac:dyDescent="0.2">
      <c r="A942" s="347">
        <f t="shared" ca="1" si="412"/>
        <v>1E-4</v>
      </c>
      <c r="B942" s="304">
        <f t="shared" ca="1" si="413"/>
        <v>34.523300000000951</v>
      </c>
      <c r="D942" s="306">
        <f t="shared" ca="1" si="414"/>
        <v>-0.8160682682512983</v>
      </c>
      <c r="E942" s="307">
        <f t="shared" ca="1" si="415"/>
        <v>-2.4443607386934234</v>
      </c>
      <c r="F942" s="304">
        <f t="shared" ca="1" si="416"/>
        <v>2.5769879393028852</v>
      </c>
      <c r="G942" s="306">
        <f t="shared" ca="1" si="417"/>
        <v>13.434136538323337</v>
      </c>
      <c r="H942" s="307">
        <f t="shared" ca="1" si="418"/>
        <v>-121.25432141043336</v>
      </c>
      <c r="I942" s="304">
        <f t="shared" ca="1" si="419"/>
        <v>121.99625602958065</v>
      </c>
      <c r="J942" s="306">
        <f t="shared" ca="1" si="420"/>
        <v>859.24597237897774</v>
      </c>
      <c r="K942" s="307">
        <f t="shared" ca="1" si="421"/>
        <v>-14.2050145802316</v>
      </c>
      <c r="L942" s="304">
        <f t="shared" ca="1" si="406"/>
        <v>859.36338267854978</v>
      </c>
      <c r="M942" s="306">
        <f t="shared" ca="1" si="422"/>
        <v>-1.4604532952820453</v>
      </c>
      <c r="N942" s="304">
        <f t="shared" ca="1" si="423"/>
        <v>-83.677809995634576</v>
      </c>
      <c r="P942" s="310">
        <f t="shared" ca="1" si="424"/>
        <v>23</v>
      </c>
      <c r="Q942" s="304">
        <f t="shared" ca="1" si="425"/>
        <v>0</v>
      </c>
      <c r="R942" s="306">
        <f t="shared" ca="1" si="426"/>
        <v>0</v>
      </c>
      <c r="S942" s="307">
        <f t="shared" ca="1" si="427"/>
        <v>8.1379999999999981</v>
      </c>
      <c r="T942" s="304">
        <f t="shared" ca="1" si="407"/>
        <v>79.83377999999999</v>
      </c>
      <c r="U942" s="311">
        <f t="shared" ca="1" si="408"/>
        <v>0</v>
      </c>
      <c r="V942" s="306">
        <f t="shared" ca="1" si="409"/>
        <v>1.2267413510819538</v>
      </c>
      <c r="W942" s="304">
        <f t="shared" ca="1" si="410"/>
        <v>60.308654980448772</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2.3396292861892061</v>
      </c>
      <c r="AH942" s="304">
        <f t="shared" ca="1" si="434"/>
        <v>-7.4107090852459976</v>
      </c>
    </row>
    <row r="943" spans="1:34" x14ac:dyDescent="0.2">
      <c r="A943" s="347">
        <f t="shared" ca="1" si="412"/>
        <v>1E-4</v>
      </c>
      <c r="B943" s="304">
        <f t="shared" ca="1" si="413"/>
        <v>34.523400000000954</v>
      </c>
      <c r="D943" s="306">
        <f t="shared" ca="1" si="414"/>
        <v>-0.81606586555757543</v>
      </c>
      <c r="E943" s="307">
        <f t="shared" ca="1" si="415"/>
        <v>-2.4443228333190996</v>
      </c>
      <c r="F943" s="304">
        <f t="shared" ca="1" si="416"/>
        <v>2.5769512239104073</v>
      </c>
      <c r="G943" s="306">
        <f t="shared" ca="1" si="417"/>
        <v>13.434054931736782</v>
      </c>
      <c r="H943" s="307">
        <f t="shared" ca="1" si="418"/>
        <v>-121.2545658427167</v>
      </c>
      <c r="I943" s="304">
        <f t="shared" ca="1" si="419"/>
        <v>121.99648998891173</v>
      </c>
      <c r="J943" s="306">
        <f t="shared" ca="1" si="420"/>
        <v>859.24597237897774</v>
      </c>
      <c r="K943" s="307">
        <f t="shared" ca="1" si="421"/>
        <v>-14.217140024594258</v>
      </c>
      <c r="L943" s="304">
        <f t="shared" ca="1" si="406"/>
        <v>859.36358319396675</v>
      </c>
      <c r="M943" s="306">
        <f t="shared" ca="1" si="422"/>
        <v>-1.4604541807746265</v>
      </c>
      <c r="N943" s="304">
        <f t="shared" ca="1" si="423"/>
        <v>-83.677860730622271</v>
      </c>
      <c r="P943" s="310">
        <f t="shared" ca="1" si="424"/>
        <v>23</v>
      </c>
      <c r="Q943" s="304">
        <f t="shared" ca="1" si="425"/>
        <v>0</v>
      </c>
      <c r="R943" s="306">
        <f t="shared" ca="1" si="426"/>
        <v>0</v>
      </c>
      <c r="S943" s="307">
        <f t="shared" ca="1" si="427"/>
        <v>8.1379999999999981</v>
      </c>
      <c r="T943" s="304">
        <f t="shared" ca="1" si="407"/>
        <v>79.83377999999999</v>
      </c>
      <c r="U943" s="311">
        <f t="shared" ca="1" si="408"/>
        <v>0</v>
      </c>
      <c r="V943" s="306">
        <f t="shared" ca="1" si="409"/>
        <v>1.2267428385620067</v>
      </c>
      <c r="W943" s="304">
        <f t="shared" ca="1" si="410"/>
        <v>60.308959422802182</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2.3395928325108839</v>
      </c>
      <c r="AH943" s="304">
        <f t="shared" ca="1" si="434"/>
        <v>-7.4107464955085751</v>
      </c>
    </row>
    <row r="944" spans="1:34" x14ac:dyDescent="0.2">
      <c r="A944" s="347">
        <f t="shared" ca="1" si="412"/>
        <v>1E-4</v>
      </c>
      <c r="B944" s="304">
        <f t="shared" ca="1" si="413"/>
        <v>34.523500000000958</v>
      </c>
      <c r="D944" s="306">
        <f t="shared" ca="1" si="414"/>
        <v>-0.81606346283001874</v>
      </c>
      <c r="E944" s="307">
        <f t="shared" ca="1" si="415"/>
        <v>-2.4442849282390702</v>
      </c>
      <c r="F944" s="304">
        <f t="shared" ca="1" si="416"/>
        <v>2.5769145088230609</v>
      </c>
      <c r="G944" s="306">
        <f t="shared" ca="1" si="417"/>
        <v>13.433973325390498</v>
      </c>
      <c r="H944" s="307">
        <f t="shared" ca="1" si="418"/>
        <v>-121.25481027120952</v>
      </c>
      <c r="I944" s="304">
        <f t="shared" ca="1" si="419"/>
        <v>121.99672394459746</v>
      </c>
      <c r="J944" s="306">
        <f t="shared" ca="1" si="420"/>
        <v>859.24597237897774</v>
      </c>
      <c r="K944" s="307">
        <f t="shared" ca="1" si="421"/>
        <v>-14.229265493399954</v>
      </c>
      <c r="L944" s="304">
        <f t="shared" ca="1" si="406"/>
        <v>859.36378388082926</v>
      </c>
      <c r="M944" s="306">
        <f t="shared" ca="1" si="422"/>
        <v>-1.4604550662584326</v>
      </c>
      <c r="N944" s="304">
        <f t="shared" ca="1" si="423"/>
        <v>-83.677911465107186</v>
      </c>
      <c r="P944" s="310">
        <f t="shared" ca="1" si="424"/>
        <v>23</v>
      </c>
      <c r="Q944" s="304">
        <f t="shared" ca="1" si="425"/>
        <v>0</v>
      </c>
      <c r="R944" s="306">
        <f t="shared" ca="1" si="426"/>
        <v>0</v>
      </c>
      <c r="S944" s="307">
        <f t="shared" ca="1" si="427"/>
        <v>8.1379999999999981</v>
      </c>
      <c r="T944" s="304">
        <f t="shared" ca="1" si="407"/>
        <v>79.83377999999999</v>
      </c>
      <c r="U944" s="311">
        <f t="shared" ca="1" si="408"/>
        <v>0</v>
      </c>
      <c r="V944" s="306">
        <f t="shared" ca="1" si="409"/>
        <v>1.2267443260468629</v>
      </c>
      <c r="W944" s="304">
        <f t="shared" ca="1" si="410"/>
        <v>60.309263862792164</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2.3395563791058605</v>
      </c>
      <c r="AH944" s="304">
        <f t="shared" ca="1" si="434"/>
        <v>-7.4107839054807316</v>
      </c>
    </row>
    <row r="945" spans="1:34" x14ac:dyDescent="0.2">
      <c r="A945" s="347">
        <f t="shared" ca="1" si="412"/>
        <v>1E-4</v>
      </c>
      <c r="B945" s="304">
        <f t="shared" ca="1" si="413"/>
        <v>34.523600000000961</v>
      </c>
      <c r="D945" s="306">
        <f t="shared" ca="1" si="414"/>
        <v>-0.81606106006862833</v>
      </c>
      <c r="E945" s="307">
        <f t="shared" ca="1" si="415"/>
        <v>-2.4442470234533342</v>
      </c>
      <c r="F945" s="304">
        <f t="shared" ca="1" si="416"/>
        <v>2.576877794040846</v>
      </c>
      <c r="G945" s="306">
        <f t="shared" ca="1" si="417"/>
        <v>13.433891719284492</v>
      </c>
      <c r="H945" s="307">
        <f t="shared" ca="1" si="418"/>
        <v>-121.25505469591187</v>
      </c>
      <c r="I945" s="304">
        <f t="shared" ca="1" si="419"/>
        <v>121.99695789663789</v>
      </c>
      <c r="J945" s="306">
        <f t="shared" ca="1" si="420"/>
        <v>859.24597237897774</v>
      </c>
      <c r="K945" s="307">
        <f t="shared" ca="1" si="421"/>
        <v>-14.241390986648309</v>
      </c>
      <c r="L945" s="304">
        <f t="shared" ca="1" si="406"/>
        <v>859.36398473913812</v>
      </c>
      <c r="M945" s="306">
        <f t="shared" ca="1" si="422"/>
        <v>-1.4604559517334637</v>
      </c>
      <c r="N945" s="304">
        <f t="shared" ca="1" si="423"/>
        <v>-83.677962199089336</v>
      </c>
      <c r="P945" s="310">
        <f t="shared" ca="1" si="424"/>
        <v>23</v>
      </c>
      <c r="Q945" s="304">
        <f t="shared" ca="1" si="425"/>
        <v>0</v>
      </c>
      <c r="R945" s="306">
        <f t="shared" ca="1" si="426"/>
        <v>0</v>
      </c>
      <c r="S945" s="307">
        <f t="shared" ca="1" si="427"/>
        <v>8.1379999999999981</v>
      </c>
      <c r="T945" s="304">
        <f t="shared" ca="1" si="407"/>
        <v>79.83377999999999</v>
      </c>
      <c r="U945" s="311">
        <f t="shared" ca="1" si="408"/>
        <v>0</v>
      </c>
      <c r="V945" s="306">
        <f t="shared" ca="1" si="409"/>
        <v>1.2267458135365226</v>
      </c>
      <c r="W945" s="304">
        <f t="shared" ca="1" si="410"/>
        <v>60.309568300418682</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2.3395199259741295</v>
      </c>
      <c r="AH945" s="304">
        <f t="shared" ca="1" si="434"/>
        <v>-7.4108213151624698</v>
      </c>
    </row>
    <row r="946" spans="1:34" x14ac:dyDescent="0.2">
      <c r="A946" s="347">
        <f t="shared" ca="1" si="412"/>
        <v>1E-4</v>
      </c>
      <c r="B946" s="304">
        <f t="shared" ca="1" si="413"/>
        <v>34.523700000000964</v>
      </c>
      <c r="D946" s="306">
        <f t="shared" ca="1" si="414"/>
        <v>-0.81605865727340376</v>
      </c>
      <c r="E946" s="307">
        <f t="shared" ca="1" si="415"/>
        <v>-2.444209118961898</v>
      </c>
      <c r="F946" s="304">
        <f t="shared" ca="1" si="416"/>
        <v>2.5768410795637684</v>
      </c>
      <c r="G946" s="306">
        <f t="shared" ca="1" si="417"/>
        <v>13.433810113418765</v>
      </c>
      <c r="H946" s="307">
        <f t="shared" ca="1" si="418"/>
        <v>-121.25529911682376</v>
      </c>
      <c r="I946" s="304">
        <f t="shared" ca="1" si="419"/>
        <v>121.99719184503303</v>
      </c>
      <c r="J946" s="306">
        <f t="shared" ca="1" si="420"/>
        <v>859.24597237897774</v>
      </c>
      <c r="K946" s="307">
        <f t="shared" ca="1" si="421"/>
        <v>-14.253516504338945</v>
      </c>
      <c r="L946" s="304">
        <f t="shared" ca="1" si="406"/>
        <v>859.36418576889412</v>
      </c>
      <c r="M946" s="306">
        <f t="shared" ca="1" si="422"/>
        <v>-1.4604568371997195</v>
      </c>
      <c r="N946" s="304">
        <f t="shared" ca="1" si="423"/>
        <v>-83.678012932568691</v>
      </c>
      <c r="P946" s="310">
        <f t="shared" ca="1" si="424"/>
        <v>23</v>
      </c>
      <c r="Q946" s="304">
        <f t="shared" ca="1" si="425"/>
        <v>0</v>
      </c>
      <c r="R946" s="306">
        <f t="shared" ca="1" si="426"/>
        <v>0</v>
      </c>
      <c r="S946" s="307">
        <f t="shared" ca="1" si="427"/>
        <v>8.1379999999999981</v>
      </c>
      <c r="T946" s="304">
        <f t="shared" ca="1" si="407"/>
        <v>79.83377999999999</v>
      </c>
      <c r="U946" s="311">
        <f t="shared" ca="1" si="408"/>
        <v>0</v>
      </c>
      <c r="V946" s="306">
        <f t="shared" ca="1" si="409"/>
        <v>1.2267473010309855</v>
      </c>
      <c r="W946" s="304">
        <f t="shared" ca="1" si="410"/>
        <v>60.309872735681765</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2.3394834731156964</v>
      </c>
      <c r="AH946" s="304">
        <f t="shared" ca="1" si="434"/>
        <v>-7.4108587245537842</v>
      </c>
    </row>
    <row r="947" spans="1:34" x14ac:dyDescent="0.2">
      <c r="A947" s="347">
        <f t="shared" ca="1" si="412"/>
        <v>1E-4</v>
      </c>
      <c r="B947" s="304">
        <f t="shared" ca="1" si="413"/>
        <v>34.523800000000968</v>
      </c>
      <c r="D947" s="306">
        <f t="shared" ca="1" si="414"/>
        <v>-0.81605625444434915</v>
      </c>
      <c r="E947" s="307">
        <f t="shared" ca="1" si="415"/>
        <v>-2.4441712147647552</v>
      </c>
      <c r="F947" s="304">
        <f t="shared" ca="1" si="416"/>
        <v>2.5768043653918236</v>
      </c>
      <c r="G947" s="306">
        <f t="shared" ca="1" si="417"/>
        <v>13.433728507793321</v>
      </c>
      <c r="H947" s="307">
        <f t="shared" ca="1" si="418"/>
        <v>-121.25554353394524</v>
      </c>
      <c r="I947" s="304">
        <f t="shared" ca="1" si="419"/>
        <v>121.99742578978291</v>
      </c>
      <c r="J947" s="306">
        <f t="shared" ca="1" si="420"/>
        <v>859.24597237897774</v>
      </c>
      <c r="K947" s="307">
        <f t="shared" ca="1" si="421"/>
        <v>-14.265642046471484</v>
      </c>
      <c r="L947" s="304">
        <f t="shared" ca="1" si="406"/>
        <v>859.36438697009839</v>
      </c>
      <c r="M947" s="306">
        <f t="shared" ca="1" si="422"/>
        <v>-1.4604577226572009</v>
      </c>
      <c r="N947" s="304">
        <f t="shared" ca="1" si="423"/>
        <v>-83.678063665545309</v>
      </c>
      <c r="P947" s="310">
        <f t="shared" ca="1" si="424"/>
        <v>23</v>
      </c>
      <c r="Q947" s="304">
        <f t="shared" ca="1" si="425"/>
        <v>0</v>
      </c>
      <c r="R947" s="306">
        <f t="shared" ca="1" si="426"/>
        <v>0</v>
      </c>
      <c r="S947" s="307">
        <f t="shared" ca="1" si="427"/>
        <v>8.1379999999999981</v>
      </c>
      <c r="T947" s="304">
        <f t="shared" ca="1" si="407"/>
        <v>79.83377999999999</v>
      </c>
      <c r="U947" s="311">
        <f t="shared" ca="1" si="408"/>
        <v>0</v>
      </c>
      <c r="V947" s="306">
        <f t="shared" ca="1" si="409"/>
        <v>1.2267487885302519</v>
      </c>
      <c r="W947" s="304">
        <f t="shared" ca="1" si="410"/>
        <v>60.310177168581376</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2.3394470205305602</v>
      </c>
      <c r="AH947" s="304">
        <f t="shared" ca="1" si="434"/>
        <v>-7.4108961336546795</v>
      </c>
    </row>
    <row r="948" spans="1:34" x14ac:dyDescent="0.2">
      <c r="A948" s="347">
        <f t="shared" ca="1" si="412"/>
        <v>1E-4</v>
      </c>
      <c r="B948" s="304">
        <f t="shared" ca="1" si="413"/>
        <v>34.523900000000971</v>
      </c>
      <c r="D948" s="306">
        <f t="shared" ca="1" si="414"/>
        <v>-0.81605385158146049</v>
      </c>
      <c r="E948" s="307">
        <f t="shared" ca="1" si="415"/>
        <v>-2.4441333108619103</v>
      </c>
      <c r="F948" s="304">
        <f t="shared" ca="1" si="416"/>
        <v>2.5767676515250146</v>
      </c>
      <c r="G948" s="306">
        <f t="shared" ca="1" si="417"/>
        <v>13.433646902408162</v>
      </c>
      <c r="H948" s="307">
        <f t="shared" ca="1" si="418"/>
        <v>-121.25578794727633</v>
      </c>
      <c r="I948" s="304">
        <f t="shared" ca="1" si="419"/>
        <v>121.99765973088756</v>
      </c>
      <c r="J948" s="306">
        <f t="shared" ca="1" si="420"/>
        <v>859.24597237897774</v>
      </c>
      <c r="K948" s="307">
        <f t="shared" ca="1" si="421"/>
        <v>-14.277767613045546</v>
      </c>
      <c r="L948" s="304">
        <f t="shared" ca="1" si="406"/>
        <v>859.36458834275163</v>
      </c>
      <c r="M948" s="306">
        <f t="shared" ca="1" si="422"/>
        <v>-1.4604586081059072</v>
      </c>
      <c r="N948" s="304">
        <f t="shared" ca="1" si="423"/>
        <v>-83.678114398019162</v>
      </c>
      <c r="P948" s="310">
        <f t="shared" ca="1" si="424"/>
        <v>23</v>
      </c>
      <c r="Q948" s="304">
        <f t="shared" ca="1" si="425"/>
        <v>0</v>
      </c>
      <c r="R948" s="306">
        <f t="shared" ca="1" si="426"/>
        <v>0</v>
      </c>
      <c r="S948" s="307">
        <f t="shared" ca="1" si="427"/>
        <v>8.1379999999999981</v>
      </c>
      <c r="T948" s="304">
        <f t="shared" ca="1" si="407"/>
        <v>79.83377999999999</v>
      </c>
      <c r="U948" s="311">
        <f t="shared" ca="1" si="408"/>
        <v>0</v>
      </c>
      <c r="V948" s="306">
        <f t="shared" ca="1" si="409"/>
        <v>1.2267502760343221</v>
      </c>
      <c r="W948" s="304">
        <f t="shared" ca="1" si="410"/>
        <v>60.310481599117558</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2.3394105682187245</v>
      </c>
      <c r="AH948" s="304">
        <f t="shared" ca="1" si="434"/>
        <v>-7.4109335424651501</v>
      </c>
    </row>
    <row r="949" spans="1:34" x14ac:dyDescent="0.2">
      <c r="A949" s="347">
        <f t="shared" ca="1" si="412"/>
        <v>1E-4</v>
      </c>
      <c r="B949" s="304">
        <f t="shared" ca="1" si="413"/>
        <v>34.524000000000974</v>
      </c>
      <c r="D949" s="306">
        <f t="shared" ca="1" si="414"/>
        <v>-0.81605144868474344</v>
      </c>
      <c r="E949" s="307">
        <f t="shared" ca="1" si="415"/>
        <v>-2.4440954072533616</v>
      </c>
      <c r="F949" s="304">
        <f t="shared" ca="1" si="416"/>
        <v>2.5767309379633421</v>
      </c>
      <c r="G949" s="306">
        <f t="shared" ca="1" si="417"/>
        <v>13.433565297263293</v>
      </c>
      <c r="H949" s="307">
        <f t="shared" ca="1" si="418"/>
        <v>-121.25603235681706</v>
      </c>
      <c r="I949" s="304">
        <f t="shared" ca="1" si="419"/>
        <v>121.997893668347</v>
      </c>
      <c r="J949" s="306">
        <f t="shared" ca="1" si="420"/>
        <v>859.24597237897774</v>
      </c>
      <c r="K949" s="307">
        <f t="shared" ca="1" si="421"/>
        <v>-14.28989320406075</v>
      </c>
      <c r="L949" s="304">
        <f t="shared" ca="1" si="406"/>
        <v>859.36478988685496</v>
      </c>
      <c r="M949" s="306">
        <f t="shared" ca="1" si="422"/>
        <v>-1.460459493545839</v>
      </c>
      <c r="N949" s="304">
        <f t="shared" ca="1" si="423"/>
        <v>-83.678165129990276</v>
      </c>
      <c r="P949" s="310">
        <f t="shared" ca="1" si="424"/>
        <v>23</v>
      </c>
      <c r="Q949" s="304">
        <f t="shared" ca="1" si="425"/>
        <v>0</v>
      </c>
      <c r="R949" s="306">
        <f t="shared" ca="1" si="426"/>
        <v>0</v>
      </c>
      <c r="S949" s="307">
        <f t="shared" ca="1" si="427"/>
        <v>8.1379999999999981</v>
      </c>
      <c r="T949" s="304">
        <f t="shared" ca="1" si="407"/>
        <v>79.83377999999999</v>
      </c>
      <c r="U949" s="311">
        <f t="shared" ca="1" si="408"/>
        <v>0</v>
      </c>
      <c r="V949" s="306">
        <f t="shared" ca="1" si="409"/>
        <v>1.2267517635431953</v>
      </c>
      <c r="W949" s="304">
        <f t="shared" ca="1" si="410"/>
        <v>60.310786027290256</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2.3393741161801858</v>
      </c>
      <c r="AH949" s="304">
        <f t="shared" ca="1" si="434"/>
        <v>-7.4109709509852015</v>
      </c>
    </row>
    <row r="950" spans="1:34" x14ac:dyDescent="0.2">
      <c r="A950" s="347">
        <f t="shared" ca="1" si="412"/>
        <v>1E-4</v>
      </c>
      <c r="B950" s="304">
        <f t="shared" ca="1" si="413"/>
        <v>34.524100000000978</v>
      </c>
      <c r="D950" s="306">
        <f t="shared" ca="1" si="414"/>
        <v>-0.81604904575419601</v>
      </c>
      <c r="E950" s="307">
        <f t="shared" ca="1" si="415"/>
        <v>-2.4440575039391117</v>
      </c>
      <c r="F950" s="304">
        <f t="shared" ca="1" si="416"/>
        <v>2.5766942247068072</v>
      </c>
      <c r="G950" s="306">
        <f t="shared" ca="1" si="417"/>
        <v>13.433483692358717</v>
      </c>
      <c r="H950" s="307">
        <f t="shared" ca="1" si="418"/>
        <v>-121.25627676256745</v>
      </c>
      <c r="I950" s="304">
        <f t="shared" ca="1" si="419"/>
        <v>121.99812760216126</v>
      </c>
      <c r="J950" s="306">
        <f t="shared" ca="1" si="420"/>
        <v>859.24597237897774</v>
      </c>
      <c r="K950" s="307">
        <f t="shared" ca="1" si="421"/>
        <v>-14.30201881951672</v>
      </c>
      <c r="L950" s="304">
        <f t="shared" ca="1" si="406"/>
        <v>859.36499160240919</v>
      </c>
      <c r="M950" s="306">
        <f t="shared" ca="1" si="422"/>
        <v>-1.4604603789769963</v>
      </c>
      <c r="N950" s="304">
        <f t="shared" ca="1" si="423"/>
        <v>-83.678215861458625</v>
      </c>
      <c r="P950" s="310">
        <f t="shared" ca="1" si="424"/>
        <v>23</v>
      </c>
      <c r="Q950" s="304">
        <f t="shared" ca="1" si="425"/>
        <v>0</v>
      </c>
      <c r="R950" s="306">
        <f t="shared" ca="1" si="426"/>
        <v>0</v>
      </c>
      <c r="S950" s="307">
        <f t="shared" ca="1" si="427"/>
        <v>8.1379999999999981</v>
      </c>
      <c r="T950" s="304">
        <f t="shared" ca="1" si="407"/>
        <v>79.83377999999999</v>
      </c>
      <c r="U950" s="311">
        <f t="shared" ca="1" si="408"/>
        <v>0</v>
      </c>
      <c r="V950" s="306">
        <f t="shared" ca="1" si="409"/>
        <v>1.2267532510568711</v>
      </c>
      <c r="W950" s="304">
        <f t="shared" ca="1" si="410"/>
        <v>60.311090453099453</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2.3393376644149484</v>
      </c>
      <c r="AH950" s="304">
        <f t="shared" ca="1" si="434"/>
        <v>-7.4110083592148275</v>
      </c>
    </row>
    <row r="951" spans="1:34" x14ac:dyDescent="0.2">
      <c r="A951" s="347">
        <f t="shared" ca="1" si="412"/>
        <v>1E-4</v>
      </c>
      <c r="B951" s="304">
        <f t="shared" ca="1" si="413"/>
        <v>34.524200000000981</v>
      </c>
      <c r="D951" s="306">
        <f t="shared" ca="1" si="414"/>
        <v>-0.81604664278981953</v>
      </c>
      <c r="E951" s="307">
        <f t="shared" ca="1" si="415"/>
        <v>-2.4440196009191641</v>
      </c>
      <c r="F951" s="304">
        <f t="shared" ca="1" si="416"/>
        <v>2.5766575117554149</v>
      </c>
      <c r="G951" s="306">
        <f t="shared" ca="1" si="417"/>
        <v>13.433402087694438</v>
      </c>
      <c r="H951" s="307">
        <f t="shared" ca="1" si="418"/>
        <v>-121.25652116452754</v>
      </c>
      <c r="I951" s="304">
        <f t="shared" ca="1" si="419"/>
        <v>121.99836153233038</v>
      </c>
      <c r="J951" s="306">
        <f t="shared" ca="1" si="420"/>
        <v>859.24597237897774</v>
      </c>
      <c r="K951" s="307">
        <f t="shared" ca="1" si="421"/>
        <v>-14.314144459413075</v>
      </c>
      <c r="L951" s="304">
        <f t="shared" ca="1" si="406"/>
        <v>859.36519348941511</v>
      </c>
      <c r="M951" s="306">
        <f t="shared" ca="1" si="422"/>
        <v>-1.4604612643993793</v>
      </c>
      <c r="N951" s="304">
        <f t="shared" ca="1" si="423"/>
        <v>-83.678266592424265</v>
      </c>
      <c r="P951" s="310">
        <f t="shared" ca="1" si="424"/>
        <v>23</v>
      </c>
      <c r="Q951" s="304">
        <f t="shared" ca="1" si="425"/>
        <v>0</v>
      </c>
      <c r="R951" s="306">
        <f t="shared" ca="1" si="426"/>
        <v>0</v>
      </c>
      <c r="S951" s="307">
        <f t="shared" ca="1" si="427"/>
        <v>8.1379999999999981</v>
      </c>
      <c r="T951" s="304">
        <f t="shared" ca="1" si="407"/>
        <v>79.83377999999999</v>
      </c>
      <c r="U951" s="311">
        <f t="shared" ca="1" si="408"/>
        <v>0</v>
      </c>
      <c r="V951" s="306">
        <f t="shared" ca="1" si="409"/>
        <v>1.2267547385753512</v>
      </c>
      <c r="W951" s="304">
        <f t="shared" ca="1" si="410"/>
        <v>60.311394876545222</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2.339301212923016</v>
      </c>
      <c r="AH951" s="304">
        <f t="shared" ca="1" si="434"/>
        <v>-7.4110457671540262</v>
      </c>
    </row>
    <row r="952" spans="1:34" x14ac:dyDescent="0.2">
      <c r="A952" s="347">
        <f t="shared" ca="1" si="412"/>
        <v>1E-4</v>
      </c>
      <c r="B952" s="304">
        <f t="shared" ca="1" si="413"/>
        <v>34.524300000000984</v>
      </c>
      <c r="D952" s="306">
        <f t="shared" ca="1" si="414"/>
        <v>-0.81604423979161533</v>
      </c>
      <c r="E952" s="307">
        <f t="shared" ca="1" si="415"/>
        <v>-2.443981698193511</v>
      </c>
      <c r="F952" s="304">
        <f t="shared" ca="1" si="416"/>
        <v>2.5766207991091572</v>
      </c>
      <c r="G952" s="306">
        <f t="shared" ca="1" si="417"/>
        <v>13.433320483270458</v>
      </c>
      <c r="H952" s="307">
        <f t="shared" ca="1" si="418"/>
        <v>-121.25676556269737</v>
      </c>
      <c r="I952" s="304">
        <f t="shared" ca="1" si="419"/>
        <v>121.99859545885438</v>
      </c>
      <c r="J952" s="306">
        <f t="shared" ca="1" si="420"/>
        <v>859.24597237897774</v>
      </c>
      <c r="K952" s="307">
        <f t="shared" ca="1" si="421"/>
        <v>-14.326270123749437</v>
      </c>
      <c r="L952" s="304">
        <f t="shared" ca="1" si="406"/>
        <v>859.36539554787385</v>
      </c>
      <c r="M952" s="306">
        <f t="shared" ca="1" si="422"/>
        <v>-1.4604621498129882</v>
      </c>
      <c r="N952" s="304">
        <f t="shared" ca="1" si="423"/>
        <v>-83.678317322887168</v>
      </c>
      <c r="P952" s="310">
        <f t="shared" ca="1" si="424"/>
        <v>23</v>
      </c>
      <c r="Q952" s="304">
        <f t="shared" ca="1" si="425"/>
        <v>0</v>
      </c>
      <c r="R952" s="306">
        <f t="shared" ca="1" si="426"/>
        <v>0</v>
      </c>
      <c r="S952" s="307">
        <f t="shared" ca="1" si="427"/>
        <v>8.1379999999999981</v>
      </c>
      <c r="T952" s="304">
        <f t="shared" ca="1" si="407"/>
        <v>79.83377999999999</v>
      </c>
      <c r="U952" s="311">
        <f t="shared" ca="1" si="408"/>
        <v>0</v>
      </c>
      <c r="V952" s="306">
        <f t="shared" ca="1" si="409"/>
        <v>1.226756226098634</v>
      </c>
      <c r="W952" s="304">
        <f t="shared" ca="1" si="410"/>
        <v>60.311699297627506</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2.3392647617043796</v>
      </c>
      <c r="AH952" s="304">
        <f t="shared" ca="1" si="434"/>
        <v>-7.4110831748028065</v>
      </c>
    </row>
    <row r="953" spans="1:34" x14ac:dyDescent="0.2">
      <c r="A953" s="347">
        <f t="shared" ca="1" si="412"/>
        <v>1E-4</v>
      </c>
      <c r="B953" s="304">
        <f t="shared" ca="1" si="413"/>
        <v>34.524400000000988</v>
      </c>
      <c r="D953" s="306">
        <f t="shared" ca="1" si="414"/>
        <v>-0.81604183675958231</v>
      </c>
      <c r="E953" s="307">
        <f t="shared" ca="1" si="415"/>
        <v>-2.4439437957621584</v>
      </c>
      <c r="F953" s="304">
        <f t="shared" ca="1" si="416"/>
        <v>2.5765840867680407</v>
      </c>
      <c r="G953" s="306">
        <f t="shared" ca="1" si="417"/>
        <v>13.433238879086783</v>
      </c>
      <c r="H953" s="307">
        <f t="shared" ca="1" si="418"/>
        <v>-121.25700995707695</v>
      </c>
      <c r="I953" s="304">
        <f t="shared" ca="1" si="419"/>
        <v>121.99882938173329</v>
      </c>
      <c r="J953" s="306">
        <f t="shared" ca="1" si="420"/>
        <v>859.24597237897774</v>
      </c>
      <c r="K953" s="307">
        <f t="shared" ca="1" si="421"/>
        <v>-14.338395812525425</v>
      </c>
      <c r="L953" s="304">
        <f t="shared" ca="1" si="406"/>
        <v>859.36559777778609</v>
      </c>
      <c r="M953" s="306">
        <f t="shared" ca="1" si="422"/>
        <v>-1.4604630352178227</v>
      </c>
      <c r="N953" s="304">
        <f t="shared" ca="1" si="423"/>
        <v>-83.678368052847361</v>
      </c>
      <c r="P953" s="310">
        <f t="shared" ca="1" si="424"/>
        <v>23</v>
      </c>
      <c r="Q953" s="304">
        <f t="shared" ca="1" si="425"/>
        <v>0</v>
      </c>
      <c r="R953" s="306">
        <f t="shared" ca="1" si="426"/>
        <v>0</v>
      </c>
      <c r="S953" s="307">
        <f t="shared" ca="1" si="427"/>
        <v>8.1379999999999981</v>
      </c>
      <c r="T953" s="304">
        <f t="shared" ca="1" si="407"/>
        <v>79.83377999999999</v>
      </c>
      <c r="U953" s="311">
        <f t="shared" ca="1" si="408"/>
        <v>0</v>
      </c>
      <c r="V953" s="306">
        <f t="shared" ca="1" si="409"/>
        <v>1.2267577136267198</v>
      </c>
      <c r="W953" s="304">
        <f t="shared" ca="1" si="410"/>
        <v>60.312003716346304</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2.3392283107590499</v>
      </c>
      <c r="AH953" s="304">
        <f t="shared" ca="1" si="434"/>
        <v>-7.4111205821611597</v>
      </c>
    </row>
    <row r="954" spans="1:34" x14ac:dyDescent="0.2">
      <c r="A954" s="347">
        <f t="shared" ca="1" si="412"/>
        <v>1E-4</v>
      </c>
      <c r="B954" s="304">
        <f t="shared" ca="1" si="413"/>
        <v>34.524500000000991</v>
      </c>
      <c r="D954" s="306">
        <f t="shared" ca="1" si="414"/>
        <v>-0.81603943369372434</v>
      </c>
      <c r="E954" s="307">
        <f t="shared" ca="1" si="415"/>
        <v>-2.4439058936251055</v>
      </c>
      <c r="F954" s="304">
        <f t="shared" ca="1" si="416"/>
        <v>2.576547374732066</v>
      </c>
      <c r="G954" s="306">
        <f t="shared" ca="1" si="417"/>
        <v>13.433157275143413</v>
      </c>
      <c r="H954" s="307">
        <f t="shared" ca="1" si="418"/>
        <v>-121.2572543476663</v>
      </c>
      <c r="I954" s="304">
        <f t="shared" ca="1" si="419"/>
        <v>121.99906330096709</v>
      </c>
      <c r="J954" s="306">
        <f t="shared" ca="1" si="420"/>
        <v>859.24597237897774</v>
      </c>
      <c r="K954" s="307">
        <f t="shared" ca="1" si="421"/>
        <v>-14.350521525740662</v>
      </c>
      <c r="L954" s="304">
        <f t="shared" ca="1" si="406"/>
        <v>859.36580017915287</v>
      </c>
      <c r="M954" s="306">
        <f t="shared" ca="1" si="422"/>
        <v>-1.4604639206138836</v>
      </c>
      <c r="N954" s="304">
        <f t="shared" ca="1" si="423"/>
        <v>-83.678418782304846</v>
      </c>
      <c r="P954" s="310">
        <f t="shared" ca="1" si="424"/>
        <v>23</v>
      </c>
      <c r="Q954" s="304">
        <f t="shared" ca="1" si="425"/>
        <v>0</v>
      </c>
      <c r="R954" s="306">
        <f t="shared" ca="1" si="426"/>
        <v>0</v>
      </c>
      <c r="S954" s="307">
        <f t="shared" ca="1" si="427"/>
        <v>8.1379999999999981</v>
      </c>
      <c r="T954" s="304">
        <f t="shared" ca="1" si="407"/>
        <v>79.83377999999999</v>
      </c>
      <c r="U954" s="311">
        <f t="shared" ca="1" si="408"/>
        <v>0</v>
      </c>
      <c r="V954" s="306">
        <f t="shared" ca="1" si="409"/>
        <v>1.2267592011596085</v>
      </c>
      <c r="W954" s="304">
        <f t="shared" ca="1" si="410"/>
        <v>60.31230813270156</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2.3391918600870225</v>
      </c>
      <c r="AH954" s="304">
        <f t="shared" ca="1" si="434"/>
        <v>-7.4111579892290882</v>
      </c>
    </row>
    <row r="955" spans="1:34" x14ac:dyDescent="0.2">
      <c r="A955" s="347">
        <f t="shared" ca="1" si="412"/>
        <v>1E-4</v>
      </c>
      <c r="B955" s="304">
        <f t="shared" ca="1" si="413"/>
        <v>34.524600000000994</v>
      </c>
      <c r="D955" s="306">
        <f t="shared" ca="1" si="414"/>
        <v>-0.8160370305940372</v>
      </c>
      <c r="E955" s="307">
        <f t="shared" ca="1" si="415"/>
        <v>-2.4438679917823602</v>
      </c>
      <c r="F955" s="304">
        <f t="shared" ca="1" si="416"/>
        <v>2.5765106630012382</v>
      </c>
      <c r="G955" s="306">
        <f t="shared" ca="1" si="417"/>
        <v>13.433075671440355</v>
      </c>
      <c r="H955" s="307">
        <f t="shared" ca="1" si="418"/>
        <v>-121.25749873446549</v>
      </c>
      <c r="I955" s="304">
        <f t="shared" ca="1" si="419"/>
        <v>121.99929721655589</v>
      </c>
      <c r="J955" s="306">
        <f t="shared" ca="1" si="420"/>
        <v>859.24597237897774</v>
      </c>
      <c r="K955" s="307">
        <f t="shared" ca="1" si="421"/>
        <v>-14.362647263394768</v>
      </c>
      <c r="L955" s="304">
        <f t="shared" ca="1" si="406"/>
        <v>859.36600275197509</v>
      </c>
      <c r="M955" s="306">
        <f t="shared" ca="1" si="422"/>
        <v>-1.4604648060011705</v>
      </c>
      <c r="N955" s="304">
        <f t="shared" ca="1" si="423"/>
        <v>-83.678469511259607</v>
      </c>
      <c r="P955" s="310">
        <f t="shared" ca="1" si="424"/>
        <v>23</v>
      </c>
      <c r="Q955" s="304">
        <f t="shared" ca="1" si="425"/>
        <v>0</v>
      </c>
      <c r="R955" s="306">
        <f t="shared" ca="1" si="426"/>
        <v>0</v>
      </c>
      <c r="S955" s="307">
        <f t="shared" ca="1" si="427"/>
        <v>8.1379999999999981</v>
      </c>
      <c r="T955" s="304">
        <f t="shared" ca="1" si="407"/>
        <v>79.83377999999999</v>
      </c>
      <c r="U955" s="311">
        <f t="shared" ca="1" si="408"/>
        <v>0</v>
      </c>
      <c r="V955" s="306">
        <f t="shared" ca="1" si="409"/>
        <v>1.2267606886973008</v>
      </c>
      <c r="W955" s="304">
        <f t="shared" ca="1" si="410"/>
        <v>60.312612546693401</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2.339155409688308</v>
      </c>
      <c r="AH955" s="304">
        <f t="shared" ca="1" si="434"/>
        <v>-7.4111953960065833</v>
      </c>
    </row>
    <row r="956" spans="1:34" x14ac:dyDescent="0.2">
      <c r="A956" s="347">
        <f t="shared" ca="1" si="412"/>
        <v>1E-4</v>
      </c>
      <c r="B956" s="304">
        <f t="shared" ca="1" si="413"/>
        <v>34.524700000000998</v>
      </c>
      <c r="D956" s="306">
        <f t="shared" ca="1" si="414"/>
        <v>-0.81603462746052757</v>
      </c>
      <c r="E956" s="307">
        <f t="shared" ca="1" si="415"/>
        <v>-2.4438300902339076</v>
      </c>
      <c r="F956" s="304">
        <f t="shared" ca="1" si="416"/>
        <v>2.5764739515755464</v>
      </c>
      <c r="G956" s="306">
        <f t="shared" ca="1" si="417"/>
        <v>13.432994067977608</v>
      </c>
      <c r="H956" s="307">
        <f t="shared" ca="1" si="418"/>
        <v>-121.2577431174745</v>
      </c>
      <c r="I956" s="304">
        <f t="shared" ca="1" si="419"/>
        <v>121.99953112849967</v>
      </c>
      <c r="J956" s="306">
        <f t="shared" ca="1" si="420"/>
        <v>859.24597237897774</v>
      </c>
      <c r="K956" s="307">
        <f t="shared" ca="1" si="421"/>
        <v>-14.374773025487364</v>
      </c>
      <c r="L956" s="304">
        <f t="shared" ca="1" si="406"/>
        <v>859.36620549625366</v>
      </c>
      <c r="M956" s="306">
        <f t="shared" ca="1" si="422"/>
        <v>-1.4604656913796839</v>
      </c>
      <c r="N956" s="304">
        <f t="shared" ca="1" si="423"/>
        <v>-83.678520239711702</v>
      </c>
      <c r="P956" s="310">
        <f t="shared" ca="1" si="424"/>
        <v>23</v>
      </c>
      <c r="Q956" s="304">
        <f t="shared" ca="1" si="425"/>
        <v>0</v>
      </c>
      <c r="R956" s="306">
        <f t="shared" ca="1" si="426"/>
        <v>0</v>
      </c>
      <c r="S956" s="307">
        <f t="shared" ca="1" si="427"/>
        <v>8.1379999999999981</v>
      </c>
      <c r="T956" s="304">
        <f t="shared" ca="1" si="407"/>
        <v>79.83377999999999</v>
      </c>
      <c r="U956" s="311">
        <f t="shared" ca="1" si="408"/>
        <v>0</v>
      </c>
      <c r="V956" s="306">
        <f t="shared" ca="1" si="409"/>
        <v>1.2267621762397962</v>
      </c>
      <c r="W956" s="304">
        <f t="shared" ca="1" si="410"/>
        <v>60.312916958321736</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2.3391189595628905</v>
      </c>
      <c r="AH956" s="304">
        <f t="shared" ca="1" si="434"/>
        <v>-7.4112328024936609</v>
      </c>
    </row>
    <row r="957" spans="1:34" x14ac:dyDescent="0.2">
      <c r="A957" s="347">
        <f t="shared" ca="1" si="412"/>
        <v>1E-4</v>
      </c>
      <c r="B957" s="304">
        <f t="shared" ca="1" si="413"/>
        <v>34.524800000001001</v>
      </c>
      <c r="D957" s="306">
        <f t="shared" ca="1" si="414"/>
        <v>-0.81603222429319155</v>
      </c>
      <c r="E957" s="307">
        <f t="shared" ca="1" si="415"/>
        <v>-2.4437921889797574</v>
      </c>
      <c r="F957" s="304">
        <f t="shared" ca="1" si="416"/>
        <v>2.5764372404549984</v>
      </c>
      <c r="G957" s="306">
        <f t="shared" ca="1" si="417"/>
        <v>13.432912464755178</v>
      </c>
      <c r="H957" s="307">
        <f t="shared" ca="1" si="418"/>
        <v>-121.2579874966934</v>
      </c>
      <c r="I957" s="304">
        <f t="shared" ca="1" si="419"/>
        <v>121.99976503679844</v>
      </c>
      <c r="J957" s="306">
        <f t="shared" ca="1" si="420"/>
        <v>859.24597237897774</v>
      </c>
      <c r="K957" s="307">
        <f t="shared" ca="1" si="421"/>
        <v>-14.386898812018073</v>
      </c>
      <c r="L957" s="304">
        <f t="shared" ca="1" si="406"/>
        <v>859.36640841198937</v>
      </c>
      <c r="M957" s="306">
        <f t="shared" ca="1" si="422"/>
        <v>-1.4604665767494234</v>
      </c>
      <c r="N957" s="304">
        <f t="shared" ca="1" si="423"/>
        <v>-83.678570967661088</v>
      </c>
      <c r="P957" s="310">
        <f t="shared" ca="1" si="424"/>
        <v>23</v>
      </c>
      <c r="Q957" s="304">
        <f t="shared" ca="1" si="425"/>
        <v>0</v>
      </c>
      <c r="R957" s="306">
        <f t="shared" ca="1" si="426"/>
        <v>0</v>
      </c>
      <c r="S957" s="307">
        <f t="shared" ca="1" si="427"/>
        <v>8.1379999999999981</v>
      </c>
      <c r="T957" s="304">
        <f t="shared" ca="1" si="407"/>
        <v>79.83377999999999</v>
      </c>
      <c r="U957" s="311">
        <f t="shared" ca="1" si="408"/>
        <v>0</v>
      </c>
      <c r="V957" s="306">
        <f t="shared" ca="1" si="409"/>
        <v>1.2267636637870947</v>
      </c>
      <c r="W957" s="304">
        <f t="shared" ca="1" si="410"/>
        <v>60.313221367586536</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2.3390825097107797</v>
      </c>
      <c r="AH957" s="304">
        <f t="shared" ca="1" si="434"/>
        <v>-7.4112702086903113</v>
      </c>
    </row>
    <row r="958" spans="1:34" x14ac:dyDescent="0.2">
      <c r="A958" s="347">
        <f t="shared" ca="1" si="412"/>
        <v>1E-4</v>
      </c>
      <c r="B958" s="304">
        <f t="shared" ca="1" si="413"/>
        <v>34.524900000001004</v>
      </c>
      <c r="D958" s="306">
        <f t="shared" ca="1" si="414"/>
        <v>-0.81602982109203326</v>
      </c>
      <c r="E958" s="307">
        <f t="shared" ca="1" si="415"/>
        <v>-2.4437542880199157</v>
      </c>
      <c r="F958" s="304">
        <f t="shared" ca="1" si="416"/>
        <v>2.576400529639602</v>
      </c>
      <c r="G958" s="306">
        <f t="shared" ca="1" si="417"/>
        <v>13.43283086177307</v>
      </c>
      <c r="H958" s="307">
        <f t="shared" ca="1" si="418"/>
        <v>-121.25823187212221</v>
      </c>
      <c r="I958" s="304">
        <f t="shared" ca="1" si="419"/>
        <v>121.99999894145228</v>
      </c>
      <c r="J958" s="306">
        <f t="shared" ca="1" si="420"/>
        <v>859.24597237897774</v>
      </c>
      <c r="K958" s="307">
        <f t="shared" ca="1" si="421"/>
        <v>-14.399024622986513</v>
      </c>
      <c r="L958" s="304">
        <f t="shared" ca="1" si="406"/>
        <v>859.36661149918336</v>
      </c>
      <c r="M958" s="306">
        <f t="shared" ca="1" si="422"/>
        <v>-1.4604674621103897</v>
      </c>
      <c r="N958" s="304">
        <f t="shared" ca="1" si="423"/>
        <v>-83.678621695107793</v>
      </c>
      <c r="P958" s="310">
        <f t="shared" ca="1" si="424"/>
        <v>23</v>
      </c>
      <c r="Q958" s="304">
        <f t="shared" ca="1" si="425"/>
        <v>0</v>
      </c>
      <c r="R958" s="306">
        <f t="shared" ca="1" si="426"/>
        <v>0</v>
      </c>
      <c r="S958" s="307">
        <f t="shared" ca="1" si="427"/>
        <v>8.1379999999999981</v>
      </c>
      <c r="T958" s="304">
        <f t="shared" ca="1" si="407"/>
        <v>79.83377999999999</v>
      </c>
      <c r="U958" s="311">
        <f t="shared" ca="1" si="408"/>
        <v>0</v>
      </c>
      <c r="V958" s="306">
        <f t="shared" ca="1" si="409"/>
        <v>1.2267651513391959</v>
      </c>
      <c r="W958" s="304">
        <f t="shared" ca="1" si="410"/>
        <v>60.313525774487864</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2.33904606013198</v>
      </c>
      <c r="AH958" s="304">
        <f t="shared" ca="1" si="434"/>
        <v>-7.4113076145965282</v>
      </c>
    </row>
    <row r="959" spans="1:34" x14ac:dyDescent="0.2">
      <c r="A959" s="347">
        <f t="shared" ca="1" si="412"/>
        <v>1E-4</v>
      </c>
      <c r="B959" s="304">
        <f t="shared" ca="1" si="413"/>
        <v>34.525000000001008</v>
      </c>
      <c r="D959" s="306">
        <f t="shared" ca="1" si="414"/>
        <v>-0.8160274178570508</v>
      </c>
      <c r="E959" s="307">
        <f t="shared" ca="1" si="415"/>
        <v>-2.443716387354371</v>
      </c>
      <c r="F959" s="304">
        <f t="shared" ca="1" si="416"/>
        <v>2.576363819129345</v>
      </c>
      <c r="G959" s="306">
        <f t="shared" ca="1" si="417"/>
        <v>13.432749259031285</v>
      </c>
      <c r="H959" s="307">
        <f t="shared" ca="1" si="418"/>
        <v>-121.25847624376094</v>
      </c>
      <c r="I959" s="304">
        <f t="shared" ca="1" si="419"/>
        <v>122.00023284246117</v>
      </c>
      <c r="J959" s="306">
        <f t="shared" ca="1" si="420"/>
        <v>859.24597237897774</v>
      </c>
      <c r="K959" s="307">
        <f t="shared" ca="1" si="421"/>
        <v>-14.411150458392306</v>
      </c>
      <c r="L959" s="304">
        <f t="shared" ca="1" si="406"/>
        <v>859.36681475783632</v>
      </c>
      <c r="M959" s="306">
        <f t="shared" ca="1" si="422"/>
        <v>-1.4604683474625826</v>
      </c>
      <c r="N959" s="304">
        <f t="shared" ca="1" si="423"/>
        <v>-83.678672422051832</v>
      </c>
      <c r="P959" s="310">
        <f t="shared" ca="1" si="424"/>
        <v>23</v>
      </c>
      <c r="Q959" s="304">
        <f t="shared" ca="1" si="425"/>
        <v>0</v>
      </c>
      <c r="R959" s="306">
        <f t="shared" ca="1" si="426"/>
        <v>0</v>
      </c>
      <c r="S959" s="307">
        <f t="shared" ca="1" si="427"/>
        <v>8.1379999999999981</v>
      </c>
      <c r="T959" s="304">
        <f t="shared" ca="1" si="407"/>
        <v>79.83377999999999</v>
      </c>
      <c r="U959" s="311">
        <f t="shared" ca="1" si="408"/>
        <v>0</v>
      </c>
      <c r="V959" s="306">
        <f t="shared" ca="1" si="409"/>
        <v>1.2267666388961</v>
      </c>
      <c r="W959" s="304">
        <f t="shared" ca="1" si="410"/>
        <v>60.313830179025672</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2.3390096108264862</v>
      </c>
      <c r="AH959" s="304">
        <f t="shared" ca="1" si="434"/>
        <v>-7.4113450202123223</v>
      </c>
    </row>
    <row r="960" spans="1:34" x14ac:dyDescent="0.2">
      <c r="A960" s="347">
        <f t="shared" ca="1" si="412"/>
        <v>1E-4</v>
      </c>
      <c r="B960" s="304">
        <f t="shared" ca="1" si="413"/>
        <v>34.525100000001011</v>
      </c>
      <c r="D960" s="306">
        <f t="shared" ca="1" si="414"/>
        <v>-0.81602501458824672</v>
      </c>
      <c r="E960" s="307">
        <f t="shared" ca="1" si="415"/>
        <v>-2.4436784869831323</v>
      </c>
      <c r="F960" s="304">
        <f t="shared" ca="1" si="416"/>
        <v>2.5763271089242372</v>
      </c>
      <c r="G960" s="306">
        <f t="shared" ca="1" si="417"/>
        <v>13.432667656529826</v>
      </c>
      <c r="H960" s="307">
        <f t="shared" ca="1" si="418"/>
        <v>-121.25872061160963</v>
      </c>
      <c r="I960" s="304">
        <f t="shared" ca="1" si="419"/>
        <v>122.00046673982516</v>
      </c>
      <c r="J960" s="306">
        <f t="shared" ca="1" si="420"/>
        <v>859.24597237897774</v>
      </c>
      <c r="K960" s="307">
        <f t="shared" ca="1" si="421"/>
        <v>-14.423276318235075</v>
      </c>
      <c r="L960" s="304">
        <f t="shared" ca="1" si="406"/>
        <v>859.36701818794927</v>
      </c>
      <c r="M960" s="306">
        <f t="shared" ca="1" si="422"/>
        <v>-1.4604692328060023</v>
      </c>
      <c r="N960" s="304">
        <f t="shared" ca="1" si="423"/>
        <v>-83.678723148493205</v>
      </c>
      <c r="P960" s="310">
        <f t="shared" ca="1" si="424"/>
        <v>23</v>
      </c>
      <c r="Q960" s="304">
        <f t="shared" ca="1" si="425"/>
        <v>0</v>
      </c>
      <c r="R960" s="306">
        <f t="shared" ca="1" si="426"/>
        <v>0</v>
      </c>
      <c r="S960" s="307">
        <f t="shared" ca="1" si="427"/>
        <v>8.1379999999999981</v>
      </c>
      <c r="T960" s="304">
        <f t="shared" ca="1" si="407"/>
        <v>79.83377999999999</v>
      </c>
      <c r="U960" s="311">
        <f t="shared" ca="1" si="408"/>
        <v>0</v>
      </c>
      <c r="V960" s="306">
        <f t="shared" ca="1" si="409"/>
        <v>1.226768126457807</v>
      </c>
      <c r="W960" s="304">
        <f t="shared" ca="1" si="410"/>
        <v>60.314134581199959</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2.3389731617943044</v>
      </c>
      <c r="AH960" s="304">
        <f t="shared" ca="1" si="434"/>
        <v>-7.4113824255376857</v>
      </c>
    </row>
    <row r="961" spans="1:34" x14ac:dyDescent="0.2">
      <c r="A961" s="347">
        <f t="shared" ca="1" si="412"/>
        <v>1E-4</v>
      </c>
      <c r="B961" s="304">
        <f t="shared" ca="1" si="413"/>
        <v>34.525200000001014</v>
      </c>
      <c r="D961" s="306">
        <f t="shared" ca="1" si="414"/>
        <v>-0.81602261128562104</v>
      </c>
      <c r="E961" s="307">
        <f t="shared" ca="1" si="415"/>
        <v>-2.4436405869061977</v>
      </c>
      <c r="F961" s="304">
        <f t="shared" ca="1" si="416"/>
        <v>2.5762903990242774</v>
      </c>
      <c r="G961" s="306">
        <f t="shared" ca="1" si="417"/>
        <v>13.432586054268699</v>
      </c>
      <c r="H961" s="307">
        <f t="shared" ca="1" si="418"/>
        <v>-121.25896497566832</v>
      </c>
      <c r="I961" s="304">
        <f t="shared" ca="1" si="419"/>
        <v>122.00070063354428</v>
      </c>
      <c r="J961" s="306">
        <f t="shared" ca="1" si="420"/>
        <v>859.24597237897774</v>
      </c>
      <c r="K961" s="307">
        <f t="shared" ca="1" si="421"/>
        <v>-14.435402202514439</v>
      </c>
      <c r="L961" s="304">
        <f t="shared" ca="1" si="406"/>
        <v>859.36722178952311</v>
      </c>
      <c r="M961" s="306">
        <f t="shared" ca="1" si="422"/>
        <v>-1.460470118140649</v>
      </c>
      <c r="N961" s="304">
        <f t="shared" ca="1" si="423"/>
        <v>-83.678773874431911</v>
      </c>
      <c r="P961" s="310">
        <f t="shared" ca="1" si="424"/>
        <v>23</v>
      </c>
      <c r="Q961" s="304">
        <f t="shared" ca="1" si="425"/>
        <v>0</v>
      </c>
      <c r="R961" s="306">
        <f t="shared" ca="1" si="426"/>
        <v>0</v>
      </c>
      <c r="S961" s="307">
        <f t="shared" ca="1" si="427"/>
        <v>8.1379999999999981</v>
      </c>
      <c r="T961" s="304">
        <f t="shared" ca="1" si="407"/>
        <v>79.83377999999999</v>
      </c>
      <c r="U961" s="311">
        <f t="shared" ca="1" si="408"/>
        <v>0</v>
      </c>
      <c r="V961" s="306">
        <f t="shared" ca="1" si="409"/>
        <v>1.2267696140243174</v>
      </c>
      <c r="W961" s="304">
        <f t="shared" ca="1" si="410"/>
        <v>60.314438981010767</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2.3389367130354319</v>
      </c>
      <c r="AH961" s="304">
        <f t="shared" ca="1" si="434"/>
        <v>-7.4114198305726191</v>
      </c>
    </row>
    <row r="962" spans="1:34" x14ac:dyDescent="0.2">
      <c r="A962" s="347">
        <f t="shared" ca="1" si="412"/>
        <v>1E-4</v>
      </c>
      <c r="B962" s="304">
        <f t="shared" ca="1" si="413"/>
        <v>34.525300000001018</v>
      </c>
      <c r="D962" s="306">
        <f t="shared" ca="1" si="414"/>
        <v>-0.81602020794917451</v>
      </c>
      <c r="E962" s="307">
        <f t="shared" ca="1" si="415"/>
        <v>-2.4436026871235645</v>
      </c>
      <c r="F962" s="304">
        <f t="shared" ca="1" si="416"/>
        <v>2.5762536894294628</v>
      </c>
      <c r="G962" s="306">
        <f t="shared" ca="1" si="417"/>
        <v>13.432504452247903</v>
      </c>
      <c r="H962" s="307">
        <f t="shared" ca="1" si="418"/>
        <v>-121.25920933593703</v>
      </c>
      <c r="I962" s="304">
        <f t="shared" ca="1" si="419"/>
        <v>122.00093452361854</v>
      </c>
      <c r="J962" s="306">
        <f t="shared" ca="1" si="420"/>
        <v>859.24597237897774</v>
      </c>
      <c r="K962" s="307">
        <f t="shared" ca="1" si="421"/>
        <v>-14.447528111230019</v>
      </c>
      <c r="L962" s="304">
        <f t="shared" ca="1" si="406"/>
        <v>859.36742556255865</v>
      </c>
      <c r="M962" s="306">
        <f t="shared" ca="1" si="422"/>
        <v>-1.4604710034665229</v>
      </c>
      <c r="N962" s="304">
        <f t="shared" ca="1" si="423"/>
        <v>-83.67882459986798</v>
      </c>
      <c r="P962" s="310">
        <f t="shared" ca="1" si="424"/>
        <v>23</v>
      </c>
      <c r="Q962" s="304">
        <f t="shared" ca="1" si="425"/>
        <v>0</v>
      </c>
      <c r="R962" s="306">
        <f t="shared" ca="1" si="426"/>
        <v>0</v>
      </c>
      <c r="S962" s="307">
        <f t="shared" ca="1" si="427"/>
        <v>8.1379999999999981</v>
      </c>
      <c r="T962" s="304">
        <f t="shared" ca="1" si="407"/>
        <v>79.83377999999999</v>
      </c>
      <c r="U962" s="311">
        <f t="shared" ca="1" si="408"/>
        <v>0</v>
      </c>
      <c r="V962" s="306">
        <f t="shared" ca="1" si="409"/>
        <v>1.2267711015956306</v>
      </c>
      <c r="W962" s="304">
        <f t="shared" ca="1" si="410"/>
        <v>60.314743378458047</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2.3389002645498662</v>
      </c>
      <c r="AH962" s="304">
        <f t="shared" ca="1" si="434"/>
        <v>-7.4114572353171271</v>
      </c>
    </row>
    <row r="963" spans="1:34" x14ac:dyDescent="0.2">
      <c r="A963" s="347">
        <f t="shared" ca="1" si="412"/>
        <v>1E-4</v>
      </c>
      <c r="B963" s="304">
        <f t="shared" ca="1" si="413"/>
        <v>34.525400000001021</v>
      </c>
      <c r="D963" s="306">
        <f t="shared" ca="1" si="414"/>
        <v>-0.81601780457890682</v>
      </c>
      <c r="E963" s="307">
        <f t="shared" ca="1" si="415"/>
        <v>-2.4435647876352364</v>
      </c>
      <c r="F963" s="304">
        <f t="shared" ca="1" si="416"/>
        <v>2.5762169801397974</v>
      </c>
      <c r="G963" s="306">
        <f t="shared" ca="1" si="417"/>
        <v>13.432422850467445</v>
      </c>
      <c r="H963" s="307">
        <f t="shared" ca="1" si="418"/>
        <v>-121.25945369241579</v>
      </c>
      <c r="I963" s="304">
        <f t="shared" ca="1" si="419"/>
        <v>122.00116841004798</v>
      </c>
      <c r="J963" s="306">
        <f t="shared" ca="1" si="420"/>
        <v>859.24597237897774</v>
      </c>
      <c r="K963" s="307">
        <f t="shared" ca="1" si="421"/>
        <v>-14.459654044381438</v>
      </c>
      <c r="L963" s="304">
        <f t="shared" ca="1" si="406"/>
        <v>859.3676295070569</v>
      </c>
      <c r="M963" s="306">
        <f t="shared" ca="1" si="422"/>
        <v>-1.4604718887836239</v>
      </c>
      <c r="N963" s="304">
        <f t="shared" ca="1" si="423"/>
        <v>-83.678875324801396</v>
      </c>
      <c r="P963" s="310">
        <f t="shared" ca="1" si="424"/>
        <v>23</v>
      </c>
      <c r="Q963" s="304">
        <f t="shared" ca="1" si="425"/>
        <v>0</v>
      </c>
      <c r="R963" s="306">
        <f t="shared" ca="1" si="426"/>
        <v>0</v>
      </c>
      <c r="S963" s="307">
        <f t="shared" ca="1" si="427"/>
        <v>8.1379999999999981</v>
      </c>
      <c r="T963" s="304">
        <f t="shared" ca="1" si="407"/>
        <v>79.83377999999999</v>
      </c>
      <c r="U963" s="311">
        <f t="shared" ca="1" si="408"/>
        <v>0</v>
      </c>
      <c r="V963" s="306">
        <f t="shared" ca="1" si="409"/>
        <v>1.2267725891717463</v>
      </c>
      <c r="W963" s="304">
        <f t="shared" ca="1" si="410"/>
        <v>60.315047773541785</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2.3388638163376143</v>
      </c>
      <c r="AH963" s="304">
        <f t="shared" ca="1" si="434"/>
        <v>-7.4114946397712043</v>
      </c>
    </row>
    <row r="964" spans="1:34" x14ac:dyDescent="0.2">
      <c r="A964" s="347">
        <f t="shared" ca="1" si="412"/>
        <v>1E-4</v>
      </c>
      <c r="B964" s="304">
        <f t="shared" ca="1" si="413"/>
        <v>34.525500000001024</v>
      </c>
      <c r="D964" s="306">
        <f t="shared" ca="1" si="414"/>
        <v>-0.81601540117482085</v>
      </c>
      <c r="E964" s="307">
        <f t="shared" ca="1" si="415"/>
        <v>-2.4435268884412151</v>
      </c>
      <c r="F964" s="304">
        <f t="shared" ca="1" si="416"/>
        <v>2.5761802711552835</v>
      </c>
      <c r="G964" s="306">
        <f t="shared" ca="1" si="417"/>
        <v>13.432341248927328</v>
      </c>
      <c r="H964" s="307">
        <f t="shared" ca="1" si="418"/>
        <v>-121.25969804510463</v>
      </c>
      <c r="I964" s="304">
        <f t="shared" ca="1" si="419"/>
        <v>122.00140229283262</v>
      </c>
      <c r="J964" s="306">
        <f t="shared" ca="1" si="420"/>
        <v>859.24597237897774</v>
      </c>
      <c r="K964" s="307">
        <f t="shared" ca="1" si="421"/>
        <v>-14.471780001968314</v>
      </c>
      <c r="L964" s="304">
        <f t="shared" ref="L964:L1004" ca="1" si="435">SQRT(pos_x^2+pos_z^2)</f>
        <v>859.36783362301867</v>
      </c>
      <c r="M964" s="306">
        <f t="shared" ca="1" si="422"/>
        <v>-1.4604727740919523</v>
      </c>
      <c r="N964" s="304">
        <f t="shared" ca="1" si="423"/>
        <v>-83.678926049232189</v>
      </c>
      <c r="P964" s="310">
        <f t="shared" ca="1" si="424"/>
        <v>23</v>
      </c>
      <c r="Q964" s="304">
        <f t="shared" ca="1" si="425"/>
        <v>0</v>
      </c>
      <c r="R964" s="306">
        <f t="shared" ca="1" si="426"/>
        <v>0</v>
      </c>
      <c r="S964" s="307">
        <f t="shared" ca="1" si="427"/>
        <v>8.1379999999999981</v>
      </c>
      <c r="T964" s="304">
        <f t="shared" ref="T964:T1004" ca="1" si="436">m*g</f>
        <v>79.83377999999999</v>
      </c>
      <c r="U964" s="311">
        <f t="shared" ref="U964:U1004" ca="1" si="437">IF(pos_xz&lt;L_rampe,Poids*COS(Beta),0)</f>
        <v>0</v>
      </c>
      <c r="V964" s="306">
        <f t="shared" ref="V964:V1004" ca="1" si="438">Rho_moyen*(20000-Alt_rampe-pos_z)/(20000+Alt_rampe+pos_z)</f>
        <v>1.2267740767526647</v>
      </c>
      <c r="W964" s="304">
        <f t="shared" ref="W964:W1003" ca="1" si="439">1/2*Rho*Sref*Cx*vit_xz^2</f>
        <v>60.315352166261988</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2.338827368398678</v>
      </c>
      <c r="AH964" s="304">
        <f t="shared" ca="1" si="434"/>
        <v>-7.4115320439348489</v>
      </c>
    </row>
    <row r="965" spans="1:34" x14ac:dyDescent="0.2">
      <c r="A965" s="347">
        <f t="shared" ref="A965:A1004" ca="1" si="441">IF(B964+0.01&lt;=T_ini+ROUNDUP(Temps_fin_propu,0), 0.01, IF(K964&gt;0, 0.1, 0.0001))</f>
        <v>1E-4</v>
      </c>
      <c r="B965" s="304">
        <f t="shared" ref="B965:B1004" ca="1" si="442">B964+pas</f>
        <v>34.525600000001027</v>
      </c>
      <c r="D965" s="306">
        <f t="shared" ref="D965:D1004" ca="1" si="443">IF(AND(L964&lt;L_rampe,Poussee&lt;Poids*SIN(M964)),0,(-W964+Poussee)/m*COS(M964)-U964/m*SIN(M964))</f>
        <v>-0.81601299773691538</v>
      </c>
      <c r="E965" s="307">
        <f t="shared" ref="E965:E1004" ca="1" si="444">IF(AND(L964&lt;L_rampe,Poussee&lt;Poids*SIN(M964)),0,(-W964+Poussee)/m*SIN(M964)+U964/m*COS(M964)-Poids/m)</f>
        <v>-2.4434889895415015</v>
      </c>
      <c r="F965" s="304">
        <f t="shared" ref="F965:F1004" ca="1" si="445">SQRT(acc_x^2+acc_z^2)</f>
        <v>2.5761435624759224</v>
      </c>
      <c r="G965" s="306">
        <f t="shared" ref="G965:G1004" ca="1" si="446">G964+acc_x*pas</f>
        <v>13.432259647627554</v>
      </c>
      <c r="H965" s="307">
        <f t="shared" ref="H965:H1004" ca="1" si="447">H964+acc_z*pas</f>
        <v>-121.25994239400359</v>
      </c>
      <c r="I965" s="304">
        <f t="shared" ref="I965:I1004" ca="1" si="448">SQRT(vit_x^2+vit_z^2)</f>
        <v>122.00163617197252</v>
      </c>
      <c r="J965" s="306">
        <f t="shared" ref="J965:J1004" ca="1" si="449">J964+0.5*(vit_x+G964)*pas*(K964&gt;=0)</f>
        <v>859.24597237897774</v>
      </c>
      <c r="K965" s="307">
        <f t="shared" ref="K965:K1004" ca="1" si="450">K964+0.5*(vit_z+H964)*pas</f>
        <v>-14.483905983990269</v>
      </c>
      <c r="L965" s="304">
        <f t="shared" ca="1" si="435"/>
        <v>859.36803791044508</v>
      </c>
      <c r="M965" s="306">
        <f t="shared" ref="M965:M1004" ca="1" si="451">IF(AND(L964&gt;L_rampe,G965&gt;0),ATAN2(G965,H965),$M$4)</f>
        <v>-1.4604736593915082</v>
      </c>
      <c r="N965" s="304">
        <f t="shared" ref="N965:N1004" ca="1" si="452">DEGREES(Beta)</f>
        <v>-83.678976773160343</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8.1379999999999981</v>
      </c>
      <c r="T965" s="304">
        <f t="shared" ca="1" si="436"/>
        <v>79.83377999999999</v>
      </c>
      <c r="U965" s="311">
        <f t="shared" ca="1" si="437"/>
        <v>0</v>
      </c>
      <c r="V965" s="306">
        <f t="shared" ca="1" si="438"/>
        <v>1.2267755643383862</v>
      </c>
      <c r="W965" s="304">
        <f t="shared" ca="1" si="439"/>
        <v>60.315656556618706</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2.3387909207330573</v>
      </c>
      <c r="AH965" s="304">
        <f t="shared" ref="AH965:AH1004" ca="1" si="463">IF(AND(L964&lt;L_rampe,Poussee&lt;Poids*SIN(M964)), g*SIN(M964), (-W964+Poussee)/m)</f>
        <v>-7.4115694478080609</v>
      </c>
    </row>
    <row r="966" spans="1:34" x14ac:dyDescent="0.2">
      <c r="A966" s="347">
        <f t="shared" ca="1" si="441"/>
        <v>1E-4</v>
      </c>
      <c r="B966" s="304">
        <f t="shared" ca="1" si="442"/>
        <v>34.525700000001031</v>
      </c>
      <c r="D966" s="306">
        <f t="shared" ca="1" si="443"/>
        <v>-0.81601059426519262</v>
      </c>
      <c r="E966" s="307">
        <f t="shared" ca="1" si="444"/>
        <v>-2.4434510909360885</v>
      </c>
      <c r="F966" s="304">
        <f t="shared" ca="1" si="445"/>
        <v>2.5761068541017069</v>
      </c>
      <c r="G966" s="306">
        <f t="shared" ca="1" si="446"/>
        <v>13.432178046568128</v>
      </c>
      <c r="H966" s="307">
        <f t="shared" ca="1" si="447"/>
        <v>-121.26018673911268</v>
      </c>
      <c r="I966" s="304">
        <f t="shared" ca="1" si="448"/>
        <v>122.00187004746766</v>
      </c>
      <c r="J966" s="306">
        <f t="shared" ca="1" si="449"/>
        <v>859.24597237897774</v>
      </c>
      <c r="K966" s="307">
        <f t="shared" ca="1" si="450"/>
        <v>-14.496031990446925</v>
      </c>
      <c r="L966" s="304">
        <f t="shared" ca="1" si="435"/>
        <v>859.36824236933671</v>
      </c>
      <c r="M966" s="306">
        <f t="shared" ca="1" si="451"/>
        <v>-1.4604745446822915</v>
      </c>
      <c r="N966" s="304">
        <f t="shared" ca="1" si="452"/>
        <v>-83.679027496585874</v>
      </c>
      <c r="P966" s="310">
        <f t="shared" ca="1" si="453"/>
        <v>23</v>
      </c>
      <c r="Q966" s="304">
        <f t="shared" ca="1" si="454"/>
        <v>0</v>
      </c>
      <c r="R966" s="306">
        <f t="shared" ca="1" si="455"/>
        <v>0</v>
      </c>
      <c r="S966" s="307">
        <f t="shared" ca="1" si="456"/>
        <v>8.1379999999999981</v>
      </c>
      <c r="T966" s="304">
        <f t="shared" ca="1" si="436"/>
        <v>79.83377999999999</v>
      </c>
      <c r="U966" s="311">
        <f t="shared" ca="1" si="437"/>
        <v>0</v>
      </c>
      <c r="V966" s="306">
        <f t="shared" ca="1" si="438"/>
        <v>1.2267770519289103</v>
      </c>
      <c r="W966" s="304">
        <f t="shared" ca="1" si="439"/>
        <v>60.315960944611845</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2.3387544733407415</v>
      </c>
      <c r="AH966" s="304">
        <f t="shared" ca="1" si="463"/>
        <v>-7.4116068513908475</v>
      </c>
    </row>
    <row r="967" spans="1:34" x14ac:dyDescent="0.2">
      <c r="A967" s="347">
        <f t="shared" ca="1" si="441"/>
        <v>1E-4</v>
      </c>
      <c r="B967" s="304">
        <f t="shared" ca="1" si="442"/>
        <v>34.525800000001034</v>
      </c>
      <c r="D967" s="306">
        <f t="shared" ca="1" si="443"/>
        <v>-0.81600819075965347</v>
      </c>
      <c r="E967" s="307">
        <f t="shared" ca="1" si="444"/>
        <v>-2.4434131926249867</v>
      </c>
      <c r="F967" s="304">
        <f t="shared" ca="1" si="445"/>
        <v>2.5760701460326492</v>
      </c>
      <c r="G967" s="306">
        <f t="shared" ca="1" si="446"/>
        <v>13.432096445749051</v>
      </c>
      <c r="H967" s="307">
        <f t="shared" ca="1" si="447"/>
        <v>-121.26043108043194</v>
      </c>
      <c r="I967" s="304">
        <f t="shared" ca="1" si="448"/>
        <v>122.00210391931809</v>
      </c>
      <c r="J967" s="306">
        <f t="shared" ca="1" si="449"/>
        <v>859.24597237897774</v>
      </c>
      <c r="K967" s="307">
        <f t="shared" ca="1" si="450"/>
        <v>-14.508158021337902</v>
      </c>
      <c r="L967" s="304">
        <f t="shared" ca="1" si="435"/>
        <v>859.3684469996947</v>
      </c>
      <c r="M967" s="306">
        <f t="shared" ca="1" si="451"/>
        <v>-1.4604754299643028</v>
      </c>
      <c r="N967" s="304">
        <f t="shared" ca="1" si="452"/>
        <v>-83.679078219508796</v>
      </c>
      <c r="P967" s="310">
        <f t="shared" ca="1" si="453"/>
        <v>23</v>
      </c>
      <c r="Q967" s="304">
        <f t="shared" ca="1" si="454"/>
        <v>0</v>
      </c>
      <c r="R967" s="306">
        <f t="shared" ca="1" si="455"/>
        <v>0</v>
      </c>
      <c r="S967" s="307">
        <f t="shared" ca="1" si="456"/>
        <v>8.1379999999999981</v>
      </c>
      <c r="T967" s="304">
        <f t="shared" ca="1" si="436"/>
        <v>79.83377999999999</v>
      </c>
      <c r="U967" s="311">
        <f t="shared" ca="1" si="437"/>
        <v>0</v>
      </c>
      <c r="V967" s="306">
        <f t="shared" ca="1" si="438"/>
        <v>1.2267785395242372</v>
      </c>
      <c r="W967" s="304">
        <f t="shared" ca="1" si="439"/>
        <v>60.316265330241471</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2.3387180262217493</v>
      </c>
      <c r="AH967" s="304">
        <f t="shared" ca="1" si="463"/>
        <v>-7.4116442546831971</v>
      </c>
    </row>
    <row r="968" spans="1:34" x14ac:dyDescent="0.2">
      <c r="A968" s="347">
        <f t="shared" ca="1" si="441"/>
        <v>1E-4</v>
      </c>
      <c r="B968" s="304">
        <f t="shared" ca="1" si="442"/>
        <v>34.525900000001037</v>
      </c>
      <c r="D968" s="306">
        <f t="shared" ca="1" si="443"/>
        <v>-0.81600578722029704</v>
      </c>
      <c r="E968" s="307">
        <f t="shared" ca="1" si="444"/>
        <v>-2.443375294608189</v>
      </c>
      <c r="F968" s="304">
        <f t="shared" ca="1" si="445"/>
        <v>2.5760334382687411</v>
      </c>
      <c r="G968" s="306">
        <f t="shared" ca="1" si="446"/>
        <v>13.432014845170329</v>
      </c>
      <c r="H968" s="307">
        <f t="shared" ca="1" si="447"/>
        <v>-121.26067541796141</v>
      </c>
      <c r="I968" s="304">
        <f t="shared" ca="1" si="448"/>
        <v>122.00233778752384</v>
      </c>
      <c r="J968" s="306">
        <f t="shared" ca="1" si="449"/>
        <v>859.24597237897774</v>
      </c>
      <c r="K968" s="307">
        <f t="shared" ca="1" si="450"/>
        <v>-14.520284076662822</v>
      </c>
      <c r="L968" s="304">
        <f t="shared" ca="1" si="435"/>
        <v>859.36865180151995</v>
      </c>
      <c r="M968" s="306">
        <f t="shared" ca="1" si="451"/>
        <v>-1.4604763152375417</v>
      </c>
      <c r="N968" s="304">
        <f t="shared" ca="1" si="452"/>
        <v>-83.679128941929108</v>
      </c>
      <c r="P968" s="310">
        <f t="shared" ca="1" si="453"/>
        <v>23</v>
      </c>
      <c r="Q968" s="304">
        <f t="shared" ca="1" si="454"/>
        <v>0</v>
      </c>
      <c r="R968" s="306">
        <f t="shared" ca="1" si="455"/>
        <v>0</v>
      </c>
      <c r="S968" s="307">
        <f t="shared" ca="1" si="456"/>
        <v>8.1379999999999981</v>
      </c>
      <c r="T968" s="304">
        <f t="shared" ca="1" si="436"/>
        <v>79.83377999999999</v>
      </c>
      <c r="U968" s="311">
        <f t="shared" ca="1" si="437"/>
        <v>0</v>
      </c>
      <c r="V968" s="306">
        <f t="shared" ca="1" si="438"/>
        <v>1.2267800271243665</v>
      </c>
      <c r="W968" s="304">
        <f t="shared" ca="1" si="439"/>
        <v>60.316569713507526</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2.3386815793760674</v>
      </c>
      <c r="AH968" s="304">
        <f t="shared" ca="1" si="463"/>
        <v>-7.4116816576851177</v>
      </c>
    </row>
    <row r="969" spans="1:34" x14ac:dyDescent="0.2">
      <c r="A969" s="347">
        <f t="shared" ca="1" si="441"/>
        <v>1E-4</v>
      </c>
      <c r="B969" s="304">
        <f t="shared" ca="1" si="442"/>
        <v>34.526000000001041</v>
      </c>
      <c r="D969" s="306">
        <f t="shared" ca="1" si="443"/>
        <v>-0.81600338364712599</v>
      </c>
      <c r="E969" s="307">
        <f t="shared" ca="1" si="444"/>
        <v>-2.4433373968857026</v>
      </c>
      <c r="F969" s="304">
        <f t="shared" ca="1" si="445"/>
        <v>2.5759967308099907</v>
      </c>
      <c r="G969" s="306">
        <f t="shared" ca="1" si="446"/>
        <v>13.431933244831963</v>
      </c>
      <c r="H969" s="307">
        <f t="shared" ca="1" si="447"/>
        <v>-121.2609197517011</v>
      </c>
      <c r="I969" s="304">
        <f t="shared" ca="1" si="448"/>
        <v>122.00257165208492</v>
      </c>
      <c r="J969" s="306">
        <f t="shared" ca="1" si="449"/>
        <v>859.24597237897774</v>
      </c>
      <c r="K969" s="307">
        <f t="shared" ca="1" si="450"/>
        <v>-14.532410156421305</v>
      </c>
      <c r="L969" s="304">
        <f t="shared" ca="1" si="435"/>
        <v>859.36885677481314</v>
      </c>
      <c r="M969" s="306">
        <f t="shared" ca="1" si="451"/>
        <v>-1.4604772005020088</v>
      </c>
      <c r="N969" s="304">
        <f t="shared" ca="1" si="452"/>
        <v>-83.679179663846824</v>
      </c>
      <c r="P969" s="310">
        <f t="shared" ca="1" si="453"/>
        <v>23</v>
      </c>
      <c r="Q969" s="304">
        <f t="shared" ca="1" si="454"/>
        <v>0</v>
      </c>
      <c r="R969" s="306">
        <f t="shared" ca="1" si="455"/>
        <v>0</v>
      </c>
      <c r="S969" s="307">
        <f t="shared" ca="1" si="456"/>
        <v>8.1379999999999981</v>
      </c>
      <c r="T969" s="304">
        <f t="shared" ca="1" si="436"/>
        <v>79.83377999999999</v>
      </c>
      <c r="U969" s="311">
        <f t="shared" ca="1" si="437"/>
        <v>0</v>
      </c>
      <c r="V969" s="306">
        <f t="shared" ca="1" si="438"/>
        <v>1.2267815147292991</v>
      </c>
      <c r="W969" s="304">
        <f t="shared" ca="1" si="439"/>
        <v>60.316874094410075</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2.338645132803709</v>
      </c>
      <c r="AH969" s="304">
        <f t="shared" ca="1" si="463"/>
        <v>-7.4117190603966012</v>
      </c>
    </row>
    <row r="970" spans="1:34" x14ac:dyDescent="0.2">
      <c r="A970" s="347">
        <f t="shared" ca="1" si="441"/>
        <v>1E-4</v>
      </c>
      <c r="B970" s="304">
        <f t="shared" ca="1" si="442"/>
        <v>34.526100000001044</v>
      </c>
      <c r="D970" s="306">
        <f t="shared" ca="1" si="443"/>
        <v>-0.81600098004013955</v>
      </c>
      <c r="E970" s="307">
        <f t="shared" ca="1" si="444"/>
        <v>-2.4432994994575203</v>
      </c>
      <c r="F970" s="304">
        <f t="shared" ca="1" si="445"/>
        <v>2.5759600236563918</v>
      </c>
      <c r="G970" s="306">
        <f t="shared" ca="1" si="446"/>
        <v>13.431851644733959</v>
      </c>
      <c r="H970" s="307">
        <f t="shared" ca="1" si="447"/>
        <v>-121.26116408165105</v>
      </c>
      <c r="I970" s="304">
        <f t="shared" ca="1" si="448"/>
        <v>122.00280551300138</v>
      </c>
      <c r="J970" s="306">
        <f t="shared" ca="1" si="449"/>
        <v>859.24597237897774</v>
      </c>
      <c r="K970" s="307">
        <f t="shared" ca="1" si="450"/>
        <v>-14.544536260612972</v>
      </c>
      <c r="L970" s="304">
        <f t="shared" ca="1" si="435"/>
        <v>859.36906191957553</v>
      </c>
      <c r="M970" s="306">
        <f t="shared" ca="1" si="451"/>
        <v>-1.460478085757704</v>
      </c>
      <c r="N970" s="304">
        <f t="shared" ca="1" si="452"/>
        <v>-83.679230385261945</v>
      </c>
      <c r="P970" s="310">
        <f t="shared" ca="1" si="453"/>
        <v>23</v>
      </c>
      <c r="Q970" s="304">
        <f t="shared" ca="1" si="454"/>
        <v>0</v>
      </c>
      <c r="R970" s="306">
        <f t="shared" ca="1" si="455"/>
        <v>0</v>
      </c>
      <c r="S970" s="307">
        <f t="shared" ca="1" si="456"/>
        <v>8.1379999999999981</v>
      </c>
      <c r="T970" s="304">
        <f t="shared" ca="1" si="436"/>
        <v>79.83377999999999</v>
      </c>
      <c r="U970" s="311">
        <f t="shared" ca="1" si="437"/>
        <v>0</v>
      </c>
      <c r="V970" s="306">
        <f t="shared" ca="1" si="438"/>
        <v>1.2267830023390336</v>
      </c>
      <c r="W970" s="304">
        <f t="shared" ca="1" si="439"/>
        <v>60.317178472949031</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2.3386086865046618</v>
      </c>
      <c r="AH970" s="304">
        <f t="shared" ca="1" si="463"/>
        <v>-7.4117564628176567</v>
      </c>
    </row>
    <row r="971" spans="1:34" x14ac:dyDescent="0.2">
      <c r="A971" s="347">
        <f t="shared" ca="1" si="441"/>
        <v>1E-4</v>
      </c>
      <c r="B971" s="304">
        <f t="shared" ca="1" si="442"/>
        <v>34.526200000001047</v>
      </c>
      <c r="D971" s="306">
        <f t="shared" ca="1" si="443"/>
        <v>-0.81599857639933859</v>
      </c>
      <c r="E971" s="307">
        <f t="shared" ca="1" si="444"/>
        <v>-2.4432616023236511</v>
      </c>
      <c r="F971" s="304">
        <f t="shared" ca="1" si="445"/>
        <v>2.5759233168079523</v>
      </c>
      <c r="G971" s="306">
        <f t="shared" ca="1" si="446"/>
        <v>13.431770044876318</v>
      </c>
      <c r="H971" s="307">
        <f t="shared" ca="1" si="447"/>
        <v>-121.26140840781127</v>
      </c>
      <c r="I971" s="304">
        <f t="shared" ca="1" si="448"/>
        <v>122.00303937027323</v>
      </c>
      <c r="J971" s="306">
        <f t="shared" ca="1" si="449"/>
        <v>859.24597237897774</v>
      </c>
      <c r="K971" s="307">
        <f t="shared" ca="1" si="450"/>
        <v>-14.556662389237445</v>
      </c>
      <c r="L971" s="304">
        <f t="shared" ca="1" si="435"/>
        <v>859.3692672358078</v>
      </c>
      <c r="M971" s="306">
        <f t="shared" ca="1" si="451"/>
        <v>-1.4604789710046273</v>
      </c>
      <c r="N971" s="304">
        <f t="shared" ca="1" si="452"/>
        <v>-83.679281106174471</v>
      </c>
      <c r="P971" s="310">
        <f t="shared" ca="1" si="453"/>
        <v>23</v>
      </c>
      <c r="Q971" s="304">
        <f t="shared" ca="1" si="454"/>
        <v>0</v>
      </c>
      <c r="R971" s="306">
        <f t="shared" ca="1" si="455"/>
        <v>0</v>
      </c>
      <c r="S971" s="307">
        <f t="shared" ca="1" si="456"/>
        <v>8.1379999999999981</v>
      </c>
      <c r="T971" s="304">
        <f t="shared" ca="1" si="436"/>
        <v>79.83377999999999</v>
      </c>
      <c r="U971" s="311">
        <f t="shared" ca="1" si="437"/>
        <v>0</v>
      </c>
      <c r="V971" s="306">
        <f t="shared" ca="1" si="438"/>
        <v>1.2267844899535711</v>
      </c>
      <c r="W971" s="304">
        <f t="shared" ca="1" si="439"/>
        <v>60.317482849124467</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2.3385722404789382</v>
      </c>
      <c r="AH971" s="304">
        <f t="shared" ca="1" si="463"/>
        <v>-7.4117938649482733</v>
      </c>
    </row>
    <row r="972" spans="1:34" x14ac:dyDescent="0.2">
      <c r="A972" s="347">
        <f t="shared" ca="1" si="441"/>
        <v>1E-4</v>
      </c>
      <c r="B972" s="304">
        <f t="shared" ca="1" si="442"/>
        <v>34.526300000001051</v>
      </c>
      <c r="D972" s="306">
        <f t="shared" ca="1" si="443"/>
        <v>-0.81599617272472547</v>
      </c>
      <c r="E972" s="307">
        <f t="shared" ca="1" si="444"/>
        <v>-2.4432237054840868</v>
      </c>
      <c r="F972" s="304">
        <f t="shared" ca="1" si="445"/>
        <v>2.575886610264666</v>
      </c>
      <c r="G972" s="306">
        <f t="shared" ca="1" si="446"/>
        <v>13.431688445259045</v>
      </c>
      <c r="H972" s="307">
        <f t="shared" ca="1" si="447"/>
        <v>-121.26165273018182</v>
      </c>
      <c r="I972" s="304">
        <f t="shared" ca="1" si="448"/>
        <v>122.00327322390051</v>
      </c>
      <c r="J972" s="306">
        <f t="shared" ca="1" si="449"/>
        <v>859.24597237897774</v>
      </c>
      <c r="K972" s="307">
        <f t="shared" ca="1" si="450"/>
        <v>-14.568788542294344</v>
      </c>
      <c r="L972" s="304">
        <f t="shared" ca="1" si="435"/>
        <v>859.36947272351085</v>
      </c>
      <c r="M972" s="306">
        <f t="shared" ca="1" si="451"/>
        <v>-1.4604798562427792</v>
      </c>
      <c r="N972" s="304">
        <f t="shared" ca="1" si="452"/>
        <v>-83.679331826584445</v>
      </c>
      <c r="P972" s="310">
        <f t="shared" ca="1" si="453"/>
        <v>23</v>
      </c>
      <c r="Q972" s="304">
        <f t="shared" ca="1" si="454"/>
        <v>0</v>
      </c>
      <c r="R972" s="306">
        <f t="shared" ca="1" si="455"/>
        <v>0</v>
      </c>
      <c r="S972" s="307">
        <f t="shared" ca="1" si="456"/>
        <v>8.1379999999999981</v>
      </c>
      <c r="T972" s="304">
        <f t="shared" ca="1" si="436"/>
        <v>79.83377999999999</v>
      </c>
      <c r="U972" s="311">
        <f t="shared" ca="1" si="437"/>
        <v>0</v>
      </c>
      <c r="V972" s="306">
        <f t="shared" ca="1" si="438"/>
        <v>1.2267859775729113</v>
      </c>
      <c r="W972" s="304">
        <f t="shared" ca="1" si="439"/>
        <v>60.317787222936339</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2.3385357947265319</v>
      </c>
      <c r="AH972" s="304">
        <f t="shared" ca="1" si="463"/>
        <v>-7.4118312667884592</v>
      </c>
    </row>
    <row r="973" spans="1:34" x14ac:dyDescent="0.2">
      <c r="A973" s="347">
        <f t="shared" ca="1" si="441"/>
        <v>1E-4</v>
      </c>
      <c r="B973" s="304">
        <f t="shared" ca="1" si="442"/>
        <v>34.526400000001054</v>
      </c>
      <c r="D973" s="306">
        <f t="shared" ca="1" si="443"/>
        <v>-0.81599376901629839</v>
      </c>
      <c r="E973" s="307">
        <f t="shared" ca="1" si="444"/>
        <v>-2.443185808938833</v>
      </c>
      <c r="F973" s="304">
        <f t="shared" ca="1" si="445"/>
        <v>2.5758499040265379</v>
      </c>
      <c r="G973" s="306">
        <f t="shared" ca="1" si="446"/>
        <v>13.431606845882143</v>
      </c>
      <c r="H973" s="307">
        <f t="shared" ca="1" si="447"/>
        <v>-121.26189704876272</v>
      </c>
      <c r="I973" s="304">
        <f t="shared" ca="1" si="448"/>
        <v>122.00350707388323</v>
      </c>
      <c r="J973" s="306">
        <f t="shared" ca="1" si="449"/>
        <v>859.24597237897774</v>
      </c>
      <c r="K973" s="307">
        <f t="shared" ca="1" si="450"/>
        <v>-14.580914719783291</v>
      </c>
      <c r="L973" s="304">
        <f t="shared" ca="1" si="435"/>
        <v>859.36967838268572</v>
      </c>
      <c r="M973" s="306">
        <f t="shared" ca="1" si="451"/>
        <v>-1.4604807414721594</v>
      </c>
      <c r="N973" s="304">
        <f t="shared" ca="1" si="452"/>
        <v>-83.679382546491837</v>
      </c>
      <c r="P973" s="310">
        <f t="shared" ca="1" si="453"/>
        <v>23</v>
      </c>
      <c r="Q973" s="304">
        <f t="shared" ca="1" si="454"/>
        <v>0</v>
      </c>
      <c r="R973" s="306">
        <f t="shared" ca="1" si="455"/>
        <v>0</v>
      </c>
      <c r="S973" s="307">
        <f t="shared" ca="1" si="456"/>
        <v>8.1379999999999981</v>
      </c>
      <c r="T973" s="304">
        <f t="shared" ca="1" si="436"/>
        <v>79.83377999999999</v>
      </c>
      <c r="U973" s="311">
        <f t="shared" ca="1" si="437"/>
        <v>0</v>
      </c>
      <c r="V973" s="306">
        <f t="shared" ca="1" si="438"/>
        <v>1.2267874651970538</v>
      </c>
      <c r="W973" s="304">
        <f t="shared" ca="1" si="439"/>
        <v>60.318091594384633</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2.3384993492474457</v>
      </c>
      <c r="AH973" s="304">
        <f t="shared" ca="1" si="463"/>
        <v>-7.4118686683382098</v>
      </c>
    </row>
    <row r="974" spans="1:34" x14ac:dyDescent="0.2">
      <c r="A974" s="347">
        <f t="shared" ca="1" si="441"/>
        <v>1E-4</v>
      </c>
      <c r="B974" s="304">
        <f t="shared" ca="1" si="442"/>
        <v>34.526500000001057</v>
      </c>
      <c r="D974" s="306">
        <f t="shared" ca="1" si="443"/>
        <v>-0.81599136527406058</v>
      </c>
      <c r="E974" s="307">
        <f t="shared" ca="1" si="444"/>
        <v>-2.4431479126878912</v>
      </c>
      <c r="F974" s="304">
        <f t="shared" ca="1" si="445"/>
        <v>2.5758131980935701</v>
      </c>
      <c r="G974" s="306">
        <f t="shared" ca="1" si="446"/>
        <v>13.431525246745617</v>
      </c>
      <c r="H974" s="307">
        <f t="shared" ca="1" si="447"/>
        <v>-121.26214136355399</v>
      </c>
      <c r="I974" s="304">
        <f t="shared" ca="1" si="448"/>
        <v>122.00374092022145</v>
      </c>
      <c r="J974" s="306">
        <f t="shared" ca="1" si="449"/>
        <v>859.24597237897774</v>
      </c>
      <c r="K974" s="307">
        <f t="shared" ca="1" si="450"/>
        <v>-14.593040921703906</v>
      </c>
      <c r="L974" s="304">
        <f t="shared" ca="1" si="435"/>
        <v>859.36988421333308</v>
      </c>
      <c r="M974" s="306">
        <f t="shared" ca="1" si="451"/>
        <v>-1.4604816266927683</v>
      </c>
      <c r="N974" s="304">
        <f t="shared" ca="1" si="452"/>
        <v>-83.679433265896662</v>
      </c>
      <c r="P974" s="310">
        <f t="shared" ca="1" si="453"/>
        <v>23</v>
      </c>
      <c r="Q974" s="304">
        <f t="shared" ca="1" si="454"/>
        <v>0</v>
      </c>
      <c r="R974" s="306">
        <f t="shared" ca="1" si="455"/>
        <v>0</v>
      </c>
      <c r="S974" s="307">
        <f t="shared" ca="1" si="456"/>
        <v>8.1379999999999981</v>
      </c>
      <c r="T974" s="304">
        <f t="shared" ca="1" si="436"/>
        <v>79.83377999999999</v>
      </c>
      <c r="U974" s="311">
        <f t="shared" ca="1" si="437"/>
        <v>0</v>
      </c>
      <c r="V974" s="306">
        <f t="shared" ca="1" si="438"/>
        <v>1.2267889528259985</v>
      </c>
      <c r="W974" s="304">
        <f t="shared" ca="1" si="439"/>
        <v>60.318395963469378</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2.3384629040416813</v>
      </c>
      <c r="AH974" s="304">
        <f t="shared" ca="1" si="463"/>
        <v>-7.4119060695975234</v>
      </c>
    </row>
    <row r="975" spans="1:34" x14ac:dyDescent="0.2">
      <c r="A975" s="347">
        <f t="shared" ca="1" si="441"/>
        <v>1E-4</v>
      </c>
      <c r="B975" s="304">
        <f t="shared" ca="1" si="442"/>
        <v>34.526600000001061</v>
      </c>
      <c r="D975" s="306">
        <f t="shared" ca="1" si="443"/>
        <v>-0.81598896149801226</v>
      </c>
      <c r="E975" s="307">
        <f t="shared" ca="1" si="444"/>
        <v>-2.443110016731258</v>
      </c>
      <c r="F975" s="304">
        <f t="shared" ca="1" si="445"/>
        <v>2.5757764924657596</v>
      </c>
      <c r="G975" s="306">
        <f t="shared" ca="1" si="446"/>
        <v>13.431443647849466</v>
      </c>
      <c r="H975" s="307">
        <f t="shared" ca="1" si="447"/>
        <v>-121.26238567455567</v>
      </c>
      <c r="I975" s="304">
        <f t="shared" ca="1" si="448"/>
        <v>122.00397476291518</v>
      </c>
      <c r="J975" s="306">
        <f t="shared" ca="1" si="449"/>
        <v>859.24597237897774</v>
      </c>
      <c r="K975" s="307">
        <f t="shared" ca="1" si="450"/>
        <v>-14.605167148055811</v>
      </c>
      <c r="L975" s="304">
        <f t="shared" ca="1" si="435"/>
        <v>859.37009021545407</v>
      </c>
      <c r="M975" s="306">
        <f t="shared" ca="1" si="451"/>
        <v>-1.4604825119046061</v>
      </c>
      <c r="N975" s="304">
        <f t="shared" ca="1" si="452"/>
        <v>-83.679483984798935</v>
      </c>
      <c r="P975" s="310">
        <f t="shared" ca="1" si="453"/>
        <v>23</v>
      </c>
      <c r="Q975" s="304">
        <f t="shared" ca="1" si="454"/>
        <v>0</v>
      </c>
      <c r="R975" s="306">
        <f t="shared" ca="1" si="455"/>
        <v>0</v>
      </c>
      <c r="S975" s="307">
        <f t="shared" ca="1" si="456"/>
        <v>8.1379999999999981</v>
      </c>
      <c r="T975" s="304">
        <f t="shared" ca="1" si="436"/>
        <v>79.83377999999999</v>
      </c>
      <c r="U975" s="311">
        <f t="shared" ca="1" si="437"/>
        <v>0</v>
      </c>
      <c r="V975" s="306">
        <f t="shared" ca="1" si="438"/>
        <v>1.2267904404597461</v>
      </c>
      <c r="W975" s="304">
        <f t="shared" ca="1" si="439"/>
        <v>60.318700330190559</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2.3384264591092387</v>
      </c>
      <c r="AH975" s="304">
        <f t="shared" ca="1" si="463"/>
        <v>-7.4119434705664036</v>
      </c>
    </row>
    <row r="976" spans="1:34" x14ac:dyDescent="0.2">
      <c r="A976" s="347">
        <f t="shared" ca="1" si="441"/>
        <v>1E-4</v>
      </c>
      <c r="B976" s="304">
        <f t="shared" ca="1" si="442"/>
        <v>34.526700000001064</v>
      </c>
      <c r="D976" s="306">
        <f t="shared" ca="1" si="443"/>
        <v>-0.81598655768815198</v>
      </c>
      <c r="E976" s="307">
        <f t="shared" ca="1" si="444"/>
        <v>-2.4430721210689352</v>
      </c>
      <c r="F976" s="304">
        <f t="shared" ca="1" si="445"/>
        <v>2.5757397871431085</v>
      </c>
      <c r="G976" s="306">
        <f t="shared" ca="1" si="446"/>
        <v>13.431362049193698</v>
      </c>
      <c r="H976" s="307">
        <f t="shared" ca="1" si="447"/>
        <v>-121.26262998176779</v>
      </c>
      <c r="I976" s="304">
        <f t="shared" ca="1" si="448"/>
        <v>122.00420860196442</v>
      </c>
      <c r="J976" s="306">
        <f t="shared" ca="1" si="449"/>
        <v>859.24597237897774</v>
      </c>
      <c r="K976" s="307">
        <f t="shared" ca="1" si="450"/>
        <v>-14.617293398838628</v>
      </c>
      <c r="L976" s="304">
        <f t="shared" ca="1" si="435"/>
        <v>859.37029638904949</v>
      </c>
      <c r="M976" s="306">
        <f t="shared" ca="1" si="451"/>
        <v>-1.4604833971076727</v>
      </c>
      <c r="N976" s="304">
        <f t="shared" ca="1" si="452"/>
        <v>-83.679534703198669</v>
      </c>
      <c r="P976" s="310">
        <f t="shared" ca="1" si="453"/>
        <v>23</v>
      </c>
      <c r="Q976" s="304">
        <f t="shared" ca="1" si="454"/>
        <v>0</v>
      </c>
      <c r="R976" s="306">
        <f t="shared" ca="1" si="455"/>
        <v>0</v>
      </c>
      <c r="S976" s="307">
        <f t="shared" ca="1" si="456"/>
        <v>8.1379999999999981</v>
      </c>
      <c r="T976" s="304">
        <f t="shared" ca="1" si="436"/>
        <v>79.83377999999999</v>
      </c>
      <c r="U976" s="311">
        <f t="shared" ca="1" si="437"/>
        <v>0</v>
      </c>
      <c r="V976" s="306">
        <f t="shared" ca="1" si="438"/>
        <v>1.226791928098296</v>
      </c>
      <c r="W976" s="304">
        <f t="shared" ca="1" si="439"/>
        <v>60.319004694548141</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2.3383900144501171</v>
      </c>
      <c r="AH976" s="304">
        <f t="shared" ca="1" si="463"/>
        <v>-7.4119808712448476</v>
      </c>
    </row>
    <row r="977" spans="1:34" x14ac:dyDescent="0.2">
      <c r="A977" s="347">
        <f t="shared" ca="1" si="441"/>
        <v>1E-4</v>
      </c>
      <c r="B977" s="304">
        <f t="shared" ca="1" si="442"/>
        <v>34.526800000001067</v>
      </c>
      <c r="D977" s="306">
        <f t="shared" ca="1" si="443"/>
        <v>-0.81598415384448264</v>
      </c>
      <c r="E977" s="307">
        <f t="shared" ca="1" si="444"/>
        <v>-2.4430342257009263</v>
      </c>
      <c r="F977" s="304">
        <f t="shared" ca="1" si="445"/>
        <v>2.5757030821256204</v>
      </c>
      <c r="G977" s="306">
        <f t="shared" ca="1" si="446"/>
        <v>13.431280450778313</v>
      </c>
      <c r="H977" s="307">
        <f t="shared" ca="1" si="447"/>
        <v>-121.26287428519036</v>
      </c>
      <c r="I977" s="304">
        <f t="shared" ca="1" si="448"/>
        <v>122.00444243736924</v>
      </c>
      <c r="J977" s="306">
        <f t="shared" ca="1" si="449"/>
        <v>859.24597237897774</v>
      </c>
      <c r="K977" s="307">
        <f t="shared" ca="1" si="450"/>
        <v>-14.629419674051976</v>
      </c>
      <c r="L977" s="304">
        <f t="shared" ca="1" si="435"/>
        <v>859.37050273412024</v>
      </c>
      <c r="M977" s="306">
        <f t="shared" ca="1" si="451"/>
        <v>-1.4604842823019681</v>
      </c>
      <c r="N977" s="304">
        <f t="shared" ca="1" si="452"/>
        <v>-83.679585421095851</v>
      </c>
      <c r="P977" s="310">
        <f t="shared" ca="1" si="453"/>
        <v>23</v>
      </c>
      <c r="Q977" s="304">
        <f t="shared" ca="1" si="454"/>
        <v>0</v>
      </c>
      <c r="R977" s="306">
        <f t="shared" ca="1" si="455"/>
        <v>0</v>
      </c>
      <c r="S977" s="307">
        <f t="shared" ca="1" si="456"/>
        <v>8.1379999999999981</v>
      </c>
      <c r="T977" s="304">
        <f t="shared" ca="1" si="436"/>
        <v>79.83377999999999</v>
      </c>
      <c r="U977" s="311">
        <f t="shared" ca="1" si="437"/>
        <v>0</v>
      </c>
      <c r="V977" s="306">
        <f t="shared" ca="1" si="438"/>
        <v>1.2267934157416485</v>
      </c>
      <c r="W977" s="304">
        <f t="shared" ca="1" si="439"/>
        <v>60.319309056542181</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2.3383535700643208</v>
      </c>
      <c r="AH977" s="304">
        <f t="shared" ca="1" si="463"/>
        <v>-7.4120182716328529</v>
      </c>
    </row>
    <row r="978" spans="1:34" x14ac:dyDescent="0.2">
      <c r="A978" s="347">
        <f t="shared" ca="1" si="441"/>
        <v>1E-4</v>
      </c>
      <c r="B978" s="304">
        <f t="shared" ca="1" si="442"/>
        <v>34.526900000001071</v>
      </c>
      <c r="D978" s="306">
        <f t="shared" ca="1" si="443"/>
        <v>-0.81598174996700668</v>
      </c>
      <c r="E978" s="307">
        <f t="shared" ca="1" si="444"/>
        <v>-2.4429963306272251</v>
      </c>
      <c r="F978" s="304">
        <f t="shared" ca="1" si="445"/>
        <v>2.5756663774132909</v>
      </c>
      <c r="G978" s="306">
        <f t="shared" ca="1" si="446"/>
        <v>13.431198852603316</v>
      </c>
      <c r="H978" s="307">
        <f t="shared" ca="1" si="447"/>
        <v>-121.26311858482343</v>
      </c>
      <c r="I978" s="304">
        <f t="shared" ca="1" si="448"/>
        <v>122.00467626912963</v>
      </c>
      <c r="J978" s="306">
        <f t="shared" ca="1" si="449"/>
        <v>859.24597237897774</v>
      </c>
      <c r="K978" s="307">
        <f t="shared" ca="1" si="450"/>
        <v>-14.641545973695477</v>
      </c>
      <c r="L978" s="304">
        <f t="shared" ca="1" si="435"/>
        <v>859.37070925066723</v>
      </c>
      <c r="M978" s="306">
        <f t="shared" ca="1" si="451"/>
        <v>-1.460485167487493</v>
      </c>
      <c r="N978" s="304">
        <f t="shared" ca="1" si="452"/>
        <v>-83.679636138490508</v>
      </c>
      <c r="P978" s="310">
        <f t="shared" ca="1" si="453"/>
        <v>23</v>
      </c>
      <c r="Q978" s="304">
        <f t="shared" ca="1" si="454"/>
        <v>0</v>
      </c>
      <c r="R978" s="306">
        <f t="shared" ca="1" si="455"/>
        <v>0</v>
      </c>
      <c r="S978" s="307">
        <f t="shared" ca="1" si="456"/>
        <v>8.1379999999999981</v>
      </c>
      <c r="T978" s="304">
        <f t="shared" ca="1" si="436"/>
        <v>79.83377999999999</v>
      </c>
      <c r="U978" s="311">
        <f t="shared" ca="1" si="437"/>
        <v>0</v>
      </c>
      <c r="V978" s="306">
        <f t="shared" ca="1" si="438"/>
        <v>1.2267949033898029</v>
      </c>
      <c r="W978" s="304">
        <f t="shared" ca="1" si="439"/>
        <v>60.319613416172608</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2.338317125951848</v>
      </c>
      <c r="AH978" s="304">
        <f t="shared" ca="1" si="463"/>
        <v>-7.4120556717304247</v>
      </c>
    </row>
    <row r="979" spans="1:34" x14ac:dyDescent="0.2">
      <c r="A979" s="347">
        <f t="shared" ca="1" si="441"/>
        <v>1E-4</v>
      </c>
      <c r="B979" s="304">
        <f t="shared" ca="1" si="442"/>
        <v>34.527000000001074</v>
      </c>
      <c r="D979" s="306">
        <f t="shared" ca="1" si="443"/>
        <v>-0.81597934605571998</v>
      </c>
      <c r="E979" s="307">
        <f t="shared" ca="1" si="444"/>
        <v>-2.4429584358478404</v>
      </c>
      <c r="F979" s="304">
        <f t="shared" ca="1" si="445"/>
        <v>2.5756296730061266</v>
      </c>
      <c r="G979" s="306">
        <f t="shared" ca="1" si="446"/>
        <v>13.431117254668711</v>
      </c>
      <c r="H979" s="307">
        <f t="shared" ca="1" si="447"/>
        <v>-121.26336288066702</v>
      </c>
      <c r="I979" s="304">
        <f t="shared" ca="1" si="448"/>
        <v>122.00491009724564</v>
      </c>
      <c r="J979" s="306">
        <f t="shared" ca="1" si="449"/>
        <v>859.24597237897774</v>
      </c>
      <c r="K979" s="307">
        <f t="shared" ca="1" si="450"/>
        <v>-14.653672297768752</v>
      </c>
      <c r="L979" s="304">
        <f t="shared" ca="1" si="435"/>
        <v>859.37091593869138</v>
      </c>
      <c r="M979" s="306">
        <f t="shared" ca="1" si="451"/>
        <v>-1.4604860526642471</v>
      </c>
      <c r="N979" s="304">
        <f t="shared" ca="1" si="452"/>
        <v>-83.679686855382641</v>
      </c>
      <c r="P979" s="310">
        <f t="shared" ca="1" si="453"/>
        <v>23</v>
      </c>
      <c r="Q979" s="304">
        <f t="shared" ca="1" si="454"/>
        <v>0</v>
      </c>
      <c r="R979" s="306">
        <f t="shared" ca="1" si="455"/>
        <v>0</v>
      </c>
      <c r="S979" s="307">
        <f t="shared" ca="1" si="456"/>
        <v>8.1379999999999981</v>
      </c>
      <c r="T979" s="304">
        <f t="shared" ca="1" si="436"/>
        <v>79.83377999999999</v>
      </c>
      <c r="U979" s="311">
        <f t="shared" ca="1" si="437"/>
        <v>0</v>
      </c>
      <c r="V979" s="306">
        <f t="shared" ca="1" si="438"/>
        <v>1.2267963910427597</v>
      </c>
      <c r="W979" s="304">
        <f t="shared" ca="1" si="439"/>
        <v>60.319917773439435</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2.3382806821127016</v>
      </c>
      <c r="AH979" s="304">
        <f t="shared" ca="1" si="463"/>
        <v>-7.412093071537555</v>
      </c>
    </row>
    <row r="980" spans="1:34" x14ac:dyDescent="0.2">
      <c r="A980" s="347">
        <f t="shared" ca="1" si="441"/>
        <v>1E-4</v>
      </c>
      <c r="B980" s="304">
        <f t="shared" ca="1" si="442"/>
        <v>34.527100000001077</v>
      </c>
      <c r="D980" s="306">
        <f t="shared" ca="1" si="443"/>
        <v>-0.81597694211062621</v>
      </c>
      <c r="E980" s="307">
        <f t="shared" ca="1" si="444"/>
        <v>-2.4429205413627706</v>
      </c>
      <c r="F980" s="304">
        <f t="shared" ca="1" si="445"/>
        <v>2.5755929689041279</v>
      </c>
      <c r="G980" s="306">
        <f t="shared" ca="1" si="446"/>
        <v>13.431035656974501</v>
      </c>
      <c r="H980" s="307">
        <f t="shared" ca="1" si="447"/>
        <v>-121.26360717272115</v>
      </c>
      <c r="I980" s="304">
        <f t="shared" ca="1" si="448"/>
        <v>122.00514392171729</v>
      </c>
      <c r="J980" s="306">
        <f t="shared" ca="1" si="449"/>
        <v>859.24597237897774</v>
      </c>
      <c r="K980" s="307">
        <f t="shared" ca="1" si="450"/>
        <v>-14.665798646271421</v>
      </c>
      <c r="L980" s="304">
        <f t="shared" ca="1" si="435"/>
        <v>859.3711227981936</v>
      </c>
      <c r="M980" s="306">
        <f t="shared" ca="1" si="451"/>
        <v>-1.4604869378322305</v>
      </c>
      <c r="N980" s="304">
        <f t="shared" ca="1" si="452"/>
        <v>-83.67973757177225</v>
      </c>
      <c r="P980" s="310">
        <f t="shared" ca="1" si="453"/>
        <v>23</v>
      </c>
      <c r="Q980" s="304">
        <f t="shared" ca="1" si="454"/>
        <v>0</v>
      </c>
      <c r="R980" s="306">
        <f t="shared" ca="1" si="455"/>
        <v>0</v>
      </c>
      <c r="S980" s="307">
        <f t="shared" ca="1" si="456"/>
        <v>8.1379999999999981</v>
      </c>
      <c r="T980" s="304">
        <f t="shared" ca="1" si="436"/>
        <v>79.83377999999999</v>
      </c>
      <c r="U980" s="311">
        <f t="shared" ca="1" si="437"/>
        <v>0</v>
      </c>
      <c r="V980" s="306">
        <f t="shared" ca="1" si="438"/>
        <v>1.2267978787005189</v>
      </c>
      <c r="W980" s="304">
        <f t="shared" ca="1" si="439"/>
        <v>60.320222128342671</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2.3382442385468867</v>
      </c>
      <c r="AH980" s="304">
        <f t="shared" ca="1" si="463"/>
        <v>-7.4121304710542457</v>
      </c>
    </row>
    <row r="981" spans="1:34" x14ac:dyDescent="0.2">
      <c r="A981" s="347">
        <f t="shared" ca="1" si="441"/>
        <v>1E-4</v>
      </c>
      <c r="B981" s="304">
        <f t="shared" ca="1" si="442"/>
        <v>34.527200000001081</v>
      </c>
      <c r="D981" s="306">
        <f t="shared" ca="1" si="443"/>
        <v>-0.81597453813172705</v>
      </c>
      <c r="E981" s="307">
        <f t="shared" ca="1" si="444"/>
        <v>-2.4428826471720146</v>
      </c>
      <c r="F981" s="304">
        <f t="shared" ca="1" si="445"/>
        <v>2.5755562651072945</v>
      </c>
      <c r="G981" s="306">
        <f t="shared" ca="1" si="446"/>
        <v>13.430954059520689</v>
      </c>
      <c r="H981" s="307">
        <f t="shared" ca="1" si="447"/>
        <v>-121.26385146098586</v>
      </c>
      <c r="I981" s="304">
        <f t="shared" ca="1" si="448"/>
        <v>122.0053777425446</v>
      </c>
      <c r="J981" s="306">
        <f t="shared" ca="1" si="449"/>
        <v>859.24597237897774</v>
      </c>
      <c r="K981" s="307">
        <f t="shared" ca="1" si="450"/>
        <v>-14.677925019203107</v>
      </c>
      <c r="L981" s="304">
        <f t="shared" ca="1" si="435"/>
        <v>859.37132982917478</v>
      </c>
      <c r="M981" s="306">
        <f t="shared" ca="1" si="451"/>
        <v>-1.4604878229914435</v>
      </c>
      <c r="N981" s="304">
        <f t="shared" ca="1" si="452"/>
        <v>-83.679788287659349</v>
      </c>
      <c r="P981" s="310">
        <f t="shared" ca="1" si="453"/>
        <v>23</v>
      </c>
      <c r="Q981" s="304">
        <f t="shared" ca="1" si="454"/>
        <v>0</v>
      </c>
      <c r="R981" s="306">
        <f t="shared" ca="1" si="455"/>
        <v>0</v>
      </c>
      <c r="S981" s="307">
        <f t="shared" ca="1" si="456"/>
        <v>8.1379999999999981</v>
      </c>
      <c r="T981" s="304">
        <f t="shared" ca="1" si="436"/>
        <v>79.83377999999999</v>
      </c>
      <c r="U981" s="311">
        <f t="shared" ca="1" si="437"/>
        <v>0</v>
      </c>
      <c r="V981" s="306">
        <f t="shared" ca="1" si="438"/>
        <v>1.2267993663630805</v>
      </c>
      <c r="W981" s="304">
        <f t="shared" ca="1" si="439"/>
        <v>60.3205264808823</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2.3382077952543945</v>
      </c>
      <c r="AH981" s="304">
        <f t="shared" ca="1" si="463"/>
        <v>-7.4121678702804967</v>
      </c>
    </row>
    <row r="982" spans="1:34" x14ac:dyDescent="0.2">
      <c r="A982" s="347">
        <f t="shared" ca="1" si="441"/>
        <v>1E-4</v>
      </c>
      <c r="B982" s="304">
        <f t="shared" ca="1" si="442"/>
        <v>34.527300000001084</v>
      </c>
      <c r="D982" s="306">
        <f t="shared" ca="1" si="443"/>
        <v>-0.81597213411902103</v>
      </c>
      <c r="E982" s="307">
        <f t="shared" ca="1" si="444"/>
        <v>-2.4428447532755735</v>
      </c>
      <c r="F982" s="304">
        <f t="shared" ca="1" si="445"/>
        <v>2.5755195616156259</v>
      </c>
      <c r="G982" s="306">
        <f t="shared" ca="1" si="446"/>
        <v>13.430872462307276</v>
      </c>
      <c r="H982" s="307">
        <f t="shared" ca="1" si="447"/>
        <v>-121.26409574546119</v>
      </c>
      <c r="I982" s="304">
        <f t="shared" ca="1" si="448"/>
        <v>122.00561155972763</v>
      </c>
      <c r="J982" s="306">
        <f t="shared" ca="1" si="449"/>
        <v>859.24597237897774</v>
      </c>
      <c r="K982" s="307">
        <f t="shared" ca="1" si="450"/>
        <v>-14.690051416563429</v>
      </c>
      <c r="L982" s="304">
        <f t="shared" ca="1" si="435"/>
        <v>859.37153703163585</v>
      </c>
      <c r="M982" s="306">
        <f t="shared" ca="1" si="451"/>
        <v>-1.4604887081418862</v>
      </c>
      <c r="N982" s="304">
        <f t="shared" ca="1" si="452"/>
        <v>-83.679839003043952</v>
      </c>
      <c r="P982" s="310">
        <f t="shared" ca="1" si="453"/>
        <v>23</v>
      </c>
      <c r="Q982" s="304">
        <f t="shared" ca="1" si="454"/>
        <v>0</v>
      </c>
      <c r="R982" s="306">
        <f t="shared" ca="1" si="455"/>
        <v>0</v>
      </c>
      <c r="S982" s="307">
        <f t="shared" ca="1" si="456"/>
        <v>8.1379999999999981</v>
      </c>
      <c r="T982" s="304">
        <f t="shared" ca="1" si="436"/>
        <v>79.83377999999999</v>
      </c>
      <c r="U982" s="311">
        <f t="shared" ca="1" si="437"/>
        <v>0</v>
      </c>
      <c r="V982" s="306">
        <f t="shared" ca="1" si="438"/>
        <v>1.2268008540304443</v>
      </c>
      <c r="W982" s="304">
        <f t="shared" ca="1" si="439"/>
        <v>60.320830831058373</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2.3381713522352356</v>
      </c>
      <c r="AH982" s="304">
        <f t="shared" ca="1" si="463"/>
        <v>-7.4122052692163081</v>
      </c>
    </row>
    <row r="983" spans="1:34" x14ac:dyDescent="0.2">
      <c r="A983" s="347">
        <f t="shared" ca="1" si="441"/>
        <v>1E-4</v>
      </c>
      <c r="B983" s="304">
        <f t="shared" ca="1" si="442"/>
        <v>34.527400000001087</v>
      </c>
      <c r="D983" s="306">
        <f t="shared" ca="1" si="443"/>
        <v>-0.8159697300725105</v>
      </c>
      <c r="E983" s="307">
        <f t="shared" ca="1" si="444"/>
        <v>-2.4428068596734427</v>
      </c>
      <c r="F983" s="304">
        <f t="shared" ca="1" si="445"/>
        <v>2.5754828584291203</v>
      </c>
      <c r="G983" s="306">
        <f t="shared" ca="1" si="446"/>
        <v>13.430790865334268</v>
      </c>
      <c r="H983" s="307">
        <f t="shared" ca="1" si="447"/>
        <v>-121.26434002614715</v>
      </c>
      <c r="I983" s="304">
        <f t="shared" ca="1" si="448"/>
        <v>122.00584537326637</v>
      </c>
      <c r="J983" s="306">
        <f t="shared" ca="1" si="449"/>
        <v>859.24597237897774</v>
      </c>
      <c r="K983" s="307">
        <f t="shared" ca="1" si="450"/>
        <v>-14.702177838352011</v>
      </c>
      <c r="L983" s="304">
        <f t="shared" ca="1" si="435"/>
        <v>859.37174440557772</v>
      </c>
      <c r="M983" s="306">
        <f t="shared" ca="1" si="451"/>
        <v>-1.4604895932835587</v>
      </c>
      <c r="N983" s="304">
        <f t="shared" ca="1" si="452"/>
        <v>-83.679889717926059</v>
      </c>
      <c r="P983" s="310">
        <f t="shared" ca="1" si="453"/>
        <v>23</v>
      </c>
      <c r="Q983" s="304">
        <f t="shared" ca="1" si="454"/>
        <v>0</v>
      </c>
      <c r="R983" s="306">
        <f t="shared" ca="1" si="455"/>
        <v>0</v>
      </c>
      <c r="S983" s="307">
        <f t="shared" ca="1" si="456"/>
        <v>8.1379999999999981</v>
      </c>
      <c r="T983" s="304">
        <f t="shared" ca="1" si="436"/>
        <v>79.83377999999999</v>
      </c>
      <c r="U983" s="311">
        <f t="shared" ca="1" si="437"/>
        <v>0</v>
      </c>
      <c r="V983" s="306">
        <f t="shared" ca="1" si="438"/>
        <v>1.2268023417026104</v>
      </c>
      <c r="W983" s="304">
        <f t="shared" ca="1" si="439"/>
        <v>60.321135178870833</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2.3381349094894004</v>
      </c>
      <c r="AH983" s="304">
        <f t="shared" ca="1" si="463"/>
        <v>-7.4122426678616842</v>
      </c>
    </row>
    <row r="984" spans="1:34" x14ac:dyDescent="0.2">
      <c r="A984" s="347">
        <f t="shared" ca="1" si="441"/>
        <v>1E-4</v>
      </c>
      <c r="B984" s="304">
        <f t="shared" ca="1" si="442"/>
        <v>34.527500000001091</v>
      </c>
      <c r="D984" s="306">
        <f t="shared" ca="1" si="443"/>
        <v>-0.81596732599219635</v>
      </c>
      <c r="E984" s="307">
        <f t="shared" ca="1" si="444"/>
        <v>-2.4427689663656276</v>
      </c>
      <c r="F984" s="304">
        <f t="shared" ca="1" si="445"/>
        <v>2.5754461555477826</v>
      </c>
      <c r="G984" s="306">
        <f t="shared" ca="1" si="446"/>
        <v>13.430709268601669</v>
      </c>
      <c r="H984" s="307">
        <f t="shared" ca="1" si="447"/>
        <v>-121.26458430304379</v>
      </c>
      <c r="I984" s="304">
        <f t="shared" ca="1" si="448"/>
        <v>122.00607918316086</v>
      </c>
      <c r="J984" s="306">
        <f t="shared" ca="1" si="449"/>
        <v>859.24597237897774</v>
      </c>
      <c r="K984" s="307">
        <f t="shared" ca="1" si="450"/>
        <v>-14.71430428456847</v>
      </c>
      <c r="L984" s="304">
        <f t="shared" ca="1" si="435"/>
        <v>859.37195195100117</v>
      </c>
      <c r="M984" s="306">
        <f t="shared" ca="1" si="451"/>
        <v>-1.4604904784164612</v>
      </c>
      <c r="N984" s="304">
        <f t="shared" ca="1" si="452"/>
        <v>-83.679940432305671</v>
      </c>
      <c r="P984" s="310">
        <f t="shared" ca="1" si="453"/>
        <v>23</v>
      </c>
      <c r="Q984" s="304">
        <f t="shared" ca="1" si="454"/>
        <v>0</v>
      </c>
      <c r="R984" s="306">
        <f t="shared" ca="1" si="455"/>
        <v>0</v>
      </c>
      <c r="S984" s="307">
        <f t="shared" ca="1" si="456"/>
        <v>8.1379999999999981</v>
      </c>
      <c r="T984" s="304">
        <f t="shared" ca="1" si="436"/>
        <v>79.83377999999999</v>
      </c>
      <c r="U984" s="311">
        <f t="shared" ca="1" si="437"/>
        <v>0</v>
      </c>
      <c r="V984" s="306">
        <f t="shared" ca="1" si="438"/>
        <v>1.226803829379578</v>
      </c>
      <c r="W984" s="304">
        <f t="shared" ca="1" si="439"/>
        <v>60.321439524319658</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2.3380984670168949</v>
      </c>
      <c r="AH984" s="304">
        <f t="shared" ca="1" si="463"/>
        <v>-7.4122800662166188</v>
      </c>
    </row>
    <row r="985" spans="1:34" x14ac:dyDescent="0.2">
      <c r="A985" s="347">
        <f t="shared" ca="1" si="441"/>
        <v>1E-4</v>
      </c>
      <c r="B985" s="304">
        <f t="shared" ca="1" si="442"/>
        <v>34.527600000001094</v>
      </c>
      <c r="D985" s="306">
        <f t="shared" ca="1" si="443"/>
        <v>-0.8159649218780769</v>
      </c>
      <c r="E985" s="307">
        <f t="shared" ca="1" si="444"/>
        <v>-2.4427310733521317</v>
      </c>
      <c r="F985" s="304">
        <f t="shared" ca="1" si="445"/>
        <v>2.5754094529716149</v>
      </c>
      <c r="G985" s="306">
        <f t="shared" ca="1" si="446"/>
        <v>13.430627672109482</v>
      </c>
      <c r="H985" s="307">
        <f t="shared" ca="1" si="447"/>
        <v>-121.26482857615113</v>
      </c>
      <c r="I985" s="304">
        <f t="shared" ca="1" si="448"/>
        <v>122.00631298941113</v>
      </c>
      <c r="J985" s="306">
        <f t="shared" ca="1" si="449"/>
        <v>859.24597237897774</v>
      </c>
      <c r="K985" s="307">
        <f t="shared" ca="1" si="450"/>
        <v>-14.72643075521243</v>
      </c>
      <c r="L985" s="304">
        <f t="shared" ca="1" si="435"/>
        <v>859.37215966790723</v>
      </c>
      <c r="M985" s="306">
        <f t="shared" ca="1" si="451"/>
        <v>-1.4604913635405936</v>
      </c>
      <c r="N985" s="304">
        <f t="shared" ca="1" si="452"/>
        <v>-83.679991146182815</v>
      </c>
      <c r="P985" s="310">
        <f t="shared" ca="1" si="453"/>
        <v>23</v>
      </c>
      <c r="Q985" s="304">
        <f t="shared" ca="1" si="454"/>
        <v>0</v>
      </c>
      <c r="R985" s="306">
        <f t="shared" ca="1" si="455"/>
        <v>0</v>
      </c>
      <c r="S985" s="307">
        <f t="shared" ca="1" si="456"/>
        <v>8.1379999999999981</v>
      </c>
      <c r="T985" s="304">
        <f t="shared" ca="1" si="436"/>
        <v>79.83377999999999</v>
      </c>
      <c r="U985" s="311">
        <f t="shared" ca="1" si="437"/>
        <v>0</v>
      </c>
      <c r="V985" s="306">
        <f t="shared" ca="1" si="438"/>
        <v>1.2268053170613487</v>
      </c>
      <c r="W985" s="304">
        <f t="shared" ca="1" si="439"/>
        <v>60.321743867404891</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2.3380620248177237</v>
      </c>
      <c r="AH985" s="304">
        <f t="shared" ca="1" si="463"/>
        <v>-7.4123174642811094</v>
      </c>
    </row>
    <row r="986" spans="1:34" x14ac:dyDescent="0.2">
      <c r="A986" s="347">
        <f t="shared" ca="1" si="441"/>
        <v>1E-4</v>
      </c>
      <c r="B986" s="304">
        <f t="shared" ca="1" si="442"/>
        <v>34.527700000001097</v>
      </c>
      <c r="D986" s="306">
        <f t="shared" ca="1" si="443"/>
        <v>-0.81596251773015605</v>
      </c>
      <c r="E986" s="307">
        <f t="shared" ca="1" si="444"/>
        <v>-2.4426931806329497</v>
      </c>
      <c r="F986" s="304">
        <f t="shared" ca="1" si="445"/>
        <v>2.5753727507006148</v>
      </c>
      <c r="G986" s="306">
        <f t="shared" ca="1" si="446"/>
        <v>13.430546075857709</v>
      </c>
      <c r="H986" s="307">
        <f t="shared" ca="1" si="447"/>
        <v>-121.26507284546919</v>
      </c>
      <c r="I986" s="304">
        <f t="shared" ca="1" si="448"/>
        <v>122.00654679201722</v>
      </c>
      <c r="J986" s="306">
        <f t="shared" ca="1" si="449"/>
        <v>859.24597237897774</v>
      </c>
      <c r="K986" s="307">
        <f t="shared" ca="1" si="450"/>
        <v>-14.738557250283511</v>
      </c>
      <c r="L986" s="304">
        <f t="shared" ca="1" si="435"/>
        <v>859.37236755629669</v>
      </c>
      <c r="M986" s="306">
        <f t="shared" ca="1" si="451"/>
        <v>-1.4604922486559564</v>
      </c>
      <c r="N986" s="304">
        <f t="shared" ca="1" si="452"/>
        <v>-83.680041859557477</v>
      </c>
      <c r="P986" s="310">
        <f t="shared" ca="1" si="453"/>
        <v>23</v>
      </c>
      <c r="Q986" s="304">
        <f t="shared" ca="1" si="454"/>
        <v>0</v>
      </c>
      <c r="R986" s="306">
        <f t="shared" ca="1" si="455"/>
        <v>0</v>
      </c>
      <c r="S986" s="307">
        <f t="shared" ca="1" si="456"/>
        <v>8.1379999999999981</v>
      </c>
      <c r="T986" s="304">
        <f t="shared" ca="1" si="436"/>
        <v>79.83377999999999</v>
      </c>
      <c r="U986" s="311">
        <f t="shared" ca="1" si="437"/>
        <v>0</v>
      </c>
      <c r="V986" s="306">
        <f t="shared" ca="1" si="438"/>
        <v>1.2268068047479206</v>
      </c>
      <c r="W986" s="304">
        <f t="shared" ca="1" si="439"/>
        <v>60.322048208126496</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2.3380255828918797</v>
      </c>
      <c r="AH986" s="304">
        <f t="shared" ca="1" si="463"/>
        <v>-7.4123548620551611</v>
      </c>
    </row>
    <row r="987" spans="1:34" x14ac:dyDescent="0.2">
      <c r="A987" s="347">
        <f t="shared" ca="1" si="441"/>
        <v>1E-4</v>
      </c>
      <c r="B987" s="304">
        <f t="shared" ca="1" si="442"/>
        <v>34.5278000000011</v>
      </c>
      <c r="D987" s="306">
        <f t="shared" ca="1" si="443"/>
        <v>-0.8159601135484319</v>
      </c>
      <c r="E987" s="307">
        <f t="shared" ca="1" si="444"/>
        <v>-2.4426552882080852</v>
      </c>
      <c r="F987" s="304">
        <f t="shared" ca="1" si="445"/>
        <v>2.5753360487347847</v>
      </c>
      <c r="G987" s="306">
        <f t="shared" ca="1" si="446"/>
        <v>13.430464479846353</v>
      </c>
      <c r="H987" s="307">
        <f t="shared" ca="1" si="447"/>
        <v>-121.26531711099801</v>
      </c>
      <c r="I987" s="304">
        <f t="shared" ca="1" si="448"/>
        <v>122.00678059097913</v>
      </c>
      <c r="J987" s="306">
        <f t="shared" ca="1" si="449"/>
        <v>859.24597237897774</v>
      </c>
      <c r="K987" s="307">
        <f t="shared" ca="1" si="450"/>
        <v>-14.750683769781334</v>
      </c>
      <c r="L987" s="304">
        <f t="shared" ca="1" si="435"/>
        <v>859.37257561617071</v>
      </c>
      <c r="M987" s="306">
        <f t="shared" ca="1" si="451"/>
        <v>-1.4604931337625493</v>
      </c>
      <c r="N987" s="304">
        <f t="shared" ca="1" si="452"/>
        <v>-83.680092572429672</v>
      </c>
      <c r="P987" s="310">
        <f t="shared" ca="1" si="453"/>
        <v>23</v>
      </c>
      <c r="Q987" s="304">
        <f t="shared" ca="1" si="454"/>
        <v>0</v>
      </c>
      <c r="R987" s="306">
        <f t="shared" ca="1" si="455"/>
        <v>0</v>
      </c>
      <c r="S987" s="307">
        <f t="shared" ca="1" si="456"/>
        <v>8.1379999999999981</v>
      </c>
      <c r="T987" s="304">
        <f t="shared" ca="1" si="436"/>
        <v>79.83377999999999</v>
      </c>
      <c r="U987" s="311">
        <f t="shared" ca="1" si="437"/>
        <v>0</v>
      </c>
      <c r="V987" s="306">
        <f t="shared" ca="1" si="438"/>
        <v>1.2268082924392949</v>
      </c>
      <c r="W987" s="304">
        <f t="shared" ca="1" si="439"/>
        <v>60.322352546484474</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2.3379891412393743</v>
      </c>
      <c r="AH987" s="304">
        <f t="shared" ca="1" si="463"/>
        <v>-7.4123922595387697</v>
      </c>
    </row>
    <row r="988" spans="1:34" x14ac:dyDescent="0.2">
      <c r="A988" s="347">
        <f t="shared" ca="1" si="441"/>
        <v>1E-4</v>
      </c>
      <c r="B988" s="304">
        <f t="shared" ca="1" si="442"/>
        <v>34.527900000001104</v>
      </c>
      <c r="D988" s="306">
        <f t="shared" ca="1" si="443"/>
        <v>-0.81595770933290768</v>
      </c>
      <c r="E988" s="307">
        <f t="shared" ca="1" si="444"/>
        <v>-2.4426173960775399</v>
      </c>
      <c r="F988" s="304">
        <f t="shared" ca="1" si="445"/>
        <v>2.5752993470741274</v>
      </c>
      <c r="G988" s="306">
        <f t="shared" ca="1" si="446"/>
        <v>13.430382884075421</v>
      </c>
      <c r="H988" s="307">
        <f t="shared" ca="1" si="447"/>
        <v>-121.26556137273762</v>
      </c>
      <c r="I988" s="304">
        <f t="shared" ca="1" si="448"/>
        <v>122.00701438629692</v>
      </c>
      <c r="J988" s="306">
        <f t="shared" ca="1" si="449"/>
        <v>859.24597237897774</v>
      </c>
      <c r="K988" s="307">
        <f t="shared" ca="1" si="450"/>
        <v>-14.76281031370552</v>
      </c>
      <c r="L988" s="304">
        <f t="shared" ca="1" si="435"/>
        <v>859.37278384752994</v>
      </c>
      <c r="M988" s="306">
        <f t="shared" ca="1" si="451"/>
        <v>-1.4604940188603728</v>
      </c>
      <c r="N988" s="304">
        <f t="shared" ca="1" si="452"/>
        <v>-83.680143284799414</v>
      </c>
      <c r="P988" s="310">
        <f t="shared" ca="1" si="453"/>
        <v>23</v>
      </c>
      <c r="Q988" s="304">
        <f t="shared" ca="1" si="454"/>
        <v>0</v>
      </c>
      <c r="R988" s="306">
        <f t="shared" ca="1" si="455"/>
        <v>0</v>
      </c>
      <c r="S988" s="307">
        <f t="shared" ca="1" si="456"/>
        <v>8.1379999999999981</v>
      </c>
      <c r="T988" s="304">
        <f t="shared" ca="1" si="436"/>
        <v>79.83377999999999</v>
      </c>
      <c r="U988" s="311">
        <f t="shared" ca="1" si="437"/>
        <v>0</v>
      </c>
      <c r="V988" s="306">
        <f t="shared" ca="1" si="438"/>
        <v>1.2268097801354716</v>
      </c>
      <c r="W988" s="304">
        <f t="shared" ca="1" si="439"/>
        <v>60.322656882478874</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2.3379526998601987</v>
      </c>
      <c r="AH988" s="304">
        <f t="shared" ca="1" si="463"/>
        <v>-7.412429656731935</v>
      </c>
    </row>
    <row r="989" spans="1:34" x14ac:dyDescent="0.2">
      <c r="A989" s="347">
        <f t="shared" ca="1" si="441"/>
        <v>1E-4</v>
      </c>
      <c r="B989" s="304">
        <f t="shared" ca="1" si="442"/>
        <v>34.528000000001107</v>
      </c>
      <c r="D989" s="306">
        <f t="shared" ca="1" si="443"/>
        <v>-0.81595530508358283</v>
      </c>
      <c r="E989" s="307">
        <f t="shared" ca="1" si="444"/>
        <v>-2.442579504241305</v>
      </c>
      <c r="F989" s="304">
        <f t="shared" ca="1" si="445"/>
        <v>2.5752626457186349</v>
      </c>
      <c r="G989" s="306">
        <f t="shared" ca="1" si="446"/>
        <v>13.430301288544912</v>
      </c>
      <c r="H989" s="307">
        <f t="shared" ca="1" si="447"/>
        <v>-121.26580563068805</v>
      </c>
      <c r="I989" s="304">
        <f t="shared" ca="1" si="448"/>
        <v>122.00724817797058</v>
      </c>
      <c r="J989" s="306">
        <f t="shared" ca="1" si="449"/>
        <v>859.24597237897774</v>
      </c>
      <c r="K989" s="307">
        <f t="shared" ca="1" si="450"/>
        <v>-14.774936882055691</v>
      </c>
      <c r="L989" s="304">
        <f t="shared" ca="1" si="435"/>
        <v>859.37299225037532</v>
      </c>
      <c r="M989" s="306">
        <f t="shared" ca="1" si="451"/>
        <v>-1.4604949039494268</v>
      </c>
      <c r="N989" s="304">
        <f t="shared" ca="1" si="452"/>
        <v>-83.680193996666702</v>
      </c>
      <c r="P989" s="310">
        <f t="shared" ca="1" si="453"/>
        <v>23</v>
      </c>
      <c r="Q989" s="304">
        <f t="shared" ca="1" si="454"/>
        <v>0</v>
      </c>
      <c r="R989" s="306">
        <f t="shared" ca="1" si="455"/>
        <v>0</v>
      </c>
      <c r="S989" s="307">
        <f t="shared" ca="1" si="456"/>
        <v>8.1379999999999981</v>
      </c>
      <c r="T989" s="304">
        <f t="shared" ca="1" si="436"/>
        <v>79.83377999999999</v>
      </c>
      <c r="U989" s="311">
        <f t="shared" ca="1" si="437"/>
        <v>0</v>
      </c>
      <c r="V989" s="306">
        <f t="shared" ca="1" si="438"/>
        <v>1.22681126783645</v>
      </c>
      <c r="W989" s="304">
        <f t="shared" ca="1" si="439"/>
        <v>60.322961216109611</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2.3379162587543538</v>
      </c>
      <c r="AH989" s="304">
        <f t="shared" ca="1" si="463"/>
        <v>-7.4124670536346633</v>
      </c>
    </row>
    <row r="990" spans="1:34" x14ac:dyDescent="0.2">
      <c r="A990" s="347">
        <f t="shared" ca="1" si="441"/>
        <v>1E-4</v>
      </c>
      <c r="B990" s="304">
        <f t="shared" ca="1" si="442"/>
        <v>34.52810000000111</v>
      </c>
      <c r="D990" s="306">
        <f t="shared" ca="1" si="443"/>
        <v>-0.81595290080045757</v>
      </c>
      <c r="E990" s="307">
        <f t="shared" ca="1" si="444"/>
        <v>-2.4425416126993937</v>
      </c>
      <c r="F990" s="304">
        <f t="shared" ca="1" si="445"/>
        <v>2.5752259446683192</v>
      </c>
      <c r="G990" s="306">
        <f t="shared" ca="1" si="446"/>
        <v>13.430219693254832</v>
      </c>
      <c r="H990" s="307">
        <f t="shared" ca="1" si="447"/>
        <v>-121.26604988484932</v>
      </c>
      <c r="I990" s="304">
        <f t="shared" ca="1" si="448"/>
        <v>122.00748196600016</v>
      </c>
      <c r="J990" s="306">
        <f t="shared" ca="1" si="449"/>
        <v>859.24597237897774</v>
      </c>
      <c r="K990" s="307">
        <f t="shared" ca="1" si="450"/>
        <v>-14.787063474831468</v>
      </c>
      <c r="L990" s="304">
        <f t="shared" ca="1" si="435"/>
        <v>859.37320082470785</v>
      </c>
      <c r="M990" s="306">
        <f t="shared" ca="1" si="451"/>
        <v>-1.4604957890297117</v>
      </c>
      <c r="N990" s="304">
        <f t="shared" ca="1" si="452"/>
        <v>-83.680244708031552</v>
      </c>
      <c r="P990" s="310">
        <f t="shared" ca="1" si="453"/>
        <v>23</v>
      </c>
      <c r="Q990" s="304">
        <f t="shared" ca="1" si="454"/>
        <v>0</v>
      </c>
      <c r="R990" s="306">
        <f t="shared" ca="1" si="455"/>
        <v>0</v>
      </c>
      <c r="S990" s="307">
        <f t="shared" ca="1" si="456"/>
        <v>8.1379999999999981</v>
      </c>
      <c r="T990" s="304">
        <f t="shared" ca="1" si="436"/>
        <v>79.83377999999999</v>
      </c>
      <c r="U990" s="311">
        <f t="shared" ca="1" si="437"/>
        <v>0</v>
      </c>
      <c r="V990" s="306">
        <f t="shared" ca="1" si="438"/>
        <v>1.2268127555422306</v>
      </c>
      <c r="W990" s="304">
        <f t="shared" ca="1" si="439"/>
        <v>60.323265547376707</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2.3378798179218494</v>
      </c>
      <c r="AH990" s="304">
        <f t="shared" ca="1" si="463"/>
        <v>-7.412504450246943</v>
      </c>
    </row>
    <row r="991" spans="1:34" x14ac:dyDescent="0.2">
      <c r="A991" s="347">
        <f t="shared" ca="1" si="441"/>
        <v>1E-4</v>
      </c>
      <c r="B991" s="304">
        <f t="shared" ca="1" si="442"/>
        <v>34.528200000001114</v>
      </c>
      <c r="D991" s="306">
        <f t="shared" ca="1" si="443"/>
        <v>-0.81595049648353257</v>
      </c>
      <c r="E991" s="307">
        <f t="shared" ca="1" si="444"/>
        <v>-2.4425037214518017</v>
      </c>
      <c r="F991" s="304">
        <f t="shared" ca="1" si="445"/>
        <v>2.5751892439231772</v>
      </c>
      <c r="G991" s="306">
        <f t="shared" ca="1" si="446"/>
        <v>13.430138098205184</v>
      </c>
      <c r="H991" s="307">
        <f t="shared" ca="1" si="447"/>
        <v>-121.26629413522147</v>
      </c>
      <c r="I991" s="304">
        <f t="shared" ca="1" si="448"/>
        <v>122.00771575038569</v>
      </c>
      <c r="J991" s="306">
        <f t="shared" ca="1" si="449"/>
        <v>859.24597237897774</v>
      </c>
      <c r="K991" s="307">
        <f t="shared" ca="1" si="450"/>
        <v>-14.799190092032472</v>
      </c>
      <c r="L991" s="304">
        <f t="shared" ca="1" si="435"/>
        <v>859.37340957052834</v>
      </c>
      <c r="M991" s="306">
        <f t="shared" ca="1" si="451"/>
        <v>-1.4604966741012271</v>
      </c>
      <c r="N991" s="304">
        <f t="shared" ca="1" si="452"/>
        <v>-83.680295418893962</v>
      </c>
      <c r="P991" s="310">
        <f t="shared" ca="1" si="453"/>
        <v>23</v>
      </c>
      <c r="Q991" s="304">
        <f t="shared" ca="1" si="454"/>
        <v>0</v>
      </c>
      <c r="R991" s="306">
        <f t="shared" ca="1" si="455"/>
        <v>0</v>
      </c>
      <c r="S991" s="307">
        <f t="shared" ca="1" si="456"/>
        <v>8.1379999999999981</v>
      </c>
      <c r="T991" s="304">
        <f t="shared" ca="1" si="436"/>
        <v>79.83377999999999</v>
      </c>
      <c r="U991" s="311">
        <f t="shared" ca="1" si="437"/>
        <v>0</v>
      </c>
      <c r="V991" s="306">
        <f t="shared" ca="1" si="438"/>
        <v>1.2268142432528124</v>
      </c>
      <c r="W991" s="304">
        <f t="shared" ca="1" si="439"/>
        <v>60.323569876280168</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2.337843377362681</v>
      </c>
      <c r="AH991" s="304">
        <f t="shared" ca="1" si="463"/>
        <v>-7.4125418465687787</v>
      </c>
    </row>
    <row r="992" spans="1:34" x14ac:dyDescent="0.2">
      <c r="A992" s="347">
        <f t="shared" ca="1" si="441"/>
        <v>1E-4</v>
      </c>
      <c r="B992" s="304">
        <f t="shared" ca="1" si="442"/>
        <v>34.528300000001117</v>
      </c>
      <c r="D992" s="306">
        <f t="shared" ca="1" si="443"/>
        <v>-0.81594809213281139</v>
      </c>
      <c r="E992" s="307">
        <f t="shared" ca="1" si="444"/>
        <v>-2.4424658304985298</v>
      </c>
      <c r="F992" s="304">
        <f t="shared" ca="1" si="445"/>
        <v>2.5751525434832105</v>
      </c>
      <c r="G992" s="306">
        <f t="shared" ca="1" si="446"/>
        <v>13.430056503395971</v>
      </c>
      <c r="H992" s="307">
        <f t="shared" ca="1" si="447"/>
        <v>-121.26653838180452</v>
      </c>
      <c r="I992" s="304">
        <f t="shared" ca="1" si="448"/>
        <v>122.00794953112718</v>
      </c>
      <c r="J992" s="306">
        <f t="shared" ca="1" si="449"/>
        <v>859.24597237897774</v>
      </c>
      <c r="K992" s="307">
        <f t="shared" ca="1" si="450"/>
        <v>-14.811316733658323</v>
      </c>
      <c r="L992" s="304">
        <f t="shared" ca="1" si="435"/>
        <v>859.37361848783769</v>
      </c>
      <c r="M992" s="306">
        <f t="shared" ca="1" si="451"/>
        <v>-1.4604975591639737</v>
      </c>
      <c r="N992" s="304">
        <f t="shared" ca="1" si="452"/>
        <v>-83.680346129253948</v>
      </c>
      <c r="P992" s="310">
        <f t="shared" ca="1" si="453"/>
        <v>23</v>
      </c>
      <c r="Q992" s="304">
        <f t="shared" ca="1" si="454"/>
        <v>0</v>
      </c>
      <c r="R992" s="306">
        <f t="shared" ca="1" si="455"/>
        <v>0</v>
      </c>
      <c r="S992" s="307">
        <f t="shared" ca="1" si="456"/>
        <v>8.1379999999999981</v>
      </c>
      <c r="T992" s="304">
        <f t="shared" ca="1" si="436"/>
        <v>79.83377999999999</v>
      </c>
      <c r="U992" s="311">
        <f t="shared" ca="1" si="437"/>
        <v>0</v>
      </c>
      <c r="V992" s="306">
        <f t="shared" ca="1" si="438"/>
        <v>1.2268157309681971</v>
      </c>
      <c r="W992" s="304">
        <f t="shared" ca="1" si="439"/>
        <v>60.323874202820022</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2.3378069370768495</v>
      </c>
      <c r="AH992" s="304">
        <f t="shared" ca="1" si="463"/>
        <v>-7.4125792426001693</v>
      </c>
    </row>
    <row r="993" spans="1:34" x14ac:dyDescent="0.2">
      <c r="A993" s="347">
        <f t="shared" ca="1" si="441"/>
        <v>1E-4</v>
      </c>
      <c r="B993" s="304">
        <f t="shared" ca="1" si="442"/>
        <v>34.52840000000112</v>
      </c>
      <c r="D993" s="306">
        <f t="shared" ca="1" si="443"/>
        <v>-0.81594568774829102</v>
      </c>
      <c r="E993" s="307">
        <f t="shared" ca="1" si="444"/>
        <v>-2.4424279398395718</v>
      </c>
      <c r="F993" s="304">
        <f t="shared" ca="1" si="445"/>
        <v>2.5751158433484127</v>
      </c>
      <c r="G993" s="306">
        <f t="shared" ca="1" si="446"/>
        <v>13.429974908827196</v>
      </c>
      <c r="H993" s="307">
        <f t="shared" ca="1" si="447"/>
        <v>-121.26678262459851</v>
      </c>
      <c r="I993" s="304">
        <f t="shared" ca="1" si="448"/>
        <v>122.00818330822467</v>
      </c>
      <c r="J993" s="306">
        <f t="shared" ca="1" si="449"/>
        <v>859.24597237897774</v>
      </c>
      <c r="K993" s="307">
        <f t="shared" ca="1" si="450"/>
        <v>-14.823443399708644</v>
      </c>
      <c r="L993" s="304">
        <f t="shared" ca="1" si="435"/>
        <v>859.37382757663693</v>
      </c>
      <c r="M993" s="306">
        <f t="shared" ca="1" si="451"/>
        <v>-1.4604984442179514</v>
      </c>
      <c r="N993" s="304">
        <f t="shared" ca="1" si="452"/>
        <v>-83.680396839111509</v>
      </c>
      <c r="P993" s="310">
        <f t="shared" ca="1" si="453"/>
        <v>23</v>
      </c>
      <c r="Q993" s="304">
        <f t="shared" ca="1" si="454"/>
        <v>0</v>
      </c>
      <c r="R993" s="306">
        <f t="shared" ca="1" si="455"/>
        <v>0</v>
      </c>
      <c r="S993" s="307">
        <f t="shared" ca="1" si="456"/>
        <v>8.1379999999999981</v>
      </c>
      <c r="T993" s="304">
        <f t="shared" ca="1" si="436"/>
        <v>79.83377999999999</v>
      </c>
      <c r="U993" s="311">
        <f t="shared" ca="1" si="437"/>
        <v>0</v>
      </c>
      <c r="V993" s="306">
        <f t="shared" ca="1" si="438"/>
        <v>1.2268172186883832</v>
      </c>
      <c r="W993" s="304">
        <f t="shared" ca="1" si="439"/>
        <v>60.324178526996214</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2.3377704970643514</v>
      </c>
      <c r="AH993" s="304">
        <f t="shared" ca="1" si="463"/>
        <v>-7.4126166383411203</v>
      </c>
    </row>
    <row r="994" spans="1:34" x14ac:dyDescent="0.2">
      <c r="A994" s="347">
        <f t="shared" ca="1" si="441"/>
        <v>1E-4</v>
      </c>
      <c r="B994" s="304">
        <f t="shared" ca="1" si="442"/>
        <v>34.528500000001124</v>
      </c>
      <c r="D994" s="306">
        <f t="shared" ca="1" si="443"/>
        <v>-0.81594328332997412</v>
      </c>
      <c r="E994" s="307">
        <f t="shared" ca="1" si="444"/>
        <v>-2.4423900494749375</v>
      </c>
      <c r="F994" s="304">
        <f t="shared" ca="1" si="445"/>
        <v>2.5750791435187943</v>
      </c>
      <c r="G994" s="306">
        <f t="shared" ca="1" si="446"/>
        <v>13.429893314498862</v>
      </c>
      <c r="H994" s="307">
        <f t="shared" ca="1" si="447"/>
        <v>-121.26702686360345</v>
      </c>
      <c r="I994" s="304">
        <f t="shared" ca="1" si="448"/>
        <v>122.00841708167819</v>
      </c>
      <c r="J994" s="306">
        <f t="shared" ca="1" si="449"/>
        <v>859.24597237897774</v>
      </c>
      <c r="K994" s="307">
        <f t="shared" ca="1" si="450"/>
        <v>-14.835570090183055</v>
      </c>
      <c r="L994" s="304">
        <f t="shared" ca="1" si="435"/>
        <v>859.37403683692685</v>
      </c>
      <c r="M994" s="306">
        <f t="shared" ca="1" si="451"/>
        <v>-1.4604993292631603</v>
      </c>
      <c r="N994" s="304">
        <f t="shared" ca="1" si="452"/>
        <v>-83.68044754846666</v>
      </c>
      <c r="P994" s="310">
        <f t="shared" ca="1" si="453"/>
        <v>23</v>
      </c>
      <c r="Q994" s="304">
        <f t="shared" ca="1" si="454"/>
        <v>0</v>
      </c>
      <c r="R994" s="306">
        <f t="shared" ca="1" si="455"/>
        <v>0</v>
      </c>
      <c r="S994" s="307">
        <f t="shared" ca="1" si="456"/>
        <v>8.1379999999999981</v>
      </c>
      <c r="T994" s="304">
        <f t="shared" ca="1" si="436"/>
        <v>79.83377999999999</v>
      </c>
      <c r="U994" s="311">
        <f t="shared" ca="1" si="437"/>
        <v>0</v>
      </c>
      <c r="V994" s="306">
        <f t="shared" ca="1" si="438"/>
        <v>1.2268187064133711</v>
      </c>
      <c r="W994" s="304">
        <f t="shared" ca="1" si="439"/>
        <v>60.324482848808742</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2.3377340573251955</v>
      </c>
      <c r="AH994" s="304">
        <f t="shared" ca="1" si="463"/>
        <v>-7.4126540337916227</v>
      </c>
    </row>
    <row r="995" spans="1:34" x14ac:dyDescent="0.2">
      <c r="A995" s="347">
        <f t="shared" ca="1" si="441"/>
        <v>1E-4</v>
      </c>
      <c r="B995" s="304">
        <f t="shared" ca="1" si="442"/>
        <v>34.528600000001127</v>
      </c>
      <c r="D995" s="306">
        <f t="shared" ca="1" si="443"/>
        <v>-0.81594087887786115</v>
      </c>
      <c r="E995" s="307">
        <f t="shared" ca="1" si="444"/>
        <v>-2.4423521594046251</v>
      </c>
      <c r="F995" s="304">
        <f t="shared" ca="1" si="445"/>
        <v>2.5750424439943531</v>
      </c>
      <c r="G995" s="306">
        <f t="shared" ca="1" si="446"/>
        <v>13.429811720410974</v>
      </c>
      <c r="H995" s="307">
        <f t="shared" ca="1" si="447"/>
        <v>-121.26727109881939</v>
      </c>
      <c r="I995" s="304">
        <f t="shared" ca="1" si="448"/>
        <v>122.00865085148776</v>
      </c>
      <c r="J995" s="306">
        <f t="shared" ca="1" si="449"/>
        <v>859.24597237897774</v>
      </c>
      <c r="K995" s="307">
        <f t="shared" ca="1" si="450"/>
        <v>-14.847696805081176</v>
      </c>
      <c r="L995" s="304">
        <f t="shared" ca="1" si="435"/>
        <v>859.37424626870836</v>
      </c>
      <c r="M995" s="306">
        <f t="shared" ca="1" si="451"/>
        <v>-1.4605002142996004</v>
      </c>
      <c r="N995" s="304">
        <f t="shared" ca="1" si="452"/>
        <v>-83.680498257319385</v>
      </c>
      <c r="P995" s="310">
        <f t="shared" ca="1" si="453"/>
        <v>23</v>
      </c>
      <c r="Q995" s="304">
        <f t="shared" ca="1" si="454"/>
        <v>0</v>
      </c>
      <c r="R995" s="306">
        <f t="shared" ca="1" si="455"/>
        <v>0</v>
      </c>
      <c r="S995" s="307">
        <f t="shared" ca="1" si="456"/>
        <v>8.1379999999999981</v>
      </c>
      <c r="T995" s="304">
        <f t="shared" ca="1" si="436"/>
        <v>79.83377999999999</v>
      </c>
      <c r="U995" s="311">
        <f t="shared" ca="1" si="437"/>
        <v>0</v>
      </c>
      <c r="V995" s="306">
        <f t="shared" ca="1" si="438"/>
        <v>1.2268201941431607</v>
      </c>
      <c r="W995" s="304">
        <f t="shared" ca="1" si="439"/>
        <v>60.324787168257622</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2.3376976178593782</v>
      </c>
      <c r="AH995" s="304">
        <f t="shared" ca="1" si="463"/>
        <v>-7.4126914289516783</v>
      </c>
    </row>
    <row r="996" spans="1:34" x14ac:dyDescent="0.2">
      <c r="A996" s="347">
        <f t="shared" ca="1" si="441"/>
        <v>1E-4</v>
      </c>
      <c r="B996" s="304">
        <f t="shared" ca="1" si="442"/>
        <v>34.52870000000113</v>
      </c>
      <c r="D996" s="306">
        <f t="shared" ca="1" si="443"/>
        <v>-0.81593847439195355</v>
      </c>
      <c r="E996" s="307">
        <f t="shared" ca="1" si="444"/>
        <v>-2.4423142696286346</v>
      </c>
      <c r="F996" s="304">
        <f t="shared" ca="1" si="445"/>
        <v>2.5750057447750909</v>
      </c>
      <c r="G996" s="306">
        <f t="shared" ca="1" si="446"/>
        <v>13.429730126563536</v>
      </c>
      <c r="H996" s="307">
        <f t="shared" ca="1" si="447"/>
        <v>-121.26751533024635</v>
      </c>
      <c r="I996" s="304">
        <f t="shared" ca="1" si="448"/>
        <v>122.00888461765341</v>
      </c>
      <c r="J996" s="306">
        <f t="shared" ca="1" si="449"/>
        <v>859.24597237897774</v>
      </c>
      <c r="K996" s="307">
        <f t="shared" ca="1" si="450"/>
        <v>-14.85982354440263</v>
      </c>
      <c r="L996" s="304">
        <f t="shared" ca="1" si="435"/>
        <v>859.37445587198238</v>
      </c>
      <c r="M996" s="306">
        <f t="shared" ca="1" si="451"/>
        <v>-1.4605010993272722</v>
      </c>
      <c r="N996" s="304">
        <f t="shared" ca="1" si="452"/>
        <v>-83.680548965669729</v>
      </c>
      <c r="P996" s="310">
        <f t="shared" ca="1" si="453"/>
        <v>23</v>
      </c>
      <c r="Q996" s="304">
        <f t="shared" ca="1" si="454"/>
        <v>0</v>
      </c>
      <c r="R996" s="306">
        <f t="shared" ca="1" si="455"/>
        <v>0</v>
      </c>
      <c r="S996" s="307">
        <f t="shared" ca="1" si="456"/>
        <v>8.1379999999999981</v>
      </c>
      <c r="T996" s="304">
        <f t="shared" ca="1" si="436"/>
        <v>79.83377999999999</v>
      </c>
      <c r="U996" s="311">
        <f t="shared" ca="1" si="437"/>
        <v>0</v>
      </c>
      <c r="V996" s="306">
        <f t="shared" ca="1" si="438"/>
        <v>1.2268216818777524</v>
      </c>
      <c r="W996" s="304">
        <f t="shared" ca="1" si="439"/>
        <v>60.32509148534286</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2.3376611786669015</v>
      </c>
      <c r="AH996" s="304">
        <f t="shared" ca="1" si="463"/>
        <v>-7.4127288238212872</v>
      </c>
    </row>
    <row r="997" spans="1:34" x14ac:dyDescent="0.2">
      <c r="A997" s="347">
        <f t="shared" ca="1" si="441"/>
        <v>1E-4</v>
      </c>
      <c r="B997" s="304">
        <f t="shared" ca="1" si="442"/>
        <v>34.528800000001134</v>
      </c>
      <c r="D997" s="306">
        <f t="shared" ca="1" si="443"/>
        <v>-0.81593606987225031</v>
      </c>
      <c r="E997" s="307">
        <f t="shared" ca="1" si="444"/>
        <v>-2.4422763801469625</v>
      </c>
      <c r="F997" s="304">
        <f t="shared" ca="1" si="445"/>
        <v>2.5749690458610028</v>
      </c>
      <c r="G997" s="306">
        <f t="shared" ca="1" si="446"/>
        <v>13.429648532956548</v>
      </c>
      <c r="H997" s="307">
        <f t="shared" ca="1" si="447"/>
        <v>-121.26775955788437</v>
      </c>
      <c r="I997" s="304">
        <f t="shared" ca="1" si="448"/>
        <v>122.00911838017517</v>
      </c>
      <c r="J997" s="306">
        <f t="shared" ca="1" si="449"/>
        <v>859.24597237897774</v>
      </c>
      <c r="K997" s="307">
        <f t="shared" ca="1" si="450"/>
        <v>-14.871950308147037</v>
      </c>
      <c r="L997" s="304">
        <f t="shared" ca="1" si="435"/>
        <v>859.3746656467498</v>
      </c>
      <c r="M997" s="306">
        <f t="shared" ca="1" si="451"/>
        <v>-1.4605019843461755</v>
      </c>
      <c r="N997" s="304">
        <f t="shared" ca="1" si="452"/>
        <v>-83.680599673517676</v>
      </c>
      <c r="P997" s="310">
        <f t="shared" ca="1" si="453"/>
        <v>23</v>
      </c>
      <c r="Q997" s="304">
        <f t="shared" ca="1" si="454"/>
        <v>0</v>
      </c>
      <c r="R997" s="306">
        <f t="shared" ca="1" si="455"/>
        <v>0</v>
      </c>
      <c r="S997" s="307">
        <f t="shared" ca="1" si="456"/>
        <v>8.1379999999999981</v>
      </c>
      <c r="T997" s="304">
        <f t="shared" ca="1" si="436"/>
        <v>79.83377999999999</v>
      </c>
      <c r="U997" s="311">
        <f t="shared" ca="1" si="437"/>
        <v>0</v>
      </c>
      <c r="V997" s="306">
        <f t="shared" ca="1" si="438"/>
        <v>1.2268231696171457</v>
      </c>
      <c r="W997" s="304">
        <f t="shared" ca="1" si="439"/>
        <v>60.325395800064435</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2.337624739747767</v>
      </c>
      <c r="AH997" s="304">
        <f t="shared" ca="1" si="463"/>
        <v>-7.412766218400451</v>
      </c>
    </row>
    <row r="998" spans="1:34" x14ac:dyDescent="0.2">
      <c r="A998" s="347">
        <f t="shared" ca="1" si="441"/>
        <v>1E-4</v>
      </c>
      <c r="B998" s="304">
        <f t="shared" ca="1" si="442"/>
        <v>34.528900000001137</v>
      </c>
      <c r="D998" s="306">
        <f t="shared" ca="1" si="443"/>
        <v>-0.81593366531875444</v>
      </c>
      <c r="E998" s="307">
        <f t="shared" ca="1" si="444"/>
        <v>-2.4422384909596131</v>
      </c>
      <c r="F998" s="304">
        <f t="shared" ca="1" si="445"/>
        <v>2.5749323472520955</v>
      </c>
      <c r="G998" s="306">
        <f t="shared" ca="1" si="446"/>
        <v>13.429566939590016</v>
      </c>
      <c r="H998" s="307">
        <f t="shared" ca="1" si="447"/>
        <v>-121.26800378173347</v>
      </c>
      <c r="I998" s="304">
        <f t="shared" ca="1" si="448"/>
        <v>122.00935213905305</v>
      </c>
      <c r="J998" s="306">
        <f t="shared" ca="1" si="449"/>
        <v>859.24597237897774</v>
      </c>
      <c r="K998" s="307">
        <f t="shared" ca="1" si="450"/>
        <v>-14.884077096314018</v>
      </c>
      <c r="L998" s="304">
        <f t="shared" ca="1" si="435"/>
        <v>859.37487559301144</v>
      </c>
      <c r="M998" s="306">
        <f t="shared" ca="1" si="451"/>
        <v>-1.4605028693563107</v>
      </c>
      <c r="N998" s="304">
        <f t="shared" ca="1" si="452"/>
        <v>-83.680650380863256</v>
      </c>
      <c r="P998" s="310">
        <f t="shared" ca="1" si="453"/>
        <v>23</v>
      </c>
      <c r="Q998" s="304">
        <f t="shared" ca="1" si="454"/>
        <v>0</v>
      </c>
      <c r="R998" s="306">
        <f t="shared" ca="1" si="455"/>
        <v>0</v>
      </c>
      <c r="S998" s="307">
        <f t="shared" ca="1" si="456"/>
        <v>8.1379999999999981</v>
      </c>
      <c r="T998" s="304">
        <f t="shared" ca="1" si="436"/>
        <v>79.83377999999999</v>
      </c>
      <c r="U998" s="311">
        <f t="shared" ca="1" si="437"/>
        <v>0</v>
      </c>
      <c r="V998" s="306">
        <f t="shared" ca="1" si="438"/>
        <v>1.2268246573613406</v>
      </c>
      <c r="W998" s="304">
        <f t="shared" ca="1" si="439"/>
        <v>60.325700112422325</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2.3375883011019711</v>
      </c>
      <c r="AH998" s="304">
        <f t="shared" ca="1" si="463"/>
        <v>-7.4128036126891681</v>
      </c>
    </row>
    <row r="999" spans="1:34" x14ac:dyDescent="0.2">
      <c r="A999" s="347">
        <f t="shared" ca="1" si="441"/>
        <v>1E-4</v>
      </c>
      <c r="B999" s="304">
        <f t="shared" ca="1" si="442"/>
        <v>34.52900000000114</v>
      </c>
      <c r="D999" s="306">
        <f t="shared" ca="1" si="443"/>
        <v>-0.81593126073146394</v>
      </c>
      <c r="E999" s="307">
        <f t="shared" ca="1" si="444"/>
        <v>-2.4422006020665892</v>
      </c>
      <c r="F999" s="304">
        <f t="shared" ca="1" si="445"/>
        <v>2.5748956489483699</v>
      </c>
      <c r="G999" s="306">
        <f t="shared" ca="1" si="446"/>
        <v>13.429485346463943</v>
      </c>
      <c r="H999" s="307">
        <f t="shared" ca="1" si="447"/>
        <v>-121.26824800179368</v>
      </c>
      <c r="I999" s="304">
        <f t="shared" ca="1" si="448"/>
        <v>122.00958589428711</v>
      </c>
      <c r="J999" s="306">
        <f t="shared" ca="1" si="449"/>
        <v>859.24597237897774</v>
      </c>
      <c r="K999" s="307">
        <f t="shared" ca="1" si="450"/>
        <v>-14.896203908903194</v>
      </c>
      <c r="L999" s="304">
        <f t="shared" ca="1" si="435"/>
        <v>859.37508571076842</v>
      </c>
      <c r="M999" s="306">
        <f t="shared" ca="1" si="451"/>
        <v>-1.4605037543576775</v>
      </c>
      <c r="N999" s="304">
        <f t="shared" ca="1" si="452"/>
        <v>-83.680701087706439</v>
      </c>
      <c r="P999" s="310">
        <f t="shared" ca="1" si="453"/>
        <v>23</v>
      </c>
      <c r="Q999" s="304">
        <f t="shared" ca="1" si="454"/>
        <v>0</v>
      </c>
      <c r="R999" s="306">
        <f t="shared" ca="1" si="455"/>
        <v>0</v>
      </c>
      <c r="S999" s="307">
        <f t="shared" ca="1" si="456"/>
        <v>8.1379999999999981</v>
      </c>
      <c r="T999" s="304">
        <f t="shared" ca="1" si="436"/>
        <v>79.83377999999999</v>
      </c>
      <c r="U999" s="311">
        <f t="shared" ca="1" si="437"/>
        <v>0</v>
      </c>
      <c r="V999" s="306">
        <f t="shared" ca="1" si="438"/>
        <v>1.2268261451103373</v>
      </c>
      <c r="W999" s="304">
        <f t="shared" ca="1" si="439"/>
        <v>60.326004422416574</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2.3375518627295238</v>
      </c>
      <c r="AH999" s="304">
        <f t="shared" ca="1" si="463"/>
        <v>-7.412841006687434</v>
      </c>
    </row>
    <row r="1000" spans="1:34" x14ac:dyDescent="0.2">
      <c r="A1000" s="347">
        <f t="shared" ca="1" si="441"/>
        <v>1E-4</v>
      </c>
      <c r="B1000" s="304">
        <f t="shared" ca="1" si="442"/>
        <v>34.529100000001144</v>
      </c>
      <c r="D1000" s="306">
        <f t="shared" ca="1" si="443"/>
        <v>-0.81592885611038313</v>
      </c>
      <c r="E1000" s="307">
        <f t="shared" ca="1" si="444"/>
        <v>-2.4421627134678854</v>
      </c>
      <c r="F1000" s="304">
        <f t="shared" ca="1" si="445"/>
        <v>2.5748589509498228</v>
      </c>
      <c r="G1000" s="306">
        <f t="shared" ca="1" si="446"/>
        <v>13.429403753578333</v>
      </c>
      <c r="H1000" s="307">
        <f t="shared" ca="1" si="447"/>
        <v>-121.26849221806502</v>
      </c>
      <c r="I1000" s="304">
        <f t="shared" ca="1" si="448"/>
        <v>122.00981964587736</v>
      </c>
      <c r="J1000" s="306">
        <f t="shared" ca="1" si="449"/>
        <v>859.24597237897774</v>
      </c>
      <c r="K1000" s="307">
        <f t="shared" ca="1" si="450"/>
        <v>-14.908330745914187</v>
      </c>
      <c r="L1000" s="304">
        <f t="shared" ca="1" si="435"/>
        <v>859.37529600002142</v>
      </c>
      <c r="M1000" s="306">
        <f t="shared" ca="1" si="451"/>
        <v>-1.4605046393502765</v>
      </c>
      <c r="N1000" s="304">
        <f t="shared" ca="1" si="452"/>
        <v>-83.680751794047254</v>
      </c>
      <c r="P1000" s="310">
        <f t="shared" ca="1" si="453"/>
        <v>23</v>
      </c>
      <c r="Q1000" s="304">
        <f t="shared" ca="1" si="454"/>
        <v>0</v>
      </c>
      <c r="R1000" s="306">
        <f t="shared" ca="1" si="455"/>
        <v>0</v>
      </c>
      <c r="S1000" s="307">
        <f t="shared" ca="1" si="456"/>
        <v>8.1379999999999981</v>
      </c>
      <c r="T1000" s="304">
        <f t="shared" ca="1" si="436"/>
        <v>79.83377999999999</v>
      </c>
      <c r="U1000" s="311">
        <f t="shared" ca="1" si="437"/>
        <v>0</v>
      </c>
      <c r="V1000" s="306">
        <f t="shared" ca="1" si="438"/>
        <v>1.2268276328641357</v>
      </c>
      <c r="W1000" s="304">
        <f t="shared" ca="1" si="439"/>
        <v>60.326308730047131</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2.3375154246304142</v>
      </c>
      <c r="AH1000" s="304">
        <f t="shared" ca="1" si="463"/>
        <v>-7.4128784003952557</v>
      </c>
    </row>
    <row r="1001" spans="1:34" x14ac:dyDescent="0.2">
      <c r="A1001" s="347">
        <f t="shared" ca="1" si="441"/>
        <v>1E-4</v>
      </c>
      <c r="B1001" s="304">
        <f t="shared" ca="1" si="442"/>
        <v>34.529200000001147</v>
      </c>
      <c r="D1001" s="306">
        <f t="shared" ca="1" si="443"/>
        <v>-0.81592645145550935</v>
      </c>
      <c r="E1001" s="307">
        <f t="shared" ca="1" si="444"/>
        <v>-2.442124825163507</v>
      </c>
      <c r="F1001" s="304">
        <f t="shared" ca="1" si="445"/>
        <v>2.5748222532564591</v>
      </c>
      <c r="G1001" s="306">
        <f t="shared" ca="1" si="446"/>
        <v>13.429322160933188</v>
      </c>
      <c r="H1001" s="307">
        <f t="shared" ca="1" si="447"/>
        <v>-121.26873643054753</v>
      </c>
      <c r="I1001" s="304">
        <f t="shared" ca="1" si="448"/>
        <v>122.01005339382381</v>
      </c>
      <c r="J1001" s="306">
        <f t="shared" ca="1" si="449"/>
        <v>859.24597237897774</v>
      </c>
      <c r="K1001" s="307">
        <f t="shared" ca="1" si="450"/>
        <v>-14.920457607346618</v>
      </c>
      <c r="L1001" s="304">
        <f t="shared" ca="1" si="435"/>
        <v>859.37550646077159</v>
      </c>
      <c r="M1001" s="306">
        <f t="shared" ca="1" si="451"/>
        <v>-1.4605055243341076</v>
      </c>
      <c r="N1001" s="304">
        <f t="shared" ca="1" si="452"/>
        <v>-83.680802499885715</v>
      </c>
      <c r="P1001" s="310">
        <f t="shared" ca="1" si="453"/>
        <v>23</v>
      </c>
      <c r="Q1001" s="304">
        <f t="shared" ca="1" si="454"/>
        <v>0</v>
      </c>
      <c r="R1001" s="306">
        <f t="shared" ca="1" si="455"/>
        <v>0</v>
      </c>
      <c r="S1001" s="307">
        <f t="shared" ca="1" si="456"/>
        <v>8.1379999999999981</v>
      </c>
      <c r="T1001" s="304">
        <f t="shared" ca="1" si="436"/>
        <v>79.83377999999999</v>
      </c>
      <c r="U1001" s="311">
        <f t="shared" ca="1" si="437"/>
        <v>0</v>
      </c>
      <c r="V1001" s="306">
        <f t="shared" ca="1" si="438"/>
        <v>1.2268291206227355</v>
      </c>
      <c r="W1001" s="304">
        <f t="shared" ca="1" si="439"/>
        <v>60.326613035314018</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2.3374789868046522</v>
      </c>
      <c r="AH1001" s="304">
        <f t="shared" ca="1" si="463"/>
        <v>-7.4129157938126253</v>
      </c>
    </row>
    <row r="1002" spans="1:34" x14ac:dyDescent="0.2">
      <c r="A1002" s="347">
        <f t="shared" ca="1" si="441"/>
        <v>1E-4</v>
      </c>
      <c r="B1002" s="304">
        <f t="shared" ca="1" si="442"/>
        <v>34.52930000000115</v>
      </c>
      <c r="D1002" s="306">
        <f t="shared" ca="1" si="443"/>
        <v>-0.81592404676684505</v>
      </c>
      <c r="E1002" s="307">
        <f t="shared" ca="1" si="444"/>
        <v>-2.4420869371534515</v>
      </c>
      <c r="F1002" s="304">
        <f t="shared" ca="1" si="445"/>
        <v>2.5747855558682766</v>
      </c>
      <c r="G1002" s="306">
        <f t="shared" ca="1" si="446"/>
        <v>13.429240568528511</v>
      </c>
      <c r="H1002" s="307">
        <f t="shared" ca="1" si="447"/>
        <v>-121.26898063924125</v>
      </c>
      <c r="I1002" s="304">
        <f t="shared" ca="1" si="448"/>
        <v>122.01028713812651</v>
      </c>
      <c r="J1002" s="306">
        <f t="shared" ca="1" si="449"/>
        <v>859.24597237897774</v>
      </c>
      <c r="K1002" s="307">
        <f t="shared" ca="1" si="450"/>
        <v>-14.932584493200107</v>
      </c>
      <c r="L1002" s="304">
        <f t="shared" ca="1" si="435"/>
        <v>859.37571709301949</v>
      </c>
      <c r="M1002" s="306">
        <f t="shared" ca="1" si="451"/>
        <v>-1.4605064093091711</v>
      </c>
      <c r="N1002" s="304">
        <f t="shared" ca="1" si="452"/>
        <v>-83.680853205221837</v>
      </c>
      <c r="P1002" s="310">
        <f t="shared" ca="1" si="453"/>
        <v>23</v>
      </c>
      <c r="Q1002" s="304">
        <f t="shared" ca="1" si="454"/>
        <v>0</v>
      </c>
      <c r="R1002" s="306">
        <f t="shared" ca="1" si="455"/>
        <v>0</v>
      </c>
      <c r="S1002" s="307">
        <f t="shared" ca="1" si="456"/>
        <v>8.1379999999999981</v>
      </c>
      <c r="T1002" s="304">
        <f t="shared" ca="1" si="436"/>
        <v>79.83377999999999</v>
      </c>
      <c r="U1002" s="311">
        <f t="shared" ca="1" si="437"/>
        <v>0</v>
      </c>
      <c r="V1002" s="306">
        <f t="shared" ca="1" si="438"/>
        <v>1.2268306083861369</v>
      </c>
      <c r="W1002" s="304">
        <f t="shared" ca="1" si="439"/>
        <v>60.326917338217207</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2.337442549252235</v>
      </c>
      <c r="AH1002" s="304">
        <f t="shared" ca="1" si="463"/>
        <v>-7.4129531869395473</v>
      </c>
    </row>
    <row r="1003" spans="1:34" x14ac:dyDescent="0.2">
      <c r="A1003" s="347">
        <f t="shared" ca="1" si="441"/>
        <v>1E-4</v>
      </c>
      <c r="B1003" s="304">
        <f t="shared" ca="1" si="442"/>
        <v>34.529400000001154</v>
      </c>
      <c r="D1003" s="306">
        <f t="shared" ca="1" si="443"/>
        <v>-0.81592164204438988</v>
      </c>
      <c r="E1003" s="307">
        <f t="shared" ca="1" si="444"/>
        <v>-2.4420490494377249</v>
      </c>
      <c r="F1003" s="304">
        <f t="shared" ca="1" si="445"/>
        <v>2.5747488587852816</v>
      </c>
      <c r="G1003" s="306">
        <f t="shared" ca="1" si="446"/>
        <v>13.429158976364308</v>
      </c>
      <c r="H1003" s="307">
        <f t="shared" ca="1" si="447"/>
        <v>-121.26922484414619</v>
      </c>
      <c r="I1003" s="304">
        <f t="shared" ca="1" si="448"/>
        <v>122.0105208787855</v>
      </c>
      <c r="J1003" s="306">
        <f t="shared" ca="1" si="449"/>
        <v>859.24597237897774</v>
      </c>
      <c r="K1003" s="307">
        <f t="shared" ca="1" si="450"/>
        <v>-14.944711403474276</v>
      </c>
      <c r="L1003" s="304">
        <f t="shared" ca="1" si="435"/>
        <v>859.37592789676626</v>
      </c>
      <c r="M1003" s="306">
        <f t="shared" ca="1" si="451"/>
        <v>-1.4605072942754667</v>
      </c>
      <c r="N1003" s="304">
        <f t="shared" ca="1" si="452"/>
        <v>-83.680903910055576</v>
      </c>
      <c r="P1003" s="310">
        <f t="shared" ca="1" si="453"/>
        <v>23</v>
      </c>
      <c r="Q1003" s="304">
        <f t="shared" ca="1" si="454"/>
        <v>0</v>
      </c>
      <c r="R1003" s="306">
        <f t="shared" ca="1" si="455"/>
        <v>0</v>
      </c>
      <c r="S1003" s="307">
        <f t="shared" ca="1" si="456"/>
        <v>8.1379999999999981</v>
      </c>
      <c r="T1003" s="304">
        <f t="shared" ca="1" si="436"/>
        <v>79.83377999999999</v>
      </c>
      <c r="U1003" s="311">
        <f t="shared" ca="1" si="437"/>
        <v>0</v>
      </c>
      <c r="V1003" s="306">
        <f ca="1">Rho_moyen*(20000-Alt_rampe-pos_z)/(20000+Alt_rampe+pos_z)</f>
        <v>1.2268320961543402</v>
      </c>
      <c r="W1003" s="304">
        <f t="shared" ca="1" si="439"/>
        <v>60.327221638756754</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2.3374061119731682</v>
      </c>
      <c r="AH1003" s="304">
        <f t="shared" ca="1" si="463"/>
        <v>-7.4129905797760163</v>
      </c>
    </row>
    <row r="1004" spans="1:34" x14ac:dyDescent="0.2">
      <c r="A1004" s="348">
        <f t="shared" ca="1" si="441"/>
        <v>1E-4</v>
      </c>
      <c r="B1004" s="305">
        <f t="shared" ca="1" si="442"/>
        <v>34.529500000001157</v>
      </c>
      <c r="D1004" s="308">
        <f t="shared" ca="1" si="443"/>
        <v>-0.81591923728814797</v>
      </c>
      <c r="E1004" s="309">
        <f t="shared" ca="1" si="444"/>
        <v>-2.4420111620163159</v>
      </c>
      <c r="F1004" s="305">
        <f t="shared" ca="1" si="445"/>
        <v>2.5747121620074642</v>
      </c>
      <c r="G1004" s="308">
        <f t="shared" ca="1" si="446"/>
        <v>13.429077384440578</v>
      </c>
      <c r="H1004" s="309">
        <f t="shared" ca="1" si="447"/>
        <v>-121.2694690452624</v>
      </c>
      <c r="I1004" s="305">
        <f t="shared" ca="1" si="448"/>
        <v>122.01075461580076</v>
      </c>
      <c r="J1004" s="308">
        <f t="shared" ca="1" si="449"/>
        <v>859.24597237897774</v>
      </c>
      <c r="K1004" s="309">
        <f t="shared" ca="1" si="450"/>
        <v>-14.956838338168746</v>
      </c>
      <c r="L1004" s="305">
        <f t="shared" ca="1" si="435"/>
        <v>859.3761388720128</v>
      </c>
      <c r="M1004" s="308">
        <f t="shared" ca="1" si="451"/>
        <v>-1.460508179232995</v>
      </c>
      <c r="N1004" s="305">
        <f t="shared" ca="1" si="452"/>
        <v>-83.680954614387005</v>
      </c>
      <c r="P1004" s="312">
        <f t="shared" ca="1" si="453"/>
        <v>23</v>
      </c>
      <c r="Q1004" s="305">
        <f t="shared" ca="1" si="454"/>
        <v>0</v>
      </c>
      <c r="R1004" s="308">
        <f t="shared" ca="1" si="455"/>
        <v>0</v>
      </c>
      <c r="S1004" s="309">
        <f t="shared" ca="1" si="456"/>
        <v>8.1379999999999981</v>
      </c>
      <c r="T1004" s="305">
        <f t="shared" ca="1" si="436"/>
        <v>79.83377999999999</v>
      </c>
      <c r="U1004" s="313">
        <f t="shared" ca="1" si="437"/>
        <v>0</v>
      </c>
      <c r="V1004" s="308">
        <f t="shared" ca="1" si="438"/>
        <v>1.226833583927345</v>
      </c>
      <c r="W1004" s="305">
        <f ca="1">1/2*Rho*Sref*Cx*vit_xz^2</f>
        <v>60.327525936932595</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2.3373696749674409</v>
      </c>
      <c r="AH1004" s="305">
        <f t="shared" ca="1" si="463"/>
        <v>-7.4130279723220411</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598" t="s">
        <v>281</v>
      </c>
      <c r="D2" s="598"/>
      <c r="M2" s="75"/>
    </row>
    <row r="3" spans="1:13" ht="12.75" customHeight="1" x14ac:dyDescent="0.2">
      <c r="A3" s="56"/>
      <c r="B3" s="2"/>
      <c r="C3" s="598"/>
      <c r="D3" s="598"/>
      <c r="M3" s="75"/>
    </row>
    <row r="4" spans="1:13" x14ac:dyDescent="0.2">
      <c r="A4" s="56"/>
      <c r="B4" s="2"/>
      <c r="C4" s="603" t="str">
        <f>IF(Lang="Français","Abaques de performance",IF(Lang="English","Performance charts",""))</f>
        <v>Abaques de performance</v>
      </c>
      <c r="D4" s="603"/>
      <c r="M4" s="75"/>
    </row>
    <row r="5" spans="1:13" x14ac:dyDescent="0.2">
      <c r="A5" s="56"/>
      <c r="B5" s="2"/>
      <c r="C5" s="603" t="str">
        <f>IF(Lang="Français","Calcul analytique simple",IF(Lang="English","Analytical computation",""))</f>
        <v>Calcul analytique simple</v>
      </c>
      <c r="D5" s="603"/>
      <c r="M5" s="75"/>
    </row>
    <row r="6" spans="1:13" x14ac:dyDescent="0.2">
      <c r="A6" s="56"/>
      <c r="B6" s="87"/>
      <c r="C6" s="1"/>
      <c r="D6" s="1"/>
      <c r="M6" s="75"/>
    </row>
    <row r="7" spans="1:13" x14ac:dyDescent="0.2">
      <c r="A7" s="59"/>
      <c r="B7" s="6"/>
      <c r="C7" s="599" t="str">
        <f>IF(Lang="Français","Fusée",IF(Lang="English","Rocket",""))</f>
        <v>Fusée</v>
      </c>
      <c r="D7" s="599"/>
      <c r="M7" s="75"/>
    </row>
    <row r="8" spans="1:13" ht="15.75" x14ac:dyDescent="0.25">
      <c r="A8" s="59"/>
      <c r="B8" s="140" t="str">
        <f>IF(Lang="Français","Nom",IF(Lang="English","Name",""))</f>
        <v>Nom</v>
      </c>
      <c r="C8" s="600" t="str">
        <f>Nom</f>
        <v>SP02</v>
      </c>
      <c r="D8" s="600"/>
      <c r="M8" s="75"/>
    </row>
    <row r="9" spans="1:13" ht="15.75" x14ac:dyDescent="0.25">
      <c r="A9" s="59"/>
      <c r="B9" s="140" t="s">
        <v>4</v>
      </c>
      <c r="C9" s="600" t="str">
        <f>Club</f>
        <v>L'AéroIPSA</v>
      </c>
      <c r="D9" s="600"/>
      <c r="M9" s="75"/>
    </row>
    <row r="10" spans="1:13" ht="15.75" x14ac:dyDescent="0.25">
      <c r="A10" s="59"/>
      <c r="B10" s="140" t="s">
        <v>563</v>
      </c>
      <c r="C10" s="666" t="str">
        <f>Matricule</f>
        <v>FX0</v>
      </c>
      <c r="D10" s="667"/>
      <c r="M10" s="75"/>
    </row>
    <row r="11" spans="1:13" x14ac:dyDescent="0.2">
      <c r="A11" s="59"/>
      <c r="B11" s="140" t="str">
        <f>IF(Lang="Français","Masse sans propu",IF(Lang="English","Mass without M",""))</f>
        <v>Masse sans propu</v>
      </c>
      <c r="C11" s="662">
        <f>MasseSans</f>
        <v>7.4859999999999998</v>
      </c>
      <c r="D11" s="662"/>
      <c r="M11" s="75"/>
    </row>
    <row r="12" spans="1:13" x14ac:dyDescent="0.2">
      <c r="A12" s="59"/>
      <c r="B12" s="140" t="str">
        <f>IF(Lang="Français","Masse totale",IF(Lang="English","Total mass",""))</f>
        <v>Masse totale</v>
      </c>
      <c r="C12" s="665" t="str">
        <f ca="1">MassePlein &amp; " kg ±" &amp; MasseSans &amp; " kg"</f>
        <v>9,171 kg ±7,486 kg</v>
      </c>
      <c r="D12" s="665"/>
      <c r="M12" s="75"/>
    </row>
    <row r="13" spans="1:13" x14ac:dyDescent="0.2">
      <c r="A13" s="59"/>
      <c r="B13" s="227" t="str">
        <f>IF(Lang="Français","Propulseur",IF(Lang="English","Motor",""))</f>
        <v>Propulseur</v>
      </c>
      <c r="C13" s="628" t="str">
        <f>Propu</f>
        <v>Barasinga (Pro54-5G C)</v>
      </c>
      <c r="D13" s="629"/>
      <c r="M13" s="75"/>
    </row>
    <row r="14" spans="1:13" x14ac:dyDescent="0.2">
      <c r="A14" s="59"/>
      <c r="B14" s="1"/>
      <c r="C14" s="1"/>
      <c r="D14" s="1"/>
      <c r="M14" s="75"/>
    </row>
    <row r="15" spans="1:13" x14ac:dyDescent="0.2">
      <c r="A15" s="74"/>
      <c r="C15" s="599" t="str">
        <f>IF(Lang="Français","Traînée Aérdynamique",IF(Lang="English","Drag",""))</f>
        <v>Traînée Aérdynamique</v>
      </c>
      <c r="D15" s="599"/>
      <c r="M15" s="75"/>
    </row>
    <row r="16" spans="1:13" x14ac:dyDescent="0.2">
      <c r="A16" s="74"/>
      <c r="B16" s="139" t="str">
        <f>IF(Lang="Français","Diamètre Ø",IF(Lang="English","Diameter Ø",""))</f>
        <v>Diamètre Ø</v>
      </c>
      <c r="C16" s="663">
        <f>D_ref</f>
        <v>99</v>
      </c>
      <c r="D16" s="663"/>
      <c r="M16" s="75"/>
    </row>
    <row r="17" spans="1:13" x14ac:dyDescent="0.2">
      <c r="A17" s="74"/>
      <c r="B17" s="140" t="s">
        <v>5</v>
      </c>
      <c r="C17" s="664">
        <f>Cx</f>
        <v>0.7</v>
      </c>
      <c r="D17" s="664"/>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54</v>
      </c>
      <c r="C43" s="403">
        <f t="shared" ref="C43:C69" ca="1" si="1">1/2*Rho_moyen*PI()*D_var^2/4*Cx/10^6</f>
        <v>9.8193227281520882E-4</v>
      </c>
      <c r="D43" s="400">
        <f ca="1">MpropuPlein+0*MasseSans</f>
        <v>1.6850000000000001</v>
      </c>
      <c r="E43" s="400">
        <f t="shared" ref="E43:E69" ca="1" si="2">m_var - 0.5*m_poudre</f>
        <v>1.1685000000000001</v>
      </c>
      <c r="F43" s="400">
        <f t="shared" ref="F43:F69" ca="1" si="3">m_var - m_poudre</f>
        <v>0.65200000000000014</v>
      </c>
      <c r="G43" s="407">
        <f t="shared" ref="G43:G69" ca="1" si="4">MAX(0, (I_total/Temps_fin_propu)/m_prop-g)</f>
        <v>480.87217115245477</v>
      </c>
      <c r="H43" s="406">
        <f t="shared" ref="H43:H69" ca="1" si="5">Q_var/m_prop</f>
        <v>8.403357063031311E-4</v>
      </c>
      <c r="I43" s="403">
        <f t="shared" ref="I43:I69" ca="1" si="6">Q_var/m_bal</f>
        <v>1.5060310932748597E-3</v>
      </c>
      <c r="J43" s="403">
        <f t="shared" ref="J43:J69" ca="1" si="7">1/(2*b_prop)*LN(  ((EXP(2*SQRT(a_prop*b_prop)*Temps_fin_propu)+1)^2)  /  (((1+1)^2)*EXP(2*SQRT(a_prop*b_prop)*Temps_fin_propu)))</f>
        <v>1903.1945358420992</v>
      </c>
      <c r="K43" s="410">
        <f t="shared" ref="K43:K69" ca="1" si="8">SQRT(a_prop/b_prop)  *  (EXP(2*SQRT(a_prop*b_prop)*Temps_fin_propu)-1)/(EXP(2*SQRT(a_prop*b_prop)*Temps_fin_propu)+1)</f>
        <v>740.86493375900318</v>
      </c>
      <c r="L43" s="413">
        <f t="shared" ref="L43:L69" ca="1" si="9">alt_prop + 1/(2*b_bal) * LN(1+b_bal/g*V_prop^2)</f>
        <v>3379.1781597853906</v>
      </c>
      <c r="M43" s="416">
        <f t="shared" ref="M43:M69" ca="1" si="10">Temps_fin_propu + ATAN(SQRT(b_bal/g)*V_prop)/SQRT(b_bal*g)</f>
        <v>15.620425339981127</v>
      </c>
    </row>
    <row r="44" spans="1:13" x14ac:dyDescent="0.2">
      <c r="B44" s="426">
        <f t="shared" ca="1" si="0"/>
        <v>54</v>
      </c>
      <c r="C44" s="404">
        <f t="shared" ca="1" si="1"/>
        <v>9.8193227281520882E-4</v>
      </c>
      <c r="D44" s="401">
        <f ca="1">MpropuPlein+0.25*MasseSans</f>
        <v>3.5564999999999998</v>
      </c>
      <c r="E44" s="401">
        <f t="shared" ca="1" si="2"/>
        <v>3.04</v>
      </c>
      <c r="F44" s="401">
        <f t="shared" ca="1" si="3"/>
        <v>2.5234999999999999</v>
      </c>
      <c r="G44" s="408">
        <f t="shared" ca="1" si="4"/>
        <v>178.79595953672481</v>
      </c>
      <c r="H44" s="404">
        <f t="shared" ca="1" si="5"/>
        <v>3.2300403711026603E-4</v>
      </c>
      <c r="I44" s="404">
        <f t="shared" ca="1" si="6"/>
        <v>3.8911522600166789E-4</v>
      </c>
      <c r="J44" s="404">
        <f t="shared" ca="1" si="7"/>
        <v>1032.4376696843565</v>
      </c>
      <c r="K44" s="411">
        <f t="shared" ca="1" si="8"/>
        <v>519.06432349701743</v>
      </c>
      <c r="L44" s="414">
        <f t="shared" ca="1" si="9"/>
        <v>4191.4867606519438</v>
      </c>
      <c r="M44" s="417">
        <f t="shared" ca="1" si="10"/>
        <v>24.209350712803673</v>
      </c>
    </row>
    <row r="45" spans="1:13" x14ac:dyDescent="0.2">
      <c r="B45" s="426">
        <f t="shared" ca="1" si="0"/>
        <v>54</v>
      </c>
      <c r="C45" s="404">
        <f t="shared" ca="1" si="1"/>
        <v>9.8193227281520882E-4</v>
      </c>
      <c r="D45" s="401">
        <f ca="1">MpropuPlein+0.5*MasseSans</f>
        <v>5.4279999999999999</v>
      </c>
      <c r="E45" s="401">
        <f t="shared" ca="1" si="2"/>
        <v>4.9115000000000002</v>
      </c>
      <c r="F45" s="401">
        <f t="shared" ca="1" si="3"/>
        <v>4.3949999999999996</v>
      </c>
      <c r="G45" s="408">
        <f t="shared" ca="1" si="4"/>
        <v>106.92869835928809</v>
      </c>
      <c r="H45" s="404">
        <f t="shared" ca="1" si="5"/>
        <v>1.9992512935258246E-4</v>
      </c>
      <c r="I45" s="404">
        <f t="shared" ca="1" si="6"/>
        <v>2.2342031235840932E-4</v>
      </c>
      <c r="J45" s="404">
        <f t="shared" ca="1" si="7"/>
        <v>659.55889057837771</v>
      </c>
      <c r="K45" s="411">
        <f t="shared" ca="1" si="8"/>
        <v>352.11480759325337</v>
      </c>
      <c r="L45" s="414">
        <f t="shared" ca="1" si="9"/>
        <v>3661.1319546054992</v>
      </c>
      <c r="M45" s="417">
        <f t="shared" ca="1" si="10"/>
        <v>25.676145732222469</v>
      </c>
    </row>
    <row r="46" spans="1:13" x14ac:dyDescent="0.2">
      <c r="B46" s="426">
        <f t="shared" ca="1" si="0"/>
        <v>54</v>
      </c>
      <c r="C46" s="404">
        <f t="shared" ca="1" si="1"/>
        <v>9.8193227281520882E-4</v>
      </c>
      <c r="D46" s="401">
        <f ca="1">MpropuPlein+0.75*MasseSans</f>
        <v>7.2995000000000001</v>
      </c>
      <c r="E46" s="401">
        <f t="shared" ca="1" si="2"/>
        <v>6.7830000000000004</v>
      </c>
      <c r="F46" s="401">
        <f t="shared" ca="1" si="3"/>
        <v>6.2665000000000006</v>
      </c>
      <c r="G46" s="408">
        <f t="shared" ca="1" si="4"/>
        <v>74.719281585086748</v>
      </c>
      <c r="H46" s="404">
        <f t="shared" ca="1" si="5"/>
        <v>1.4476371411104361E-4</v>
      </c>
      <c r="I46" s="404">
        <f t="shared" ca="1" si="6"/>
        <v>1.5669548756326636E-4</v>
      </c>
      <c r="J46" s="404">
        <f t="shared" ca="1" si="7"/>
        <v>470.70662347981738</v>
      </c>
      <c r="K46" s="411">
        <f t="shared" ca="1" si="8"/>
        <v>256.43531410122489</v>
      </c>
      <c r="L46" s="414">
        <f t="shared" ca="1" si="9"/>
        <v>2761.8423302375577</v>
      </c>
      <c r="M46" s="417">
        <f t="shared" ca="1" si="10"/>
        <v>23.935464261455397</v>
      </c>
    </row>
    <row r="47" spans="1:13" x14ac:dyDescent="0.2">
      <c r="B47" s="426">
        <f t="shared" ca="1" si="0"/>
        <v>54</v>
      </c>
      <c r="C47" s="404">
        <f t="shared" ca="1" si="1"/>
        <v>9.8193227281520882E-4</v>
      </c>
      <c r="D47" s="401">
        <f ca="1">MpropuPlein+1*MasseSans</f>
        <v>9.1709999999999994</v>
      </c>
      <c r="E47" s="401">
        <f t="shared" ca="1" si="2"/>
        <v>8.6544999999999987</v>
      </c>
      <c r="F47" s="401">
        <f t="shared" ca="1" si="3"/>
        <v>8.1379999999999999</v>
      </c>
      <c r="G47" s="408">
        <f t="shared" ca="1" si="4"/>
        <v>56.440172394897857</v>
      </c>
      <c r="H47" s="404">
        <f t="shared" ca="1" si="5"/>
        <v>1.134591568334634E-4</v>
      </c>
      <c r="I47" s="404">
        <f t="shared" ca="1" si="6"/>
        <v>1.2066014657350809E-4</v>
      </c>
      <c r="J47" s="404">
        <f t="shared" ca="1" si="7"/>
        <v>358.80791333770213</v>
      </c>
      <c r="K47" s="411">
        <f t="shared" ca="1" si="8"/>
        <v>197.22414092702505</v>
      </c>
      <c r="L47" s="414">
        <f t="shared" ca="1" si="9"/>
        <v>1978.9707377345692</v>
      </c>
      <c r="M47" s="417">
        <f t="shared" ca="1" si="10"/>
        <v>21.178426797530943</v>
      </c>
    </row>
    <row r="48" spans="1:13" x14ac:dyDescent="0.2">
      <c r="B48" s="426">
        <f t="shared" ca="1" si="0"/>
        <v>54</v>
      </c>
      <c r="C48" s="404">
        <f t="shared" ca="1" si="1"/>
        <v>9.8193227281520882E-4</v>
      </c>
      <c r="D48" s="401">
        <f ca="1">MpropuPlein+1.25*MasseSans</f>
        <v>11.0425</v>
      </c>
      <c r="E48" s="401">
        <f t="shared" ca="1" si="2"/>
        <v>10.526</v>
      </c>
      <c r="F48" s="401">
        <f t="shared" ca="1" si="3"/>
        <v>10.009500000000001</v>
      </c>
      <c r="G48" s="408">
        <f t="shared" ca="1" si="4"/>
        <v>44.661035245263484</v>
      </c>
      <c r="H48" s="404">
        <f t="shared" ca="1" si="5"/>
        <v>9.3286364508380091E-5</v>
      </c>
      <c r="I48" s="404">
        <f t="shared" ca="1" si="6"/>
        <v>9.8100032250882533E-5</v>
      </c>
      <c r="J48" s="404">
        <f t="shared" ca="1" si="7"/>
        <v>285.25866846333827</v>
      </c>
      <c r="K48" s="411">
        <f t="shared" ca="1" si="8"/>
        <v>157.52373255605016</v>
      </c>
      <c r="L48" s="414">
        <f t="shared" ca="1" si="9"/>
        <v>1414.9846771989273</v>
      </c>
      <c r="M48" s="417">
        <f t="shared" ca="1" si="10"/>
        <v>18.487632174330052</v>
      </c>
    </row>
    <row r="49" spans="2:13" x14ac:dyDescent="0.2">
      <c r="B49" s="426">
        <f t="shared" ca="1" si="0"/>
        <v>54</v>
      </c>
      <c r="C49" s="404">
        <f t="shared" ca="1" si="1"/>
        <v>9.8193227281520882E-4</v>
      </c>
      <c r="D49" s="401">
        <f ca="1">MpropuPlein+1.5*MasseSans</f>
        <v>12.914</v>
      </c>
      <c r="E49" s="401">
        <f t="shared" ca="1" si="2"/>
        <v>12.397499999999999</v>
      </c>
      <c r="F49" s="401">
        <f t="shared" ca="1" si="3"/>
        <v>11.881</v>
      </c>
      <c r="G49" s="408">
        <f t="shared" ca="1" si="4"/>
        <v>36.438204637357813</v>
      </c>
      <c r="H49" s="404">
        <f t="shared" ca="1" si="5"/>
        <v>7.9204055076846861E-5</v>
      </c>
      <c r="I49" s="404">
        <f t="shared" ca="1" si="6"/>
        <v>8.2647274877132296E-5</v>
      </c>
      <c r="J49" s="404">
        <f t="shared" ca="1" si="7"/>
        <v>233.36823677450505</v>
      </c>
      <c r="K49" s="411">
        <f t="shared" ca="1" si="8"/>
        <v>129.21503015016165</v>
      </c>
      <c r="L49" s="414">
        <f t="shared" ca="1" si="9"/>
        <v>1029.5910836053504</v>
      </c>
      <c r="M49" s="417">
        <f t="shared" ca="1" si="10"/>
        <v>16.191566735582555</v>
      </c>
    </row>
    <row r="50" spans="2:13" x14ac:dyDescent="0.2">
      <c r="B50" s="426">
        <f t="shared" ca="1" si="0"/>
        <v>54</v>
      </c>
      <c r="C50" s="404">
        <f t="shared" ca="1" si="1"/>
        <v>9.8193227281520882E-4</v>
      </c>
      <c r="D50" s="401">
        <f ca="1">MpropuPlein+1.75*MasseSans</f>
        <v>14.785500000000001</v>
      </c>
      <c r="E50" s="401">
        <f t="shared" ca="1" si="2"/>
        <v>14.269</v>
      </c>
      <c r="F50" s="401">
        <f t="shared" ca="1" si="3"/>
        <v>13.752500000000001</v>
      </c>
      <c r="G50" s="408">
        <f t="shared" ca="1" si="4"/>
        <v>30.372361552431386</v>
      </c>
      <c r="H50" s="404">
        <f t="shared" ca="1" si="5"/>
        <v>6.8815773552120604E-5</v>
      </c>
      <c r="I50" s="404">
        <f t="shared" ca="1" si="6"/>
        <v>7.1400274336681235E-5</v>
      </c>
      <c r="J50" s="404">
        <f t="shared" ca="1" si="7"/>
        <v>194.84857517189158</v>
      </c>
      <c r="K50" s="411">
        <f t="shared" ca="1" si="8"/>
        <v>108.06815820046411</v>
      </c>
      <c r="L50" s="414">
        <f t="shared" ca="1" si="9"/>
        <v>766.14421177218264</v>
      </c>
      <c r="M50" s="417">
        <f t="shared" ca="1" si="10"/>
        <v>14.309005405004449</v>
      </c>
    </row>
    <row r="51" spans="2:13" x14ac:dyDescent="0.2">
      <c r="B51" s="427">
        <f t="shared" ca="1" si="0"/>
        <v>54</v>
      </c>
      <c r="C51" s="405">
        <f t="shared" ca="1" si="1"/>
        <v>9.8193227281520882E-4</v>
      </c>
      <c r="D51" s="402">
        <f ca="1">MpropuPlein+2*MasseSans</f>
        <v>16.657</v>
      </c>
      <c r="E51" s="402">
        <f t="shared" ca="1" si="2"/>
        <v>16.140499999999999</v>
      </c>
      <c r="F51" s="402">
        <f t="shared" ca="1" si="3"/>
        <v>15.624000000000001</v>
      </c>
      <c r="G51" s="409">
        <f t="shared" ca="1" si="4"/>
        <v>25.713194262361355</v>
      </c>
      <c r="H51" s="405">
        <f t="shared" ca="1" si="5"/>
        <v>6.0836546130244345E-5</v>
      </c>
      <c r="I51" s="405">
        <f t="shared" ca="1" si="6"/>
        <v>6.2847687712186938E-5</v>
      </c>
      <c r="J51" s="405">
        <f t="shared" ca="1" si="7"/>
        <v>165.14331801165179</v>
      </c>
      <c r="K51" s="412">
        <f t="shared" ca="1" si="8"/>
        <v>91.694976914190704</v>
      </c>
      <c r="L51" s="415">
        <f t="shared" ca="1" si="9"/>
        <v>582.54064964922713</v>
      </c>
      <c r="M51" s="418">
        <f t="shared" ca="1" si="10"/>
        <v>12.774487377567105</v>
      </c>
    </row>
    <row r="52" spans="2:13" x14ac:dyDescent="0.2">
      <c r="B52" s="425">
        <f t="shared" ref="B52:B60" si="11">D_ref</f>
        <v>99</v>
      </c>
      <c r="C52" s="403">
        <f t="shared" si="1"/>
        <v>3.3003834725177849E-3</v>
      </c>
      <c r="D52" s="400">
        <f ca="1">MpropuPlein+0*MasseSans</f>
        <v>1.6850000000000001</v>
      </c>
      <c r="E52" s="400">
        <f t="shared" ca="1" si="2"/>
        <v>1.1685000000000001</v>
      </c>
      <c r="F52" s="400">
        <f t="shared" ca="1" si="3"/>
        <v>0.65200000000000014</v>
      </c>
      <c r="G52" s="407">
        <f t="shared" ca="1" si="4"/>
        <v>480.87217115245477</v>
      </c>
      <c r="H52" s="403">
        <f t="shared" ca="1" si="5"/>
        <v>2.8244616795188573E-3</v>
      </c>
      <c r="I52" s="403">
        <f t="shared" ca="1" si="6"/>
        <v>5.0619378412849452E-3</v>
      </c>
      <c r="J52" s="403">
        <f t="shared" ca="1" si="7"/>
        <v>1235.9681768956807</v>
      </c>
      <c r="K52" s="410">
        <f t="shared" ca="1" si="8"/>
        <v>412.42525699655755</v>
      </c>
      <c r="L52" s="413">
        <f t="shared" ca="1" si="9"/>
        <v>1679.0821739078401</v>
      </c>
      <c r="M52" s="416">
        <f t="shared" ca="1" si="10"/>
        <v>10.161795397052806</v>
      </c>
    </row>
    <row r="53" spans="2:13" x14ac:dyDescent="0.2">
      <c r="B53" s="426">
        <f t="shared" si="11"/>
        <v>99</v>
      </c>
      <c r="C53" s="404">
        <f t="shared" si="1"/>
        <v>3.3003834725177849E-3</v>
      </c>
      <c r="D53" s="401">
        <f ca="1">MpropuPlein+0.25*MasseSans</f>
        <v>3.5564999999999998</v>
      </c>
      <c r="E53" s="401">
        <f t="shared" ca="1" si="2"/>
        <v>3.04</v>
      </c>
      <c r="F53" s="401">
        <f t="shared" ca="1" si="3"/>
        <v>2.5234999999999999</v>
      </c>
      <c r="G53" s="408">
        <f t="shared" ca="1" si="4"/>
        <v>178.79595953672481</v>
      </c>
      <c r="H53" s="404">
        <f t="shared" ca="1" si="5"/>
        <v>1.0856524580650608E-3</v>
      </c>
      <c r="I53" s="404">
        <f t="shared" ca="1" si="6"/>
        <v>1.3078595096167169E-3</v>
      </c>
      <c r="J53" s="404">
        <f t="shared" ca="1" si="7"/>
        <v>856.57892728094521</v>
      </c>
      <c r="K53" s="411">
        <f t="shared" ca="1" si="8"/>
        <v>372.89334381569898</v>
      </c>
      <c r="L53" s="414">
        <f t="shared" ca="1" si="9"/>
        <v>1992.9234377819998</v>
      </c>
      <c r="M53" s="417">
        <f t="shared" ca="1" si="10"/>
        <v>15.442959032105033</v>
      </c>
    </row>
    <row r="54" spans="2:13" x14ac:dyDescent="0.2">
      <c r="B54" s="426">
        <f t="shared" si="11"/>
        <v>99</v>
      </c>
      <c r="C54" s="404">
        <f t="shared" si="1"/>
        <v>3.3003834725177849E-3</v>
      </c>
      <c r="D54" s="401">
        <f ca="1">MpropuPlein+0.5*MasseSans</f>
        <v>5.4279999999999999</v>
      </c>
      <c r="E54" s="401">
        <f t="shared" ca="1" si="2"/>
        <v>4.9115000000000002</v>
      </c>
      <c r="F54" s="401">
        <f t="shared" ca="1" si="3"/>
        <v>4.3949999999999996</v>
      </c>
      <c r="G54" s="408">
        <f t="shared" ca="1" si="4"/>
        <v>106.92869835928809</v>
      </c>
      <c r="H54" s="404">
        <f t="shared" ca="1" si="5"/>
        <v>6.7197057365729097E-4</v>
      </c>
      <c r="I54" s="404">
        <f t="shared" ca="1" si="6"/>
        <v>7.5094049431576461E-4</v>
      </c>
      <c r="J54" s="404">
        <f t="shared" ca="1" si="7"/>
        <v>603.27528218403063</v>
      </c>
      <c r="K54" s="411">
        <f t="shared" ca="1" si="8"/>
        <v>297.30848984717261</v>
      </c>
      <c r="L54" s="414">
        <f t="shared" ca="1" si="9"/>
        <v>1968.092903614041</v>
      </c>
      <c r="M54" s="417">
        <f t="shared" ca="1" si="10"/>
        <v>17.61520791707666</v>
      </c>
    </row>
    <row r="55" spans="2:13" x14ac:dyDescent="0.2">
      <c r="B55" s="426">
        <f t="shared" si="11"/>
        <v>99</v>
      </c>
      <c r="C55" s="404">
        <f t="shared" si="1"/>
        <v>3.3003834725177849E-3</v>
      </c>
      <c r="D55" s="401">
        <f ca="1">MpropuPlein+0.75*MasseSans</f>
        <v>7.2995000000000001</v>
      </c>
      <c r="E55" s="401">
        <f t="shared" ca="1" si="2"/>
        <v>6.7830000000000004</v>
      </c>
      <c r="F55" s="401">
        <f t="shared" ca="1" si="3"/>
        <v>6.2665000000000006</v>
      </c>
      <c r="G55" s="408">
        <f t="shared" ca="1" si="4"/>
        <v>74.719281585086748</v>
      </c>
      <c r="H55" s="404">
        <f t="shared" ca="1" si="5"/>
        <v>4.8656692798434097E-4</v>
      </c>
      <c r="I55" s="404">
        <f t="shared" ca="1" si="6"/>
        <v>5.2667094430986752E-4</v>
      </c>
      <c r="J55" s="404">
        <f t="shared" ca="1" si="7"/>
        <v>448.01101226861351</v>
      </c>
      <c r="K55" s="411">
        <f t="shared" ca="1" si="8"/>
        <v>232.94713407854408</v>
      </c>
      <c r="L55" s="414">
        <f t="shared" ca="1" si="9"/>
        <v>1743.2987328307222</v>
      </c>
      <c r="M55" s="417">
        <f t="shared" ca="1" si="10"/>
        <v>18.070167187013894</v>
      </c>
    </row>
    <row r="56" spans="2:13" x14ac:dyDescent="0.2">
      <c r="B56" s="426">
        <f t="shared" si="11"/>
        <v>99</v>
      </c>
      <c r="C56" s="404">
        <f t="shared" si="1"/>
        <v>3.3003834725177849E-3</v>
      </c>
      <c r="D56" s="401">
        <f ca="1">MpropuPlein+1*MasseSans</f>
        <v>9.1709999999999994</v>
      </c>
      <c r="E56" s="401">
        <f t="shared" ca="1" si="2"/>
        <v>8.6544999999999987</v>
      </c>
      <c r="F56" s="401">
        <f t="shared" ca="1" si="3"/>
        <v>8.1379999999999999</v>
      </c>
      <c r="G56" s="408">
        <f t="shared" ca="1" si="4"/>
        <v>56.440172394897857</v>
      </c>
      <c r="H56" s="404">
        <f t="shared" ca="1" si="5"/>
        <v>3.8134883269025192E-4</v>
      </c>
      <c r="I56" s="404">
        <f t="shared" ca="1" si="6"/>
        <v>4.0555215931651327E-4</v>
      </c>
      <c r="J56" s="404">
        <f t="shared" ca="1" si="7"/>
        <v>348.03605074639489</v>
      </c>
      <c r="K56" s="411">
        <f t="shared" ca="1" si="8"/>
        <v>185.75391054803782</v>
      </c>
      <c r="L56" s="414">
        <f t="shared" ca="1" si="9"/>
        <v>1440.898364518627</v>
      </c>
      <c r="M56" s="417">
        <f t="shared" ca="1" si="10"/>
        <v>17.442229602912938</v>
      </c>
    </row>
    <row r="57" spans="2:13" x14ac:dyDescent="0.2">
      <c r="B57" s="426">
        <f t="shared" si="11"/>
        <v>99</v>
      </c>
      <c r="C57" s="404">
        <f t="shared" si="1"/>
        <v>3.3003834725177849E-3</v>
      </c>
      <c r="D57" s="401">
        <f ca="1">MpropuPlein+1.25*MasseSans</f>
        <v>11.0425</v>
      </c>
      <c r="E57" s="401">
        <f t="shared" ca="1" si="2"/>
        <v>10.526</v>
      </c>
      <c r="F57" s="401">
        <f t="shared" ca="1" si="3"/>
        <v>10.009500000000001</v>
      </c>
      <c r="G57" s="408">
        <f t="shared" ca="1" si="4"/>
        <v>44.661035245263484</v>
      </c>
      <c r="H57" s="404">
        <f t="shared" ca="1" si="5"/>
        <v>3.1354583626427748E-4</v>
      </c>
      <c r="I57" s="404">
        <f t="shared" ca="1" si="6"/>
        <v>3.297251083987996E-4</v>
      </c>
      <c r="J57" s="404">
        <f t="shared" ca="1" si="7"/>
        <v>279.53624419836098</v>
      </c>
      <c r="K57" s="411">
        <f t="shared" ca="1" si="8"/>
        <v>151.3366127556568</v>
      </c>
      <c r="L57" s="414">
        <f t="shared" ca="1" si="9"/>
        <v>1145.1962210424565</v>
      </c>
      <c r="M57" s="417">
        <f t="shared" ca="1" si="10"/>
        <v>16.252715004390566</v>
      </c>
    </row>
    <row r="58" spans="2:13" x14ac:dyDescent="0.2">
      <c r="B58" s="426">
        <f t="shared" si="11"/>
        <v>99</v>
      </c>
      <c r="C58" s="404">
        <f t="shared" si="1"/>
        <v>3.3003834725177849E-3</v>
      </c>
      <c r="D58" s="401">
        <f ca="1">MpropuPlein+1.5*MasseSans</f>
        <v>12.914</v>
      </c>
      <c r="E58" s="401">
        <f t="shared" ca="1" si="2"/>
        <v>12.397499999999999</v>
      </c>
      <c r="F58" s="401">
        <f t="shared" ca="1" si="3"/>
        <v>11.881</v>
      </c>
      <c r="G58" s="408">
        <f t="shared" ca="1" si="4"/>
        <v>36.438204637357813</v>
      </c>
      <c r="H58" s="404">
        <f t="shared" ca="1" si="5"/>
        <v>2.6621362956384637E-4</v>
      </c>
      <c r="I58" s="404">
        <f t="shared" ca="1" si="6"/>
        <v>2.7778667389258353E-4</v>
      </c>
      <c r="J58" s="404">
        <f t="shared" ca="1" si="7"/>
        <v>230.07416278523863</v>
      </c>
      <c r="K58" s="411">
        <f t="shared" ca="1" si="8"/>
        <v>125.62125708041533</v>
      </c>
      <c r="L58" s="414">
        <f t="shared" ca="1" si="9"/>
        <v>894.9615150560054</v>
      </c>
      <c r="M58" s="417">
        <f t="shared" ca="1" si="10"/>
        <v>14.877851711989361</v>
      </c>
    </row>
    <row r="59" spans="2:13" x14ac:dyDescent="0.2">
      <c r="B59" s="426">
        <f t="shared" si="11"/>
        <v>99</v>
      </c>
      <c r="C59" s="404">
        <f t="shared" si="1"/>
        <v>3.3003834725177849E-3</v>
      </c>
      <c r="D59" s="401">
        <f ca="1">MpropuPlein+1.75*MasseSans</f>
        <v>14.785500000000001</v>
      </c>
      <c r="E59" s="401">
        <f t="shared" ca="1" si="2"/>
        <v>14.269</v>
      </c>
      <c r="F59" s="401">
        <f t="shared" ca="1" si="3"/>
        <v>13.752500000000001</v>
      </c>
      <c r="G59" s="408">
        <f t="shared" ca="1" si="4"/>
        <v>30.372361552431386</v>
      </c>
      <c r="H59" s="404">
        <f t="shared" ca="1" si="5"/>
        <v>2.3129746110573865E-4</v>
      </c>
      <c r="I59" s="404">
        <f t="shared" ca="1" si="6"/>
        <v>2.3998425540940082E-4</v>
      </c>
      <c r="J59" s="404">
        <f t="shared" ca="1" si="7"/>
        <v>192.83700389513015</v>
      </c>
      <c r="K59" s="411">
        <f t="shared" ca="1" si="8"/>
        <v>105.86102744768547</v>
      </c>
      <c r="L59" s="414">
        <f t="shared" ca="1" si="9"/>
        <v>697.6162667733646</v>
      </c>
      <c r="M59" s="417">
        <f t="shared" ca="1" si="10"/>
        <v>13.530991660123929</v>
      </c>
    </row>
    <row r="60" spans="2:13" x14ac:dyDescent="0.2">
      <c r="B60" s="427">
        <f t="shared" si="11"/>
        <v>99</v>
      </c>
      <c r="C60" s="405">
        <f t="shared" si="1"/>
        <v>3.3003834725177849E-3</v>
      </c>
      <c r="D60" s="402">
        <f ca="1">MpropuPlein+2*MasseSans</f>
        <v>16.657</v>
      </c>
      <c r="E60" s="402">
        <f t="shared" ca="1" si="2"/>
        <v>16.140499999999999</v>
      </c>
      <c r="F60" s="402">
        <f t="shared" ca="1" si="3"/>
        <v>15.624000000000001</v>
      </c>
      <c r="G60" s="409">
        <f t="shared" ca="1" si="4"/>
        <v>25.713194262361355</v>
      </c>
      <c r="H60" s="405">
        <f t="shared" ca="1" si="5"/>
        <v>2.0447839115998793E-4</v>
      </c>
      <c r="I60" s="405">
        <f t="shared" ca="1" si="6"/>
        <v>2.1123806147707277E-4</v>
      </c>
      <c r="J60" s="405">
        <f t="shared" ca="1" si="7"/>
        <v>163.8588900658338</v>
      </c>
      <c r="K60" s="412">
        <f t="shared" ca="1" si="8"/>
        <v>90.280300554842739</v>
      </c>
      <c r="L60" s="415">
        <f t="shared" ca="1" si="9"/>
        <v>546.59703419346408</v>
      </c>
      <c r="M60" s="418">
        <f t="shared" ca="1" si="10"/>
        <v>12.304936240344523</v>
      </c>
    </row>
    <row r="61" spans="2:13" x14ac:dyDescent="0.2">
      <c r="B61" s="425">
        <f t="shared" ref="B61:B69" si="12">D_ref*1.5</f>
        <v>148.5</v>
      </c>
      <c r="C61" s="403">
        <f t="shared" si="1"/>
        <v>7.4258628131650163E-3</v>
      </c>
      <c r="D61" s="400">
        <f ca="1">MpropuPlein+0*MasseSans</f>
        <v>1.6850000000000001</v>
      </c>
      <c r="E61" s="400">
        <f t="shared" ca="1" si="2"/>
        <v>1.1685000000000001</v>
      </c>
      <c r="F61" s="400">
        <f t="shared" ca="1" si="3"/>
        <v>0.65200000000000014</v>
      </c>
      <c r="G61" s="407">
        <f t="shared" ca="1" si="4"/>
        <v>480.87217115245477</v>
      </c>
      <c r="H61" s="403">
        <f t="shared" ca="1" si="5"/>
        <v>6.3550387789174292E-3</v>
      </c>
      <c r="I61" s="403">
        <f t="shared" ca="1" si="6"/>
        <v>1.1389360142891127E-2</v>
      </c>
      <c r="J61" s="403">
        <f t="shared" ca="1" si="7"/>
        <v>878.4597744343281</v>
      </c>
      <c r="K61" s="410">
        <f t="shared" ca="1" si="8"/>
        <v>275.07596521895329</v>
      </c>
      <c r="L61" s="413">
        <f t="shared" ca="1" si="9"/>
        <v>1075.439037659014</v>
      </c>
      <c r="M61" s="416">
        <f t="shared" ca="1" si="10"/>
        <v>7.9713413208649264</v>
      </c>
    </row>
    <row r="62" spans="2:13" x14ac:dyDescent="0.2">
      <c r="B62" s="426">
        <f t="shared" si="12"/>
        <v>148.5</v>
      </c>
      <c r="C62" s="404">
        <f t="shared" si="1"/>
        <v>7.4258628131650163E-3</v>
      </c>
      <c r="D62" s="401">
        <f ca="1">MpropuPlein+0.25*MasseSans</f>
        <v>3.5564999999999998</v>
      </c>
      <c r="E62" s="401">
        <f t="shared" ca="1" si="2"/>
        <v>3.04</v>
      </c>
      <c r="F62" s="401">
        <f t="shared" ca="1" si="3"/>
        <v>2.5234999999999999</v>
      </c>
      <c r="G62" s="408">
        <f t="shared" ca="1" si="4"/>
        <v>178.79595953672481</v>
      </c>
      <c r="H62" s="404">
        <f t="shared" ca="1" si="5"/>
        <v>2.4427180306463869E-3</v>
      </c>
      <c r="I62" s="404">
        <f t="shared" ca="1" si="6"/>
        <v>2.9426838966376133E-3</v>
      </c>
      <c r="J62" s="404">
        <f t="shared" ca="1" si="7"/>
        <v>691.04595408725538</v>
      </c>
      <c r="K62" s="411">
        <f t="shared" ca="1" si="8"/>
        <v>265.88256819975578</v>
      </c>
      <c r="L62" s="414">
        <f t="shared" ca="1" si="9"/>
        <v>1217.8359370828684</v>
      </c>
      <c r="M62" s="417">
        <f t="shared" ca="1" si="10"/>
        <v>11.576577163936403</v>
      </c>
    </row>
    <row r="63" spans="2:13" x14ac:dyDescent="0.2">
      <c r="B63" s="426">
        <f t="shared" si="12"/>
        <v>148.5</v>
      </c>
      <c r="C63" s="404">
        <f t="shared" si="1"/>
        <v>7.4258628131650163E-3</v>
      </c>
      <c r="D63" s="401">
        <f ca="1">MpropuPlein+0.5*MasseSans</f>
        <v>5.4279999999999999</v>
      </c>
      <c r="E63" s="401">
        <f t="shared" ca="1" si="2"/>
        <v>4.9115000000000002</v>
      </c>
      <c r="F63" s="401">
        <f t="shared" ca="1" si="3"/>
        <v>4.3949999999999996</v>
      </c>
      <c r="G63" s="408">
        <f t="shared" ca="1" si="4"/>
        <v>106.92869835928809</v>
      </c>
      <c r="H63" s="404">
        <f t="shared" ca="1" si="5"/>
        <v>1.5119337907289049E-3</v>
      </c>
      <c r="I63" s="404">
        <f t="shared" ca="1" si="6"/>
        <v>1.6896161122104704E-3</v>
      </c>
      <c r="J63" s="404">
        <f t="shared" ca="1" si="7"/>
        <v>532.14736772262449</v>
      </c>
      <c r="K63" s="411">
        <f t="shared" ca="1" si="8"/>
        <v>237.85360796774208</v>
      </c>
      <c r="L63" s="414">
        <f t="shared" ca="1" si="9"/>
        <v>1234.7774046983241</v>
      </c>
      <c r="M63" s="417">
        <f t="shared" ca="1" si="10"/>
        <v>13.382825084628967</v>
      </c>
    </row>
    <row r="64" spans="2:13" x14ac:dyDescent="0.2">
      <c r="B64" s="426">
        <f t="shared" si="12"/>
        <v>148.5</v>
      </c>
      <c r="C64" s="404">
        <f t="shared" si="1"/>
        <v>7.4258628131650163E-3</v>
      </c>
      <c r="D64" s="401">
        <f ca="1">MpropuPlein+0.75*MasseSans</f>
        <v>7.2995000000000001</v>
      </c>
      <c r="E64" s="401">
        <f t="shared" ca="1" si="2"/>
        <v>6.7830000000000004</v>
      </c>
      <c r="F64" s="401">
        <f t="shared" ca="1" si="3"/>
        <v>6.2665000000000006</v>
      </c>
      <c r="G64" s="408">
        <f t="shared" ca="1" si="4"/>
        <v>74.719281585086748</v>
      </c>
      <c r="H64" s="404">
        <f t="shared" ca="1" si="5"/>
        <v>1.0947755879647672E-3</v>
      </c>
      <c r="I64" s="404">
        <f t="shared" ca="1" si="6"/>
        <v>1.1850096246972018E-3</v>
      </c>
      <c r="J64" s="404">
        <f t="shared" ca="1" si="7"/>
        <v>414.98685205969002</v>
      </c>
      <c r="K64" s="411">
        <f t="shared" ca="1" si="8"/>
        <v>201.84315019010211</v>
      </c>
      <c r="L64" s="414">
        <f t="shared" ca="1" si="9"/>
        <v>1165.4271917721453</v>
      </c>
      <c r="M64" s="417">
        <f t="shared" ca="1" si="10"/>
        <v>14.23096267357022</v>
      </c>
    </row>
    <row r="65" spans="2:13" x14ac:dyDescent="0.2">
      <c r="B65" s="426">
        <f t="shared" si="12"/>
        <v>148.5</v>
      </c>
      <c r="C65" s="404">
        <f t="shared" si="1"/>
        <v>7.4258628131650163E-3</v>
      </c>
      <c r="D65" s="401">
        <f ca="1">MpropuPlein+1*MasseSans</f>
        <v>9.1709999999999994</v>
      </c>
      <c r="E65" s="401">
        <f t="shared" ca="1" si="2"/>
        <v>8.6544999999999987</v>
      </c>
      <c r="F65" s="401">
        <f t="shared" ca="1" si="3"/>
        <v>8.1379999999999999</v>
      </c>
      <c r="G65" s="408">
        <f t="shared" ca="1" si="4"/>
        <v>56.440172394897857</v>
      </c>
      <c r="H65" s="404">
        <f t="shared" ca="1" si="5"/>
        <v>8.5803487355306694E-4</v>
      </c>
      <c r="I65" s="404">
        <f t="shared" ca="1" si="6"/>
        <v>9.1249235846215491E-4</v>
      </c>
      <c r="J65" s="404">
        <f t="shared" ca="1" si="7"/>
        <v>331.1730529104467</v>
      </c>
      <c r="K65" s="411">
        <f t="shared" ca="1" si="8"/>
        <v>168.86785606139935</v>
      </c>
      <c r="L65" s="414">
        <f t="shared" ca="1" si="9"/>
        <v>1040.9926322038441</v>
      </c>
      <c r="M65" s="417">
        <f t="shared" ca="1" si="10"/>
        <v>14.372298252391509</v>
      </c>
    </row>
    <row r="66" spans="2:13" x14ac:dyDescent="0.2">
      <c r="B66" s="426">
        <f t="shared" si="12"/>
        <v>148.5</v>
      </c>
      <c r="C66" s="404">
        <f t="shared" si="1"/>
        <v>7.4258628131650163E-3</v>
      </c>
      <c r="D66" s="401">
        <f ca="1">MpropuPlein+1.25*MasseSans</f>
        <v>11.0425</v>
      </c>
      <c r="E66" s="401">
        <f t="shared" ca="1" si="2"/>
        <v>10.526</v>
      </c>
      <c r="F66" s="401">
        <f t="shared" ca="1" si="3"/>
        <v>10.009500000000001</v>
      </c>
      <c r="G66" s="408">
        <f t="shared" ca="1" si="4"/>
        <v>44.661035245263484</v>
      </c>
      <c r="H66" s="404">
        <f t="shared" ca="1" si="5"/>
        <v>7.0547813159462435E-4</v>
      </c>
      <c r="I66" s="404">
        <f t="shared" ca="1" si="6"/>
        <v>7.4188149389729915E-4</v>
      </c>
      <c r="J66" s="404">
        <f t="shared" ca="1" si="7"/>
        <v>270.1995084564391</v>
      </c>
      <c r="K66" s="411">
        <f t="shared" ca="1" si="8"/>
        <v>141.65846993810027</v>
      </c>
      <c r="L66" s="414">
        <f t="shared" ca="1" si="9"/>
        <v>892.4665301962807</v>
      </c>
      <c r="M66" s="417">
        <f t="shared" ca="1" si="10"/>
        <v>14.009942113598987</v>
      </c>
    </row>
    <row r="67" spans="2:13" x14ac:dyDescent="0.2">
      <c r="B67" s="426">
        <f t="shared" si="12"/>
        <v>148.5</v>
      </c>
      <c r="C67" s="404">
        <f t="shared" si="1"/>
        <v>7.4258628131650163E-3</v>
      </c>
      <c r="D67" s="401">
        <f ca="1">MpropuPlein+1.5*MasseSans</f>
        <v>12.914</v>
      </c>
      <c r="E67" s="401">
        <f t="shared" ca="1" si="2"/>
        <v>12.397499999999999</v>
      </c>
      <c r="F67" s="401">
        <f t="shared" ca="1" si="3"/>
        <v>11.881</v>
      </c>
      <c r="G67" s="408">
        <f t="shared" ca="1" si="4"/>
        <v>36.438204637357813</v>
      </c>
      <c r="H67" s="404">
        <f t="shared" ca="1" si="5"/>
        <v>5.9898066651865433E-4</v>
      </c>
      <c r="I67" s="404">
        <f t="shared" ca="1" si="6"/>
        <v>6.2502001625831295E-4</v>
      </c>
      <c r="J67" s="404">
        <f t="shared" ca="1" si="7"/>
        <v>224.56234998370849</v>
      </c>
      <c r="K67" s="411">
        <f t="shared" ca="1" si="8"/>
        <v>119.7865896617496</v>
      </c>
      <c r="L67" s="414">
        <f t="shared" ca="1" si="9"/>
        <v>743.98563004113907</v>
      </c>
      <c r="M67" s="417">
        <f t="shared" ca="1" si="10"/>
        <v>13.33386517739654</v>
      </c>
    </row>
    <row r="68" spans="2:13" x14ac:dyDescent="0.2">
      <c r="B68" s="426">
        <f t="shared" si="12"/>
        <v>148.5</v>
      </c>
      <c r="C68" s="404">
        <f t="shared" si="1"/>
        <v>7.4258628131650163E-3</v>
      </c>
      <c r="D68" s="401">
        <f ca="1">MpropuPlein+1.75*MasseSans</f>
        <v>14.785500000000001</v>
      </c>
      <c r="E68" s="401">
        <f t="shared" ca="1" si="2"/>
        <v>14.269</v>
      </c>
      <c r="F68" s="401">
        <f t="shared" ca="1" si="3"/>
        <v>13.752500000000001</v>
      </c>
      <c r="G68" s="408">
        <f t="shared" ca="1" si="4"/>
        <v>30.372361552431386</v>
      </c>
      <c r="H68" s="404">
        <f t="shared" ca="1" si="5"/>
        <v>5.20419287487912E-4</v>
      </c>
      <c r="I68" s="404">
        <f t="shared" ca="1" si="6"/>
        <v>5.3996457467115179E-4</v>
      </c>
      <c r="J68" s="404">
        <f t="shared" ca="1" si="7"/>
        <v>189.41587825503549</v>
      </c>
      <c r="K68" s="411">
        <f t="shared" ca="1" si="8"/>
        <v>102.19004614641432</v>
      </c>
      <c r="L68" s="414">
        <f t="shared" ca="1" si="9"/>
        <v>609.93003885678615</v>
      </c>
      <c r="M68" s="417">
        <f t="shared" ca="1" si="10"/>
        <v>12.503037887956186</v>
      </c>
    </row>
    <row r="69" spans="2:13" x14ac:dyDescent="0.2">
      <c r="B69" s="427">
        <f t="shared" si="12"/>
        <v>148.5</v>
      </c>
      <c r="C69" s="405">
        <f t="shared" si="1"/>
        <v>7.4258628131650163E-3</v>
      </c>
      <c r="D69" s="402">
        <f ca="1">MpropuPlein+2*MasseSans</f>
        <v>16.657</v>
      </c>
      <c r="E69" s="402">
        <f t="shared" ca="1" si="2"/>
        <v>16.140499999999999</v>
      </c>
      <c r="F69" s="402">
        <f t="shared" ca="1" si="3"/>
        <v>15.624000000000001</v>
      </c>
      <c r="G69" s="409">
        <f t="shared" ca="1" si="4"/>
        <v>25.713194262361355</v>
      </c>
      <c r="H69" s="405">
        <f t="shared" ca="1" si="5"/>
        <v>4.6007638010997281E-4</v>
      </c>
      <c r="I69" s="405">
        <f t="shared" ca="1" si="6"/>
        <v>4.752856383234137E-4</v>
      </c>
      <c r="J69" s="405">
        <f t="shared" ca="1" si="7"/>
        <v>161.65020266086637</v>
      </c>
      <c r="K69" s="412">
        <f t="shared" ca="1" si="8"/>
        <v>87.888434285405538</v>
      </c>
      <c r="L69" s="415">
        <f t="shared" ca="1" si="9"/>
        <v>496.08086662256062</v>
      </c>
      <c r="M69" s="418">
        <f t="shared" ca="1" si="10"/>
        <v>11.630302650534677</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mergeCells count="13">
    <mergeCell ref="C10:D10"/>
    <mergeCell ref="C9:D9"/>
    <mergeCell ref="C2:D3"/>
    <mergeCell ref="C4:D4"/>
    <mergeCell ref="C5:D5"/>
    <mergeCell ref="C7:D7"/>
    <mergeCell ref="C8:D8"/>
    <mergeCell ref="C11:D11"/>
    <mergeCell ref="C13:D13"/>
    <mergeCell ref="C15:D15"/>
    <mergeCell ref="C16:D16"/>
    <mergeCell ref="C17:D17"/>
    <mergeCell ref="C12:D12"/>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workbookViewId="0">
      <selection activeCell="M22" sqref="M22"/>
    </sheetView>
  </sheetViews>
  <sheetFormatPr baseColWidth="10" defaultRowHeight="12.75" x14ac:dyDescent="0.2"/>
  <cols>
    <col min="1" max="1" width="2.140625" customWidth="1"/>
    <col min="2" max="2" width="16.140625" customWidth="1"/>
    <col min="3" max="4" width="13.5703125" customWidth="1"/>
  </cols>
  <sheetData>
    <row r="2" spans="3:8" x14ac:dyDescent="0.2">
      <c r="C2" s="598" t="s">
        <v>178</v>
      </c>
      <c r="D2" s="598"/>
    </row>
    <row r="3" spans="3:8" x14ac:dyDescent="0.2">
      <c r="C3" s="598"/>
      <c r="D3" s="598"/>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G43" sqref="G43"/>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FX0</v>
      </c>
      <c r="N4" s="75"/>
      <c r="O4" s="6"/>
      <c r="P4" s="273"/>
      <c r="Q4" s="436"/>
      <c r="R4" s="48"/>
      <c r="S4" s="48"/>
      <c r="T4" s="48"/>
      <c r="U4" s="48"/>
    </row>
    <row r="5" spans="2:21" ht="15.75" customHeight="1" x14ac:dyDescent="0.2">
      <c r="B5" s="74"/>
      <c r="D5" t="s">
        <v>462</v>
      </c>
      <c r="E5" t="str">
        <f>Propu</f>
        <v>Barasinga (Pro54-5G C)</v>
      </c>
      <c r="G5" t="s">
        <v>459</v>
      </c>
      <c r="H5">
        <f>MasseSans</f>
        <v>7.4859999999999998</v>
      </c>
      <c r="N5" s="75"/>
      <c r="O5" s="6"/>
      <c r="P5" s="273"/>
      <c r="Q5" s="436"/>
      <c r="R5" s="48"/>
      <c r="S5" s="48"/>
      <c r="T5" s="48"/>
      <c r="U5" s="48"/>
    </row>
    <row r="6" spans="2:21" x14ac:dyDescent="0.2">
      <c r="B6" s="74"/>
      <c r="D6" t="s">
        <v>455</v>
      </c>
      <c r="E6" s="2" t="str">
        <f>Trajecto!H34</f>
        <v>Brun/Orange…</v>
      </c>
      <c r="G6" t="s">
        <v>460</v>
      </c>
      <c r="H6">
        <f>D_ref</f>
        <v>99</v>
      </c>
      <c r="N6" s="75"/>
      <c r="O6" s="6"/>
      <c r="P6" s="273"/>
      <c r="Q6" s="436"/>
      <c r="R6" s="48"/>
      <c r="S6" s="48"/>
      <c r="T6" s="48"/>
      <c r="U6" s="48"/>
    </row>
    <row r="7" spans="2:21" x14ac:dyDescent="0.2">
      <c r="B7" s="74"/>
      <c r="D7" t="s">
        <v>457</v>
      </c>
      <c r="E7" s="2" t="str">
        <f>Trajecto!H35</f>
        <v>Rouge…</v>
      </c>
      <c r="G7" t="s">
        <v>5</v>
      </c>
      <c r="H7">
        <f>Cx</f>
        <v>0.7</v>
      </c>
      <c r="N7" s="75"/>
      <c r="O7" s="6"/>
      <c r="P7" s="273"/>
      <c r="Q7" s="436"/>
      <c r="R7" s="48"/>
      <c r="S7" s="48"/>
      <c r="T7" s="48"/>
      <c r="U7" s="48"/>
    </row>
    <row r="8" spans="2:21" x14ac:dyDescent="0.2">
      <c r="B8" s="74"/>
      <c r="D8" t="s">
        <v>458</v>
      </c>
      <c r="E8" s="2">
        <f>S_para</f>
        <v>0.51200000000000001</v>
      </c>
      <c r="G8" t="s">
        <v>461</v>
      </c>
      <c r="H8">
        <f>L_rampe</f>
        <v>4</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7.4859999999999998</v>
      </c>
      <c r="F11" s="246" t="s">
        <v>123</v>
      </c>
      <c r="G11" s="246" t="s">
        <v>125</v>
      </c>
      <c r="H11" s="672">
        <f ca="1">Vsortie_de_rampe</f>
        <v>25.795887856142588</v>
      </c>
      <c r="I11" s="673"/>
      <c r="J11" s="76"/>
      <c r="N11" s="75"/>
      <c r="P11" s="48"/>
      <c r="Q11" s="436"/>
      <c r="R11" s="48"/>
      <c r="S11" s="48"/>
      <c r="T11" s="48"/>
      <c r="U11" s="440">
        <f>IF(RIGHT(Nb_diam,1)=",", "", X_j)</f>
        <v>942</v>
      </c>
    </row>
    <row r="12" spans="2:21" ht="13.5" thickBot="1" x14ac:dyDescent="0.25">
      <c r="B12" s="74"/>
      <c r="C12" s="12"/>
      <c r="D12" s="276"/>
      <c r="E12" s="244"/>
      <c r="F12" s="6" t="s">
        <v>123</v>
      </c>
      <c r="G12" s="6" t="s">
        <v>126</v>
      </c>
      <c r="H12" s="674">
        <f>Finesse</f>
        <v>20.727272727272727</v>
      </c>
      <c r="I12" s="675"/>
      <c r="J12" s="76"/>
      <c r="N12" s="75"/>
      <c r="O12" s="6"/>
      <c r="P12" s="273" t="s">
        <v>341</v>
      </c>
      <c r="Q12" s="441">
        <f>D_og</f>
        <v>84</v>
      </c>
      <c r="R12" s="48"/>
      <c r="S12" s="48"/>
      <c r="T12" s="48"/>
      <c r="U12" s="436"/>
    </row>
    <row r="13" spans="2:21" x14ac:dyDescent="0.2">
      <c r="B13" s="74"/>
      <c r="C13" s="12"/>
      <c r="D13" s="276" t="s">
        <v>5</v>
      </c>
      <c r="E13" s="244">
        <f>Cx</f>
        <v>0.7</v>
      </c>
      <c r="F13" s="6" t="s">
        <v>123</v>
      </c>
      <c r="G13" s="6" t="s">
        <v>433</v>
      </c>
      <c r="H13" s="674">
        <f>Cn</f>
        <v>22.595376756695227</v>
      </c>
      <c r="I13" s="675"/>
      <c r="J13" s="76"/>
      <c r="N13" s="75"/>
      <c r="O13" s="6"/>
      <c r="P13" s="48"/>
      <c r="Q13" s="436"/>
      <c r="R13" s="48"/>
      <c r="S13" s="48"/>
      <c r="T13" s="48"/>
      <c r="U13" s="440">
        <f>IF(RIGHT(Nb_diam,1)=",", "", X_r)</f>
        <v>2002</v>
      </c>
    </row>
    <row r="14" spans="2:21" x14ac:dyDescent="0.2">
      <c r="B14" s="74"/>
      <c r="C14" s="12"/>
      <c r="D14" s="276" t="s">
        <v>143</v>
      </c>
      <c r="E14" s="244">
        <f>L_rampe</f>
        <v>4</v>
      </c>
      <c r="F14" s="6" t="s">
        <v>123</v>
      </c>
      <c r="G14" s="6" t="s">
        <v>127</v>
      </c>
      <c r="H14" s="247">
        <f ca="1">MS_min</f>
        <v>1.3074542833093958</v>
      </c>
      <c r="I14" s="254">
        <f ca="1">MS_max</f>
        <v>3.0968618767252276</v>
      </c>
      <c r="J14" s="76"/>
      <c r="K14" s="76"/>
      <c r="N14" s="75"/>
      <c r="P14" s="48"/>
      <c r="Q14" s="436"/>
      <c r="R14" s="48"/>
      <c r="S14" s="48"/>
      <c r="T14" s="48"/>
      <c r="U14" s="436"/>
    </row>
    <row r="15" spans="2:21" x14ac:dyDescent="0.2">
      <c r="B15" s="74"/>
      <c r="C15" s="12"/>
      <c r="D15" s="276" t="s">
        <v>144</v>
      </c>
      <c r="E15" s="244">
        <f>ep_ail</f>
        <v>3</v>
      </c>
      <c r="F15" s="6" t="s">
        <v>123</v>
      </c>
      <c r="G15" s="6" t="s">
        <v>124</v>
      </c>
      <c r="H15" s="247">
        <f ca="1">MS_Cn_min</f>
        <v>29.542422123530738</v>
      </c>
      <c r="I15" s="254">
        <f ca="1">MS_Cn_max</f>
        <v>83.904158188247749</v>
      </c>
      <c r="J15" s="76"/>
      <c r="K15" s="76"/>
      <c r="N15" s="75"/>
      <c r="P15" s="48"/>
      <c r="Q15" s="436"/>
      <c r="R15" s="48"/>
      <c r="S15" s="48"/>
      <c r="T15" s="48"/>
    </row>
    <row r="16" spans="2:21" x14ac:dyDescent="0.2">
      <c r="B16" s="74"/>
      <c r="C16" s="12"/>
      <c r="D16" s="276" t="s">
        <v>145</v>
      </c>
      <c r="E16" s="244">
        <f>Q_ail</f>
        <v>4</v>
      </c>
      <c r="F16" s="6" t="s">
        <v>128</v>
      </c>
      <c r="G16" s="6" t="s">
        <v>129</v>
      </c>
      <c r="H16" s="247">
        <f ca="1">V_para</f>
        <v>14.942895127649072</v>
      </c>
      <c r="I16" s="253">
        <f>V_satellite</f>
        <v>12.655562623057198</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4">
        <f>T_para</f>
        <v>16.2</v>
      </c>
      <c r="I17" s="675"/>
      <c r="J17" s="258"/>
      <c r="N17" s="75"/>
      <c r="P17" s="434" t="s">
        <v>342</v>
      </c>
      <c r="Q17" s="440">
        <f>IF(RIGHT(Nb_diam,1)=",", "", D2j)</f>
        <v>104</v>
      </c>
      <c r="R17" s="48"/>
      <c r="S17" s="48"/>
      <c r="T17" s="48"/>
      <c r="U17" s="436"/>
    </row>
    <row r="18" spans="2:21" x14ac:dyDescent="0.2">
      <c r="B18" s="74"/>
      <c r="C18" s="12"/>
      <c r="D18" s="276" t="s">
        <v>148</v>
      </c>
      <c r="E18" s="244">
        <f ca="1">XpropuRef-Long_propu</f>
        <v>1564</v>
      </c>
      <c r="F18" s="12" t="s">
        <v>130</v>
      </c>
      <c r="G18" s="12" t="s">
        <v>427</v>
      </c>
      <c r="H18" s="602">
        <f ca="1">T_para-Combustion-Depotage</f>
        <v>16.2</v>
      </c>
      <c r="I18" s="680"/>
      <c r="N18" s="75"/>
      <c r="P18" s="48"/>
      <c r="Q18" s="436"/>
      <c r="R18" s="48"/>
      <c r="S18" s="48"/>
    </row>
    <row r="19" spans="2:21" x14ac:dyDescent="0.2">
      <c r="B19" s="74"/>
      <c r="C19" s="531"/>
      <c r="D19" s="269"/>
      <c r="E19" s="271"/>
      <c r="F19" s="519" t="s">
        <v>132</v>
      </c>
      <c r="G19" s="274" t="s">
        <v>426</v>
      </c>
      <c r="H19" s="681">
        <f ca="1">Portee_balistique</f>
        <v>859.24597237897774</v>
      </c>
      <c r="I19" s="682"/>
      <c r="N19" s="75"/>
      <c r="P19" s="48"/>
      <c r="Q19" s="436"/>
      <c r="R19" s="48"/>
      <c r="S19" s="48"/>
      <c r="T19" s="48"/>
    </row>
    <row r="20" spans="2:21" x14ac:dyDescent="0.2">
      <c r="B20" s="74"/>
      <c r="C20" s="12"/>
      <c r="D20" s="6"/>
      <c r="E20" s="6"/>
      <c r="H20" s="518"/>
      <c r="I20" s="518"/>
      <c r="N20" s="75"/>
      <c r="P20" s="48"/>
      <c r="Q20" s="436"/>
      <c r="R20" s="48"/>
      <c r="S20" s="48"/>
      <c r="T20" s="48"/>
      <c r="U20" s="440">
        <f>IF(RIGHT(Nb_diam,1)=",", "", l_r)</f>
        <v>50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1030</v>
      </c>
      <c r="E23" s="527" t="s">
        <v>38</v>
      </c>
      <c r="F23" s="528">
        <f>m_ail</f>
        <v>190</v>
      </c>
      <c r="G23" s="526">
        <f>m_can</f>
        <v>170</v>
      </c>
      <c r="I23" s="529" t="s">
        <v>448</v>
      </c>
      <c r="J23" s="528">
        <f>l_j</f>
        <v>60</v>
      </c>
      <c r="K23" s="526">
        <f>l_r</f>
        <v>50</v>
      </c>
      <c r="N23" s="75"/>
      <c r="O23" s="273"/>
      <c r="P23" s="436"/>
      <c r="Q23" s="48"/>
      <c r="R23" s="48"/>
      <c r="S23" s="48"/>
      <c r="T23" s="226"/>
      <c r="U23" s="436"/>
    </row>
    <row r="24" spans="2:21" x14ac:dyDescent="0.2">
      <c r="B24" s="74"/>
      <c r="C24" s="526" t="s">
        <v>440</v>
      </c>
      <c r="D24" s="526">
        <f>Long_tot</f>
        <v>2052</v>
      </c>
      <c r="E24" s="527" t="s">
        <v>443</v>
      </c>
      <c r="F24" s="528">
        <f>n_ail</f>
        <v>80</v>
      </c>
      <c r="G24" s="526">
        <f>n_can</f>
        <v>80</v>
      </c>
      <c r="I24" s="529" t="s">
        <v>449</v>
      </c>
      <c r="J24" s="528">
        <f>D1j</f>
        <v>84</v>
      </c>
      <c r="K24" s="526">
        <f>D1r</f>
        <v>104</v>
      </c>
      <c r="N24" s="75"/>
      <c r="O24" s="273"/>
      <c r="P24" s="436"/>
      <c r="Q24" s="48"/>
      <c r="R24" s="48"/>
      <c r="S24" s="48"/>
      <c r="T24" s="226"/>
      <c r="U24" s="436"/>
    </row>
    <row r="25" spans="2:21" x14ac:dyDescent="0.2">
      <c r="B25" s="74"/>
      <c r="C25" s="526" t="s">
        <v>441</v>
      </c>
      <c r="D25" s="526">
        <f>XpropuRef</f>
        <v>2052</v>
      </c>
      <c r="E25" s="527" t="s">
        <v>444</v>
      </c>
      <c r="F25" s="528">
        <f>p_ail</f>
        <v>180</v>
      </c>
      <c r="G25" s="526">
        <f>p_can</f>
        <v>120</v>
      </c>
      <c r="I25" s="529" t="s">
        <v>450</v>
      </c>
      <c r="J25" s="528">
        <f>D2j</f>
        <v>104</v>
      </c>
      <c r="K25" s="526">
        <f>D2r</f>
        <v>84</v>
      </c>
      <c r="N25" s="75"/>
      <c r="O25" s="273"/>
      <c r="P25" s="436"/>
      <c r="Q25" s="48"/>
      <c r="R25" s="48"/>
      <c r="S25" s="48"/>
      <c r="T25" s="226"/>
      <c r="U25" s="436"/>
    </row>
    <row r="26" spans="2:21" x14ac:dyDescent="0.2">
      <c r="B26" s="74"/>
      <c r="C26" s="526" t="s">
        <v>438</v>
      </c>
      <c r="D26" s="526">
        <f>D_ref</f>
        <v>99</v>
      </c>
      <c r="E26" s="527" t="s">
        <v>445</v>
      </c>
      <c r="F26" s="528">
        <f>E_ail</f>
        <v>145</v>
      </c>
      <c r="G26" s="526">
        <f>E_can</f>
        <v>107</v>
      </c>
      <c r="I26" s="529" t="s">
        <v>451</v>
      </c>
      <c r="J26" s="528">
        <f>X_j</f>
        <v>942</v>
      </c>
      <c r="K26" s="526">
        <f>X_r</f>
        <v>2002</v>
      </c>
      <c r="N26" s="75"/>
      <c r="O26" s="273"/>
      <c r="P26" s="436"/>
      <c r="Q26" s="48"/>
      <c r="R26" s="48"/>
      <c r="S26" s="48"/>
      <c r="T26" s="226"/>
      <c r="U26" s="436"/>
    </row>
    <row r="27" spans="2:21" x14ac:dyDescent="0.2">
      <c r="B27" s="74"/>
      <c r="C27" s="526" t="s">
        <v>439</v>
      </c>
      <c r="D27" s="526">
        <f>Long_ogive</f>
        <v>252</v>
      </c>
      <c r="E27" s="527" t="s">
        <v>446</v>
      </c>
      <c r="F27" s="528">
        <f>X_ail</f>
        <v>1972</v>
      </c>
      <c r="G27" s="526">
        <f>X_can</f>
        <v>942</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7" t="s">
        <v>141</v>
      </c>
      <c r="D29" s="677" t="s">
        <v>133</v>
      </c>
      <c r="E29" s="677" t="s">
        <v>134</v>
      </c>
      <c r="F29" s="677"/>
      <c r="G29" s="677"/>
      <c r="H29" s="678" t="s">
        <v>135</v>
      </c>
      <c r="I29" s="678"/>
      <c r="J29" s="678"/>
      <c r="K29" s="678"/>
      <c r="L29" s="677" t="s">
        <v>136</v>
      </c>
      <c r="M29" s="677" t="s">
        <v>137</v>
      </c>
      <c r="N29" s="75"/>
      <c r="O29" s="273" t="s">
        <v>430</v>
      </c>
      <c r="P29" s="441">
        <f>n_ail</f>
        <v>80</v>
      </c>
      <c r="Q29" s="2"/>
      <c r="R29" s="48"/>
      <c r="S29" s="48"/>
      <c r="T29" s="48"/>
      <c r="U29" s="12" t="s">
        <v>434</v>
      </c>
    </row>
    <row r="30" spans="2:21" ht="13.5" thickBot="1" x14ac:dyDescent="0.25">
      <c r="B30" s="74"/>
      <c r="C30" s="677"/>
      <c r="D30" s="677"/>
      <c r="E30" s="677"/>
      <c r="F30" s="677"/>
      <c r="G30" s="677"/>
      <c r="H30" s="678" t="s">
        <v>138</v>
      </c>
      <c r="I30" s="678"/>
      <c r="J30" s="69" t="s">
        <v>139</v>
      </c>
      <c r="K30" s="70" t="s">
        <v>140</v>
      </c>
      <c r="L30" s="677"/>
      <c r="M30" s="677"/>
      <c r="N30" s="75"/>
      <c r="P30" s="12"/>
      <c r="R30" s="48"/>
      <c r="S30" s="48"/>
      <c r="T30" s="226" t="s">
        <v>432</v>
      </c>
      <c r="U30" s="523">
        <f>[0]!p_can</f>
        <v>120</v>
      </c>
    </row>
    <row r="31" spans="2:21" ht="13.5" thickBot="1" x14ac:dyDescent="0.25">
      <c r="B31" s="74"/>
      <c r="C31" s="83">
        <f>Beta_rampe</f>
        <v>80</v>
      </c>
      <c r="D31" s="84">
        <f ca="1">Portee_balistique</f>
        <v>859.24597237897774</v>
      </c>
      <c r="E31" s="676">
        <f ca="1">T_para+Dt_para</f>
        <v>104.55217352182419</v>
      </c>
      <c r="F31" s="676"/>
      <c r="G31" s="676"/>
      <c r="H31" s="679">
        <f ca="1">Altitude_culmi</f>
        <v>1320.237263236472</v>
      </c>
      <c r="I31" s="679"/>
      <c r="J31" s="85">
        <f ca="1">Temps_culmi</f>
        <v>16.199999999999918</v>
      </c>
      <c r="K31" s="86">
        <f ca="1">Vit_culmi</f>
        <v>26.056513219919683</v>
      </c>
      <c r="L31" s="84">
        <f ca="1">Acc_max</f>
        <v>87.760974377876138</v>
      </c>
      <c r="M31" s="86">
        <f ca="1">Vit_max</f>
        <v>180.16869241022349</v>
      </c>
      <c r="N31" s="75"/>
      <c r="O31" s="273" t="s">
        <v>436</v>
      </c>
      <c r="P31" s="441">
        <f>ep_ail</f>
        <v>3</v>
      </c>
      <c r="Q31" s="2"/>
      <c r="R31" s="48"/>
      <c r="S31" s="48"/>
      <c r="T31" s="226" t="s">
        <v>344</v>
      </c>
      <c r="U31" s="523">
        <f>[0]!m_can</f>
        <v>170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107</v>
      </c>
    </row>
    <row r="34" spans="2:21" ht="13.5" thickBot="1" x14ac:dyDescent="0.25">
      <c r="B34" s="77"/>
      <c r="C34" s="78"/>
      <c r="D34" s="78"/>
      <c r="E34" s="78"/>
      <c r="F34" s="78"/>
      <c r="G34" s="78"/>
      <c r="H34" s="78"/>
      <c r="I34" s="78"/>
      <c r="J34" s="78"/>
      <c r="K34" s="78"/>
      <c r="L34" s="78"/>
      <c r="M34" s="78"/>
      <c r="N34" s="79"/>
      <c r="O34" s="2"/>
      <c r="P34" s="273" t="s">
        <v>431</v>
      </c>
      <c r="Q34" s="441">
        <f>E_ail</f>
        <v>145</v>
      </c>
      <c r="T34" s="226" t="s">
        <v>436</v>
      </c>
      <c r="U34" s="523">
        <f>[0]!ep_can</f>
        <v>3</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FX0</v>
      </c>
      <c r="N38" s="75"/>
    </row>
    <row r="39" spans="2:21" x14ac:dyDescent="0.2">
      <c r="B39" s="74"/>
      <c r="D39" s="2"/>
      <c r="N39" s="75"/>
    </row>
    <row r="40" spans="2:21" x14ac:dyDescent="0.2">
      <c r="B40" s="74"/>
      <c r="D40" s="275" t="s">
        <v>149</v>
      </c>
      <c r="E40" s="246">
        <f>D_ref</f>
        <v>99</v>
      </c>
      <c r="F40" s="265"/>
      <c r="G40" s="265"/>
      <c r="H40" s="261" t="s">
        <v>198</v>
      </c>
      <c r="I40" s="261" t="s">
        <v>199</v>
      </c>
      <c r="J40" s="262" t="s">
        <v>200</v>
      </c>
      <c r="N40" s="75"/>
    </row>
    <row r="41" spans="2:21" x14ac:dyDescent="0.2">
      <c r="B41" s="74"/>
      <c r="D41" s="276" t="s">
        <v>147</v>
      </c>
      <c r="E41" s="6">
        <f>Long_ogive</f>
        <v>252</v>
      </c>
      <c r="F41" s="2"/>
      <c r="G41" s="2" t="s">
        <v>201</v>
      </c>
      <c r="H41" s="6">
        <f>MasseSans</f>
        <v>7.4859999999999998</v>
      </c>
      <c r="I41" s="6">
        <f ca="1">MasseVide</f>
        <v>8.1379999999999999</v>
      </c>
      <c r="J41" s="244">
        <f ca="1">MassePlein</f>
        <v>9.1709999999999994</v>
      </c>
      <c r="N41" s="75"/>
    </row>
    <row r="42" spans="2:21" x14ac:dyDescent="0.2">
      <c r="B42" s="74"/>
      <c r="D42" s="276" t="s">
        <v>150</v>
      </c>
      <c r="E42" s="6">
        <f>X_ail-m_ail</f>
        <v>1782</v>
      </c>
      <c r="F42" s="255"/>
      <c r="G42" s="255" t="s">
        <v>218</v>
      </c>
      <c r="H42" s="263">
        <f>XcgSans</f>
        <v>1030</v>
      </c>
      <c r="I42" s="263">
        <f ca="1">XcgVide</f>
        <v>1092.0113049889408</v>
      </c>
      <c r="J42" s="245">
        <f ca="1">XcgPlein</f>
        <v>1174.0453603750955</v>
      </c>
      <c r="N42" s="75"/>
    </row>
    <row r="43" spans="2:21" x14ac:dyDescent="0.2">
      <c r="B43" s="74"/>
      <c r="D43" s="276" t="str">
        <f>IF(Lang="Français","Emplanture 'm'",IF(Lang="English","Root edge  'm'",""))</f>
        <v>Emplanture 'm'</v>
      </c>
      <c r="E43" s="244">
        <f>m_ail</f>
        <v>190</v>
      </c>
      <c r="N43" s="75"/>
    </row>
    <row r="44" spans="2:21" x14ac:dyDescent="0.2">
      <c r="B44" s="74"/>
      <c r="D44" s="276" t="str">
        <f>IF(Lang="Français","Saumon      'n'",IF(Lang="English","Tip edge    'n'",""))</f>
        <v>Saumon      'n'</v>
      </c>
      <c r="E44" s="244">
        <f>n_ail</f>
        <v>80</v>
      </c>
      <c r="F44" s="246" t="s">
        <v>202</v>
      </c>
      <c r="G44" s="246" t="s">
        <v>207</v>
      </c>
      <c r="H44" s="672">
        <f ca="1">Vsortie_de_rampe</f>
        <v>25.795887856142588</v>
      </c>
      <c r="I44" s="673"/>
      <c r="N44" s="75"/>
    </row>
    <row r="45" spans="2:21" x14ac:dyDescent="0.2">
      <c r="B45" s="74"/>
      <c r="D45" s="276" t="str">
        <f>IF(Lang="Français","Flèche        'p'",IF(Lang="English","Offset         'p'",""))</f>
        <v>Flèche        'p'</v>
      </c>
      <c r="E45" s="244">
        <f>p_ail</f>
        <v>180</v>
      </c>
      <c r="F45" s="6" t="s">
        <v>203</v>
      </c>
      <c r="G45" s="6" t="s">
        <v>208</v>
      </c>
      <c r="H45" s="674">
        <f>Finesse</f>
        <v>20.727272727272727</v>
      </c>
      <c r="I45" s="675"/>
      <c r="N45" s="75"/>
    </row>
    <row r="46" spans="2:21" x14ac:dyDescent="0.2">
      <c r="B46" s="74"/>
      <c r="D46" s="276" t="str">
        <f>IF(Lang="Français","Envergure   'E'",IF(Lang="English","Span          'E'",""))</f>
        <v>Envergure   'E'</v>
      </c>
      <c r="E46" s="244">
        <f>E_ail</f>
        <v>145</v>
      </c>
      <c r="F46" s="6" t="s">
        <v>204</v>
      </c>
      <c r="G46" s="6" t="s">
        <v>209</v>
      </c>
      <c r="H46" s="674">
        <f>Cn</f>
        <v>22.595376756695227</v>
      </c>
      <c r="I46" s="675"/>
      <c r="N46" s="75"/>
    </row>
    <row r="47" spans="2:21" x14ac:dyDescent="0.2">
      <c r="B47" s="74"/>
      <c r="D47" s="276" t="s">
        <v>144</v>
      </c>
      <c r="E47" s="244">
        <f>ep_ail</f>
        <v>3</v>
      </c>
      <c r="F47" s="6" t="s">
        <v>205</v>
      </c>
      <c r="G47" s="6" t="s">
        <v>210</v>
      </c>
      <c r="H47" s="247">
        <f ca="1">MS_min</f>
        <v>1.3074542833093958</v>
      </c>
      <c r="I47" s="254">
        <f ca="1">MS_max</f>
        <v>3.0968618767252276</v>
      </c>
      <c r="N47" s="75"/>
    </row>
    <row r="48" spans="2:21" x14ac:dyDescent="0.2">
      <c r="B48" s="74"/>
      <c r="D48" s="276" t="s">
        <v>145</v>
      </c>
      <c r="E48" s="244">
        <f>Q_ail</f>
        <v>4</v>
      </c>
      <c r="F48" s="274" t="s">
        <v>206</v>
      </c>
      <c r="G48" s="274" t="s">
        <v>211</v>
      </c>
      <c r="H48" s="256">
        <f ca="1">MS_Cn_min</f>
        <v>29.542422123530738</v>
      </c>
      <c r="I48" s="264">
        <f ca="1">MS_Cn_max</f>
        <v>83.904158188247749</v>
      </c>
      <c r="N48" s="75"/>
    </row>
    <row r="49" spans="2:14" x14ac:dyDescent="0.2">
      <c r="B49" s="74"/>
      <c r="D49" s="276" t="s">
        <v>148</v>
      </c>
      <c r="E49" s="244">
        <f ca="1">XpropuRef-Long_propu</f>
        <v>1564</v>
      </c>
      <c r="N49" s="75"/>
    </row>
    <row r="50" spans="2:14" x14ac:dyDescent="0.2">
      <c r="B50" s="74"/>
      <c r="D50" s="276" t="s">
        <v>146</v>
      </c>
      <c r="E50" s="272" t="str">
        <f>Forme_ogive</f>
        <v>Conique (droite)</v>
      </c>
      <c r="F50" s="273" t="s">
        <v>183</v>
      </c>
      <c r="G50" s="275" t="s">
        <v>5</v>
      </c>
      <c r="H50" s="246">
        <f>Cx</f>
        <v>0.7</v>
      </c>
      <c r="I50" s="265"/>
      <c r="J50" s="266"/>
      <c r="N50" s="75"/>
    </row>
    <row r="51" spans="2:14" x14ac:dyDescent="0.2">
      <c r="B51" s="74"/>
      <c r="D51" s="276" t="s">
        <v>142</v>
      </c>
      <c r="E51" s="244">
        <f>Long_tot</f>
        <v>2052</v>
      </c>
      <c r="G51" s="276" t="s">
        <v>212</v>
      </c>
      <c r="H51" s="6">
        <f>Sref</f>
        <v>9.4376873994583919E-3</v>
      </c>
      <c r="J51" s="267"/>
      <c r="N51" s="75"/>
    </row>
    <row r="52" spans="2:14" x14ac:dyDescent="0.2">
      <c r="B52" s="74"/>
      <c r="D52" s="276" t="s">
        <v>196</v>
      </c>
      <c r="E52" s="244">
        <f>MAX(D_ref,D_ail,D_og,(RIGHT(Nb_diam,1)=",")*MAX(D1j,D1r,D2j,D2r))</f>
        <v>104</v>
      </c>
      <c r="G52" s="276" t="s">
        <v>213</v>
      </c>
      <c r="H52" s="6">
        <f>Beta_rampe</f>
        <v>80</v>
      </c>
      <c r="I52" s="6">
        <v>80</v>
      </c>
      <c r="J52" s="244">
        <v>90</v>
      </c>
      <c r="N52" s="75"/>
    </row>
    <row r="53" spans="2:14" x14ac:dyDescent="0.2">
      <c r="B53" s="74"/>
      <c r="D53" s="277" t="s">
        <v>197</v>
      </c>
      <c r="E53" s="260">
        <f>E_ail*2+D_ail</f>
        <v>394</v>
      </c>
      <c r="G53" s="278" t="s">
        <v>215</v>
      </c>
      <c r="H53" s="247">
        <f ca="1">Temps_culmi</f>
        <v>16.199999999999918</v>
      </c>
      <c r="I53" s="259"/>
      <c r="J53" s="268"/>
      <c r="N53" s="75"/>
    </row>
    <row r="54" spans="2:14" x14ac:dyDescent="0.2">
      <c r="B54" s="74"/>
      <c r="G54" s="278" t="s">
        <v>216</v>
      </c>
      <c r="H54" s="242">
        <f ca="1">Altitude_culmi</f>
        <v>1320.237263236472</v>
      </c>
      <c r="I54" s="259"/>
      <c r="J54" s="268"/>
      <c r="N54" s="75"/>
    </row>
    <row r="55" spans="2:14" x14ac:dyDescent="0.2">
      <c r="B55" s="74"/>
      <c r="C55" s="275" t="s">
        <v>233</v>
      </c>
      <c r="D55" s="249" t="s">
        <v>60</v>
      </c>
      <c r="E55" s="243">
        <f>Long_tot</f>
        <v>2052</v>
      </c>
      <c r="G55" s="278" t="s">
        <v>217</v>
      </c>
      <c r="H55" s="248">
        <f ca="1">Vit_culmi</f>
        <v>26.056513219919683</v>
      </c>
      <c r="I55" s="259"/>
      <c r="J55" s="268"/>
      <c r="N55" s="75"/>
    </row>
    <row r="56" spans="2:14" x14ac:dyDescent="0.2">
      <c r="B56" s="74"/>
      <c r="C56" s="276"/>
      <c r="D56" s="2" t="s">
        <v>219</v>
      </c>
      <c r="E56" s="244">
        <f>MAX(D_ref,D_ail,D_og,(RIGHT(Nb_diam,1)=",")*MAX(D1j,D1r,D2j,D2r))</f>
        <v>104</v>
      </c>
      <c r="G56" s="278" t="s">
        <v>133</v>
      </c>
      <c r="H56" s="242">
        <f ca="1">Portee_balistique</f>
        <v>859.24597237897774</v>
      </c>
      <c r="I56" s="259"/>
      <c r="J56" s="268"/>
      <c r="N56" s="75"/>
    </row>
    <row r="57" spans="2:14" x14ac:dyDescent="0.2">
      <c r="B57" s="74"/>
      <c r="C57" s="276"/>
      <c r="D57" s="2" t="s">
        <v>220</v>
      </c>
      <c r="E57" s="244">
        <f>E_ail*2+D_ail</f>
        <v>394</v>
      </c>
      <c r="G57" s="278" t="s">
        <v>214</v>
      </c>
      <c r="H57" s="242">
        <f ca="1">T_balistique</f>
        <v>34.500000000000178</v>
      </c>
      <c r="I57" s="259"/>
      <c r="J57" s="268"/>
      <c r="N57" s="75"/>
    </row>
    <row r="58" spans="2:14" x14ac:dyDescent="0.2">
      <c r="B58" s="74"/>
      <c r="C58" s="276"/>
      <c r="D58" s="2" t="s">
        <v>221</v>
      </c>
      <c r="E58" s="244">
        <f ca="1">MassePlein</f>
        <v>9.1709999999999994</v>
      </c>
      <c r="G58" s="278" t="s">
        <v>137</v>
      </c>
      <c r="H58" s="248">
        <f ca="1">Vit_max</f>
        <v>180.16869241022349</v>
      </c>
      <c r="I58" s="259"/>
      <c r="J58" s="268"/>
      <c r="N58" s="75"/>
    </row>
    <row r="59" spans="2:14" x14ac:dyDescent="0.2">
      <c r="B59" s="74"/>
      <c r="C59" s="277" t="s">
        <v>234</v>
      </c>
      <c r="D59" s="255" t="s">
        <v>145</v>
      </c>
      <c r="E59" s="260">
        <f>Q_ail</f>
        <v>4</v>
      </c>
      <c r="G59" s="278" t="s">
        <v>136</v>
      </c>
      <c r="H59" s="242">
        <f ca="1">Acc_max</f>
        <v>87.760974377876138</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1609.711792039004</v>
      </c>
      <c r="F62" s="280">
        <f ca="1">E62/9.81</f>
        <v>164.0888676900106</v>
      </c>
      <c r="H62" s="2"/>
      <c r="I62" s="2"/>
      <c r="J62" s="2"/>
      <c r="K62" s="2"/>
      <c r="N62" s="75"/>
    </row>
    <row r="63" spans="2:14" x14ac:dyDescent="0.2">
      <c r="B63" s="74"/>
      <c r="C63" s="276"/>
      <c r="D63" s="2" t="s">
        <v>223</v>
      </c>
      <c r="E63" s="242">
        <f ca="1">2*Acc_max*Masse_ail</f>
        <v>20.615052881363106</v>
      </c>
      <c r="F63" s="248">
        <f ca="1">E63/9.81</f>
        <v>2.1014325057454744</v>
      </c>
      <c r="G63" s="246" t="s">
        <v>229</v>
      </c>
      <c r="H63" s="288">
        <f>S_ail*(ep_ail/1000)*2000</f>
        <v>0.11745</v>
      </c>
      <c r="I63" s="2"/>
      <c r="J63" s="2"/>
      <c r="K63" s="2"/>
      <c r="N63" s="75"/>
    </row>
    <row r="64" spans="2:14" x14ac:dyDescent="0.2">
      <c r="B64" s="74"/>
      <c r="C64" s="277"/>
      <c r="D64" s="255" t="s">
        <v>224</v>
      </c>
      <c r="E64" s="263">
        <f ca="1">0.104*S_ail*Vit_max^2</f>
        <v>66.083610576167629</v>
      </c>
      <c r="F64" s="281">
        <f ca="1">E64/9.81</f>
        <v>6.7363517406898703</v>
      </c>
      <c r="G64" s="274" t="s">
        <v>228</v>
      </c>
      <c r="H64" s="289">
        <f>(E_ail*(m_ail+n_ail)/2)/10^6</f>
        <v>1.9574999999999999E-2</v>
      </c>
      <c r="I64" s="2"/>
      <c r="J64" s="2"/>
      <c r="K64" s="2"/>
      <c r="N64" s="75"/>
    </row>
    <row r="65" spans="2:14" x14ac:dyDescent="0.2">
      <c r="B65" s="74"/>
      <c r="C65" s="282" t="s">
        <v>242</v>
      </c>
      <c r="D65" s="285" t="s">
        <v>240</v>
      </c>
      <c r="E65" s="286">
        <f ca="1">2*Acc_max*H65</f>
        <v>804.85589601950198</v>
      </c>
      <c r="F65" s="286">
        <f ca="1">E65/9.81</f>
        <v>82.044433845005301</v>
      </c>
      <c r="G65" s="287" t="s">
        <v>241</v>
      </c>
      <c r="H65" s="279">
        <f ca="1">E58/2</f>
        <v>4.5854999999999997</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16.2</v>
      </c>
      <c r="I67" s="251">
        <f ca="1">Temps_culmi</f>
        <v>16.199999999999918</v>
      </c>
      <c r="J67" s="2"/>
      <c r="K67" s="2"/>
      <c r="N67" s="75"/>
    </row>
    <row r="68" spans="2:14" x14ac:dyDescent="0.2">
      <c r="B68" s="74"/>
      <c r="C68" s="6"/>
      <c r="D68" s="2"/>
      <c r="E68" s="2"/>
      <c r="F68" s="275" t="s">
        <v>231</v>
      </c>
      <c r="G68" s="249" t="s">
        <v>129</v>
      </c>
      <c r="H68" s="250">
        <f ca="1">V_para</f>
        <v>14.942895127649072</v>
      </c>
      <c r="I68" s="251">
        <f>V_satellite</f>
        <v>12.655562623057198</v>
      </c>
      <c r="J68" s="2"/>
      <c r="K68" s="2"/>
      <c r="N68" s="75"/>
    </row>
    <row r="69" spans="2:14" x14ac:dyDescent="0.2">
      <c r="B69" s="74"/>
      <c r="C69" s="6"/>
      <c r="D69" s="2"/>
      <c r="E69" s="2"/>
      <c r="F69" s="276"/>
      <c r="G69" s="2" t="s">
        <v>237</v>
      </c>
      <c r="H69" s="247">
        <f>S_para</f>
        <v>0.51200000000000001</v>
      </c>
      <c r="I69" s="253">
        <f>S_satellite</f>
        <v>0.1</v>
      </c>
      <c r="J69" s="2"/>
      <c r="K69" s="2"/>
      <c r="N69" s="75"/>
    </row>
    <row r="70" spans="2:14" x14ac:dyDescent="0.2">
      <c r="B70" s="74"/>
      <c r="C70" s="226"/>
      <c r="D70" s="2"/>
      <c r="F70" s="276"/>
      <c r="G70" s="2" t="s">
        <v>236</v>
      </c>
      <c r="H70" s="247">
        <f ca="1">V_ouverture</f>
        <v>26.056513219919683</v>
      </c>
      <c r="I70" s="253">
        <f ca="1">V_ouv_sat</f>
        <v>153.12922149896602</v>
      </c>
      <c r="N70" s="75"/>
    </row>
    <row r="71" spans="2:14" x14ac:dyDescent="0.2">
      <c r="B71" s="74"/>
      <c r="C71" s="226"/>
      <c r="F71" s="276"/>
      <c r="G71" s="2" t="s">
        <v>201</v>
      </c>
      <c r="H71" s="247">
        <f ca="1">m_vide</f>
        <v>7.1379999999999999</v>
      </c>
      <c r="I71" s="253">
        <f>m_satellite</f>
        <v>1</v>
      </c>
      <c r="N71" s="75"/>
    </row>
    <row r="72" spans="2:14" x14ac:dyDescent="0.2">
      <c r="B72" s="74"/>
      <c r="C72" s="226"/>
      <c r="F72" s="276"/>
      <c r="G72" s="2" t="s">
        <v>238</v>
      </c>
      <c r="H72" s="283">
        <f ca="1">1/2*Rho_moyen*S_para*V_ouverture^2</f>
        <v>212.91617393800075</v>
      </c>
      <c r="I72" s="284">
        <f ca="1">1/2*Rho_moyen*S_satellite*V_ouv_sat^2</f>
        <v>1436.2242067088632</v>
      </c>
      <c r="N72" s="75"/>
    </row>
    <row r="73" spans="2:14" x14ac:dyDescent="0.2">
      <c r="B73" s="74"/>
      <c r="D73" s="2"/>
      <c r="F73" s="277"/>
      <c r="G73" s="255" t="s">
        <v>239</v>
      </c>
      <c r="H73" s="256">
        <f ca="1">H72/9.81</f>
        <v>21.703993265851249</v>
      </c>
      <c r="I73" s="257">
        <f ca="1">I72/9.81</f>
        <v>146.40409854320725</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45991</v>
      </c>
      <c r="E83" s="48"/>
      <c r="F83" s="436"/>
      <c r="G83" s="48"/>
      <c r="H83" s="48"/>
      <c r="I83" s="48"/>
      <c r="J83" s="48"/>
      <c r="K83" s="48"/>
      <c r="N83" s="75"/>
    </row>
    <row r="84" spans="2:14" ht="13.5" thickBot="1" x14ac:dyDescent="0.25">
      <c r="B84" s="74"/>
      <c r="E84" s="48"/>
      <c r="F84" s="436"/>
      <c r="G84" s="48"/>
      <c r="H84" s="48"/>
      <c r="I84" s="48"/>
      <c r="J84" s="440">
        <f>IF(RIGHT(Nb_diam,1)=",", "", X_j)</f>
        <v>942</v>
      </c>
      <c r="K84" s="48"/>
      <c r="N84" s="75"/>
    </row>
    <row r="85" spans="2:14" ht="13.5" thickBot="1" x14ac:dyDescent="0.25">
      <c r="B85" s="74"/>
      <c r="C85" s="275" t="s">
        <v>337</v>
      </c>
      <c r="D85" s="243" t="str">
        <f>Propu</f>
        <v>Barasinga (Pro54-5G C)</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2002</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1782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50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190</v>
      </c>
      <c r="G97" s="48"/>
      <c r="H97" s="48"/>
      <c r="I97" s="48"/>
      <c r="J97" s="441">
        <f>p_ail</f>
        <v>180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1564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3</v>
      </c>
      <c r="K105" s="48"/>
      <c r="N105" s="75"/>
    </row>
    <row r="106" spans="2:14" x14ac:dyDescent="0.2">
      <c r="B106" s="74"/>
      <c r="D106" s="429"/>
      <c r="E106" s="246" t="s">
        <v>354</v>
      </c>
      <c r="F106" s="243" t="s">
        <v>353</v>
      </c>
      <c r="N106" s="75"/>
    </row>
    <row r="107" spans="2:14" x14ac:dyDescent="0.2">
      <c r="B107" s="74"/>
      <c r="D107" s="437" t="s">
        <v>351</v>
      </c>
      <c r="E107" s="6">
        <f>MasseSans</f>
        <v>7.4859999999999998</v>
      </c>
      <c r="F107" s="244">
        <f ca="1">MassePlein</f>
        <v>9.1709999999999994</v>
      </c>
      <c r="N107" s="75"/>
    </row>
    <row r="108" spans="2:14" x14ac:dyDescent="0.2">
      <c r="B108" s="74"/>
      <c r="D108" s="431" t="s">
        <v>352</v>
      </c>
      <c r="E108" s="274">
        <f>XcgSans</f>
        <v>1030</v>
      </c>
      <c r="F108" s="260">
        <f ca="1">XcgPlein</f>
        <v>1174.0453603750955</v>
      </c>
      <c r="N108" s="75"/>
    </row>
    <row r="109" spans="2:14" x14ac:dyDescent="0.2">
      <c r="B109" s="74"/>
      <c r="N109" s="75"/>
    </row>
    <row r="110" spans="2:14" x14ac:dyDescent="0.2">
      <c r="B110" s="74"/>
      <c r="D110" s="438" t="s">
        <v>355</v>
      </c>
      <c r="E110" s="439">
        <f ca="1">MasseVide</f>
        <v>8.1379999999999999</v>
      </c>
      <c r="G110" s="429" t="s">
        <v>356</v>
      </c>
      <c r="H110" s="265"/>
      <c r="I110" s="265"/>
      <c r="J110" s="266"/>
      <c r="N110" s="75"/>
    </row>
    <row r="111" spans="2:14" x14ac:dyDescent="0.2">
      <c r="B111" s="74"/>
      <c r="G111" s="276" t="s">
        <v>213</v>
      </c>
      <c r="H111" s="6">
        <f>Beta_rampe</f>
        <v>80</v>
      </c>
      <c r="I111" s="6">
        <v>80</v>
      </c>
      <c r="J111" s="244">
        <v>90</v>
      </c>
      <c r="N111" s="75"/>
    </row>
    <row r="112" spans="2:14" x14ac:dyDescent="0.2">
      <c r="B112" s="74"/>
      <c r="G112" s="278" t="s">
        <v>215</v>
      </c>
      <c r="H112" s="247">
        <f ca="1">Temps_culmi</f>
        <v>16.199999999999918</v>
      </c>
      <c r="I112" s="259"/>
      <c r="J112" s="268"/>
      <c r="N112" s="75"/>
    </row>
    <row r="113" spans="2:14" ht="12.75" customHeight="1" x14ac:dyDescent="0.25">
      <c r="B113" s="74"/>
      <c r="D113" s="435" t="s">
        <v>357</v>
      </c>
      <c r="E113" s="48"/>
      <c r="G113" s="278" t="s">
        <v>216</v>
      </c>
      <c r="H113" s="242">
        <f ca="1">Altitude_culmi</f>
        <v>1320.237263236472</v>
      </c>
      <c r="I113" s="259"/>
      <c r="J113" s="268"/>
      <c r="N113" s="75"/>
    </row>
    <row r="114" spans="2:14" ht="12.75" customHeight="1" x14ac:dyDescent="0.25">
      <c r="B114" s="74"/>
      <c r="D114" s="48"/>
      <c r="E114" s="48"/>
      <c r="F114" s="435"/>
      <c r="G114" s="278" t="s">
        <v>217</v>
      </c>
      <c r="H114" s="248">
        <f ca="1">Vit_culmi</f>
        <v>26.056513219919683</v>
      </c>
      <c r="I114" s="259"/>
      <c r="J114" s="268"/>
      <c r="N114" s="75"/>
    </row>
    <row r="115" spans="2:14" x14ac:dyDescent="0.2">
      <c r="B115" s="74"/>
      <c r="C115" s="429" t="s">
        <v>358</v>
      </c>
      <c r="D115" s="249"/>
      <c r="E115" s="446">
        <v>0.1</v>
      </c>
      <c r="G115" s="278" t="s">
        <v>133</v>
      </c>
      <c r="H115" s="242">
        <f ca="1">Portee_balistique</f>
        <v>859.24597237897774</v>
      </c>
      <c r="I115" s="259"/>
      <c r="J115" s="268"/>
      <c r="N115" s="75"/>
    </row>
    <row r="116" spans="2:14" ht="12.75" customHeight="1" x14ac:dyDescent="0.2">
      <c r="B116" s="74"/>
      <c r="C116" s="431" t="s">
        <v>359</v>
      </c>
      <c r="D116" s="255"/>
      <c r="E116" s="447">
        <f>E_ail*(m_ail+n_ail)/2</f>
        <v>19575</v>
      </c>
      <c r="G116" s="278" t="s">
        <v>137</v>
      </c>
      <c r="H116" s="248">
        <f ca="1">Vit_max</f>
        <v>180.16869241022349</v>
      </c>
      <c r="I116" s="259"/>
      <c r="J116" s="268"/>
      <c r="N116" s="75"/>
    </row>
    <row r="117" spans="2:14" ht="12.75" customHeight="1" x14ac:dyDescent="0.2">
      <c r="B117" s="74"/>
      <c r="D117" s="48"/>
      <c r="E117" s="48"/>
      <c r="F117" s="48"/>
      <c r="G117" s="278" t="s">
        <v>136</v>
      </c>
      <c r="H117" s="242">
        <f ca="1">Acc_max</f>
        <v>87.760974377876138</v>
      </c>
      <c r="I117" s="259"/>
      <c r="J117" s="268"/>
      <c r="N117" s="75"/>
    </row>
    <row r="118" spans="2:14" x14ac:dyDescent="0.2">
      <c r="B118" s="74"/>
      <c r="C118" s="429" t="s">
        <v>360</v>
      </c>
      <c r="D118" s="249"/>
      <c r="E118" s="457"/>
      <c r="F118" s="458">
        <f>J90/100</f>
        <v>17.82</v>
      </c>
      <c r="G118" s="276" t="s">
        <v>5</v>
      </c>
      <c r="H118" s="6">
        <f>Cx</f>
        <v>0.7</v>
      </c>
      <c r="I118" s="259"/>
      <c r="J118" s="268"/>
      <c r="N118" s="75"/>
    </row>
    <row r="119" spans="2:14" x14ac:dyDescent="0.2">
      <c r="B119" s="74"/>
      <c r="C119" s="437" t="s">
        <v>361</v>
      </c>
      <c r="D119" s="2"/>
      <c r="E119" s="459">
        <f ca="1">2*Acc_max*MasseSans</f>
        <v>1313.9573083855614</v>
      </c>
      <c r="F119" s="460">
        <f ca="1">E119/g</f>
        <v>133.94060228191248</v>
      </c>
      <c r="G119" s="269" t="s">
        <v>222</v>
      </c>
      <c r="H119" s="270"/>
      <c r="I119" s="270"/>
      <c r="J119" s="271"/>
      <c r="N119" s="75"/>
    </row>
    <row r="120" spans="2:14" x14ac:dyDescent="0.2">
      <c r="B120" s="74"/>
      <c r="C120" s="437" t="s">
        <v>362</v>
      </c>
      <c r="D120" s="2"/>
      <c r="E120" s="459">
        <f ca="1">2*Acc_max*E115</f>
        <v>17.552194875575228</v>
      </c>
      <c r="F120" s="460">
        <f ca="1">E120/g</f>
        <v>1.7892145642788204</v>
      </c>
      <c r="N120" s="75"/>
    </row>
    <row r="121" spans="2:14" x14ac:dyDescent="0.2">
      <c r="B121" s="74"/>
      <c r="C121" s="431" t="s">
        <v>363</v>
      </c>
      <c r="D121" s="255"/>
      <c r="E121" s="452">
        <f ca="1">0.104*E116/1000000*Vit_max^2</f>
        <v>66.083610576167629</v>
      </c>
      <c r="F121" s="453">
        <f ca="1">E121/g</f>
        <v>6.7363517406898703</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0.51200000000000001</v>
      </c>
      <c r="G127" s="48"/>
      <c r="J127" s="48"/>
      <c r="N127" s="75"/>
    </row>
    <row r="128" spans="2:14" x14ac:dyDescent="0.2">
      <c r="B128" s="74"/>
      <c r="C128" s="670" t="s">
        <v>368</v>
      </c>
      <c r="D128" s="671"/>
      <c r="E128" s="450">
        <f ca="1">0.5*Rho_moyen*S_para*Vit_culmi^2</f>
        <v>212.91617393800075</v>
      </c>
      <c r="F128" s="451">
        <f ca="1">E128/g</f>
        <v>21.703993265851249</v>
      </c>
      <c r="H128" s="48"/>
      <c r="I128" s="48"/>
      <c r="J128" s="48"/>
      <c r="K128" s="48"/>
      <c r="N128" s="75"/>
    </row>
    <row r="129" spans="2:14" x14ac:dyDescent="0.2">
      <c r="B129" s="74"/>
      <c r="C129" s="668" t="s">
        <v>369</v>
      </c>
      <c r="D129" s="669"/>
      <c r="E129" s="452">
        <f ca="1">E128/E126*2</f>
        <v>106.45808696900038</v>
      </c>
      <c r="F129" s="453">
        <f ca="1">E129/g</f>
        <v>10.851996632925625</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70" t="s">
        <v>371</v>
      </c>
      <c r="D132" s="671"/>
      <c r="E132" s="454">
        <v>1</v>
      </c>
      <c r="F132" s="48"/>
      <c r="G132" s="48"/>
      <c r="H132" s="48"/>
      <c r="I132" s="48"/>
      <c r="J132" s="442"/>
      <c r="K132" s="48"/>
      <c r="N132" s="75"/>
    </row>
    <row r="133" spans="2:14" x14ac:dyDescent="0.2">
      <c r="B133" s="74"/>
      <c r="C133" s="668" t="s">
        <v>372</v>
      </c>
      <c r="D133" s="669"/>
      <c r="E133" s="455">
        <f ca="1">2*E132*Acc_max/g</f>
        <v>17.892145642788204</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H11:I11"/>
    <mergeCell ref="H12:I12"/>
    <mergeCell ref="H13:I13"/>
    <mergeCell ref="H29:K29"/>
    <mergeCell ref="C29:C30"/>
    <mergeCell ref="D29:D30"/>
    <mergeCell ref="H17:I17"/>
    <mergeCell ref="H18:I18"/>
    <mergeCell ref="H19:I19"/>
    <mergeCell ref="E29:G30"/>
    <mergeCell ref="E31:G31"/>
    <mergeCell ref="M29:M30"/>
    <mergeCell ref="H30:I30"/>
    <mergeCell ref="L29:L30"/>
    <mergeCell ref="H31:I31"/>
    <mergeCell ref="C133:D133"/>
    <mergeCell ref="C128:D128"/>
    <mergeCell ref="C129:D129"/>
    <mergeCell ref="C132:D132"/>
    <mergeCell ref="H44:I44"/>
    <mergeCell ref="H45:I45"/>
    <mergeCell ref="H46:I46"/>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2025-11-30T11:14:53Z</dcterms:modified>
</cp:coreProperties>
</file>